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E:\MININTEROR\PAA\PLAN ANUAL DE ADQUISICIONES\PAA 2024\PUBLICACIONES WEB\"/>
    </mc:Choice>
  </mc:AlternateContent>
  <xr:revisionPtr revIDLastSave="0" documentId="13_ncr:1_{1D4DE6DB-4906-4A7B-A457-16C797F14B3F}" xr6:coauthVersionLast="47" xr6:coauthVersionMax="47" xr10:uidLastSave="{00000000-0000-0000-0000-000000000000}"/>
  <bookViews>
    <workbookView xWindow="-120" yWindow="-120" windowWidth="29040" windowHeight="15840" tabRatio="1000" activeTab="1" xr2:uid="{00000000-000D-0000-FFFF-FFFF00000000}"/>
  </bookViews>
  <sheets>
    <sheet name="PRESENTACION " sheetId="3" r:id="rId1"/>
    <sheet name="PAA" sheetId="51" r:id="rId2"/>
    <sheet name="SECRETARIA G" sheetId="50"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1" hidden="1">PAA!$A$6:$CG$704</definedName>
    <definedName name="_xlnm._FilterDatabase" localSheetId="2" hidden="1">'SECRETARIA G'!$A$6:$Y$8</definedName>
    <definedName name="Modalidad" localSheetId="1">#REF!</definedName>
    <definedName name="Modalid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9" i="51" l="1"/>
  <c r="O259" i="51"/>
  <c r="O230" i="51"/>
  <c r="F268" i="51"/>
  <c r="F205" i="51"/>
  <c r="T51" i="51" l="1"/>
  <c r="F188" i="51" l="1"/>
  <c r="F473" i="51" l="1"/>
  <c r="F466" i="51" l="1"/>
  <c r="W319" i="51"/>
  <c r="V319" i="51"/>
  <c r="U319" i="51"/>
  <c r="O319" i="51"/>
  <c r="W318" i="51"/>
  <c r="V318" i="51"/>
  <c r="U318" i="51"/>
  <c r="O318" i="51"/>
  <c r="F302" i="51"/>
  <c r="F301" i="51"/>
  <c r="F299" i="51"/>
  <c r="F290" i="51"/>
  <c r="F284" i="51"/>
  <c r="F277" i="51"/>
  <c r="F272" i="51"/>
  <c r="F259" i="51"/>
  <c r="M259" i="51"/>
  <c r="F253" i="51"/>
  <c r="W126" i="51" l="1"/>
  <c r="V126" i="51"/>
  <c r="U126" i="51"/>
  <c r="T126" i="51"/>
  <c r="R126" i="51"/>
  <c r="Q126" i="51"/>
  <c r="P126" i="51"/>
  <c r="O126" i="51"/>
  <c r="M126" i="51"/>
  <c r="W125" i="51"/>
  <c r="V125" i="51"/>
  <c r="U125" i="51"/>
  <c r="T125" i="51"/>
  <c r="R125" i="51"/>
  <c r="Q125" i="51"/>
  <c r="P125" i="51"/>
  <c r="O125" i="51"/>
  <c r="M125" i="51"/>
  <c r="W124" i="51"/>
  <c r="V124" i="51"/>
  <c r="U124" i="51"/>
  <c r="T124" i="51"/>
  <c r="R124" i="51"/>
  <c r="Q124" i="51"/>
  <c r="P124" i="51"/>
  <c r="O124" i="51"/>
  <c r="M124" i="51"/>
  <c r="F121" i="51"/>
  <c r="F632" i="51"/>
  <c r="U97" i="51" l="1"/>
  <c r="R97" i="51"/>
  <c r="Q97" i="51"/>
  <c r="O97" i="51"/>
  <c r="F129" i="51" l="1"/>
  <c r="F48" i="51" l="1"/>
  <c r="F46" i="51" l="1"/>
  <c r="W51" i="51"/>
  <c r="V51" i="51"/>
  <c r="U51" i="51"/>
  <c r="R51" i="51"/>
  <c r="Q51" i="51"/>
  <c r="P51" i="51"/>
  <c r="O51" i="51"/>
  <c r="M51" i="51"/>
  <c r="F50" i="51" l="1"/>
  <c r="F49" i="51"/>
  <c r="F36" i="51"/>
  <c r="F31" i="51"/>
  <c r="F27" i="51"/>
  <c r="F26" i="51"/>
  <c r="F24" i="51" l="1"/>
  <c r="F23" i="51"/>
  <c r="F22" i="51"/>
  <c r="F21" i="51"/>
  <c r="F20" i="51"/>
  <c r="F19" i="51"/>
  <c r="F16" i="51"/>
  <c r="F14" i="51"/>
  <c r="F217" i="51" l="1"/>
  <c r="F227" i="51"/>
  <c r="F215" i="51"/>
  <c r="F206" i="51"/>
  <c r="F226" i="51"/>
  <c r="F225" i="51"/>
  <c r="F193" i="51"/>
  <c r="F223" i="51"/>
  <c r="F222" i="51"/>
  <c r="F187" i="51"/>
  <c r="F221" i="51"/>
  <c r="F181" i="51"/>
  <c r="F219" i="51"/>
  <c r="F218" i="51"/>
  <c r="F220" i="51"/>
  <c r="F175" i="51"/>
  <c r="F163" i="51" l="1"/>
  <c r="F162" i="51"/>
  <c r="F161" i="51"/>
  <c r="F37" i="51" l="1"/>
  <c r="W633" i="51"/>
  <c r="V633" i="51"/>
  <c r="U633" i="51"/>
  <c r="T633" i="51"/>
  <c r="R633" i="51"/>
  <c r="Q633" i="51"/>
  <c r="P633" i="51"/>
  <c r="O633" i="51"/>
  <c r="M633" i="51"/>
  <c r="F435" i="51"/>
  <c r="F425" i="51"/>
  <c r="U50" i="51" l="1"/>
  <c r="U49" i="51"/>
  <c r="U48" i="51"/>
  <c r="U47" i="51"/>
  <c r="U46" i="51"/>
  <c r="W50" i="51"/>
  <c r="V50" i="51"/>
  <c r="T50" i="51"/>
  <c r="R50" i="51"/>
  <c r="Q50" i="51"/>
  <c r="P50" i="51"/>
  <c r="O50" i="51"/>
  <c r="W49" i="51"/>
  <c r="V49" i="51"/>
  <c r="T49" i="51"/>
  <c r="R49" i="51"/>
  <c r="Q49" i="51"/>
  <c r="P49" i="51"/>
  <c r="O49" i="51"/>
  <c r="W48" i="51"/>
  <c r="V48" i="51"/>
  <c r="T48" i="51"/>
  <c r="R48" i="51"/>
  <c r="Q48" i="51"/>
  <c r="P48" i="51"/>
  <c r="O48" i="51"/>
  <c r="W47" i="51"/>
  <c r="V47" i="51"/>
  <c r="T47" i="51"/>
  <c r="R47" i="51"/>
  <c r="Q47" i="51"/>
  <c r="P47" i="51"/>
  <c r="O47" i="51"/>
  <c r="W46" i="51"/>
  <c r="V46" i="51"/>
  <c r="T46" i="51"/>
  <c r="R46" i="51"/>
  <c r="Q46" i="51"/>
  <c r="P46" i="51"/>
  <c r="O46" i="51"/>
  <c r="M46" i="51"/>
  <c r="M47" i="51"/>
  <c r="M48" i="51"/>
  <c r="M49" i="51"/>
  <c r="M50" i="51"/>
  <c r="F43" i="51"/>
  <c r="F42" i="51"/>
  <c r="F41" i="51"/>
  <c r="F40" i="51"/>
  <c r="W644" i="51" l="1"/>
  <c r="V644" i="51"/>
  <c r="U644" i="51"/>
  <c r="R644" i="51"/>
  <c r="Q644" i="51"/>
  <c r="O644" i="51"/>
  <c r="F641" i="51"/>
  <c r="W157" i="51" l="1"/>
  <c r="V157" i="51"/>
  <c r="U157" i="51"/>
  <c r="T157" i="51"/>
  <c r="P157" i="51"/>
  <c r="O157" i="51"/>
  <c r="M157" i="51"/>
  <c r="F157" i="51"/>
  <c r="R157" i="51" s="1"/>
  <c r="F153" i="51"/>
  <c r="Q157" i="51" l="1"/>
  <c r="F602" i="51" l="1"/>
  <c r="W632" i="51"/>
  <c r="V632" i="51"/>
  <c r="U632" i="51"/>
  <c r="T632" i="51"/>
  <c r="R632" i="51"/>
  <c r="Q632" i="51"/>
  <c r="P632" i="51"/>
  <c r="O632" i="51"/>
  <c r="W631" i="51"/>
  <c r="V631" i="51"/>
  <c r="U631" i="51"/>
  <c r="T631" i="51"/>
  <c r="R631" i="51"/>
  <c r="Q631" i="51"/>
  <c r="P631" i="51"/>
  <c r="O631" i="51"/>
  <c r="F320" i="51" l="1"/>
  <c r="F338" i="51"/>
  <c r="F337" i="51"/>
  <c r="F336" i="51"/>
  <c r="F335" i="51"/>
  <c r="F334" i="51"/>
  <c r="F333" i="51"/>
  <c r="R339" i="51"/>
  <c r="Q339" i="51"/>
  <c r="W339" i="51"/>
  <c r="V339" i="51"/>
  <c r="U339" i="51"/>
  <c r="T339" i="51"/>
  <c r="P339" i="51"/>
  <c r="O339" i="51"/>
  <c r="M339" i="51"/>
  <c r="R340" i="51" l="1"/>
  <c r="Q340" i="51"/>
  <c r="W340" i="51"/>
  <c r="V340" i="51"/>
  <c r="U340" i="51"/>
  <c r="T340" i="51"/>
  <c r="P340" i="51"/>
  <c r="O340" i="51"/>
  <c r="M340" i="51"/>
  <c r="R704" i="51" l="1"/>
  <c r="R703" i="51"/>
  <c r="R702" i="51"/>
  <c r="R701" i="51"/>
  <c r="R700" i="51"/>
  <c r="R699" i="51"/>
  <c r="R698" i="51"/>
  <c r="R697" i="51"/>
  <c r="R696" i="51"/>
  <c r="R695" i="51"/>
  <c r="R694" i="51"/>
  <c r="R693" i="51"/>
  <c r="R692" i="51"/>
  <c r="R691" i="51"/>
  <c r="R690" i="51"/>
  <c r="R689" i="51"/>
  <c r="R688" i="51"/>
  <c r="R687" i="51"/>
  <c r="R686" i="51"/>
  <c r="R685" i="51"/>
  <c r="R684" i="51"/>
  <c r="R683" i="51"/>
  <c r="R682" i="51"/>
  <c r="R681" i="51"/>
  <c r="R680" i="51"/>
  <c r="R679" i="51"/>
  <c r="R678" i="51"/>
  <c r="R677" i="51"/>
  <c r="R676" i="51"/>
  <c r="R675" i="51"/>
  <c r="R674" i="51"/>
  <c r="R673" i="51"/>
  <c r="R672" i="51"/>
  <c r="R671" i="51"/>
  <c r="R670" i="51"/>
  <c r="R669" i="51"/>
  <c r="R668" i="51"/>
  <c r="R667" i="51"/>
  <c r="R666" i="51"/>
  <c r="R665" i="51"/>
  <c r="R664" i="51"/>
  <c r="R663" i="51"/>
  <c r="R662" i="51"/>
  <c r="R661" i="51"/>
  <c r="R660" i="51"/>
  <c r="R659" i="51"/>
  <c r="R658" i="51"/>
  <c r="R657" i="51"/>
  <c r="R656" i="51"/>
  <c r="R655" i="51"/>
  <c r="R654" i="51"/>
  <c r="R653" i="51"/>
  <c r="R652" i="51"/>
  <c r="R651" i="51"/>
  <c r="R650" i="51"/>
  <c r="R649" i="51"/>
  <c r="R648" i="51"/>
  <c r="R647" i="51"/>
  <c r="R646" i="51"/>
  <c r="R645" i="51"/>
  <c r="Q704" i="51"/>
  <c r="Q703" i="51"/>
  <c r="Q702" i="51"/>
  <c r="Q701" i="51"/>
  <c r="Q700" i="51"/>
  <c r="Q699" i="51"/>
  <c r="Q698" i="51"/>
  <c r="Q697" i="51"/>
  <c r="Q696" i="51"/>
  <c r="Q695" i="51"/>
  <c r="Q694" i="51"/>
  <c r="Q693" i="51"/>
  <c r="Q692" i="51"/>
  <c r="Q691" i="51"/>
  <c r="Q690" i="51"/>
  <c r="Q689" i="51"/>
  <c r="Q688" i="51"/>
  <c r="Q687" i="51"/>
  <c r="Q686" i="51"/>
  <c r="Q685" i="51"/>
  <c r="Q684" i="51"/>
  <c r="Q683" i="51"/>
  <c r="Q682" i="51"/>
  <c r="Q681" i="51"/>
  <c r="Q680" i="51"/>
  <c r="Q679" i="51"/>
  <c r="Q678" i="51"/>
  <c r="Q677" i="51"/>
  <c r="Q676" i="51"/>
  <c r="Q675" i="51"/>
  <c r="Q674" i="51"/>
  <c r="Q673" i="51"/>
  <c r="Q672" i="51"/>
  <c r="Q671" i="51"/>
  <c r="Q670" i="51"/>
  <c r="Q669" i="51"/>
  <c r="Q668" i="51"/>
  <c r="Q667" i="51"/>
  <c r="Q666" i="51"/>
  <c r="Q665" i="51"/>
  <c r="Q664" i="51"/>
  <c r="Q663" i="51"/>
  <c r="Q662" i="51"/>
  <c r="Q661" i="51"/>
  <c r="Q660" i="51"/>
  <c r="Q659" i="51"/>
  <c r="Q658" i="51"/>
  <c r="Q657" i="51"/>
  <c r="Q656" i="51"/>
  <c r="Q655" i="51"/>
  <c r="Q654" i="51"/>
  <c r="Q653" i="51"/>
  <c r="Q652" i="51"/>
  <c r="Q651" i="51"/>
  <c r="Q650" i="51"/>
  <c r="Q649" i="51"/>
  <c r="Q648" i="51"/>
  <c r="Q647" i="51"/>
  <c r="Q646" i="51"/>
  <c r="Q645" i="51"/>
  <c r="W704" i="51"/>
  <c r="V704" i="51"/>
  <c r="U704" i="51"/>
  <c r="O704" i="51"/>
  <c r="W703" i="51"/>
  <c r="V703" i="51"/>
  <c r="U703" i="51"/>
  <c r="O703" i="51"/>
  <c r="W702" i="51"/>
  <c r="V702" i="51"/>
  <c r="U702" i="51"/>
  <c r="O702" i="51"/>
  <c r="W701" i="51"/>
  <c r="V701" i="51"/>
  <c r="U701" i="51"/>
  <c r="O701" i="51"/>
  <c r="W700" i="51"/>
  <c r="V700" i="51"/>
  <c r="U700" i="51"/>
  <c r="O700" i="51"/>
  <c r="W699" i="51"/>
  <c r="V699" i="51"/>
  <c r="U699" i="51"/>
  <c r="O699" i="51"/>
  <c r="W698" i="51"/>
  <c r="V698" i="51"/>
  <c r="U698" i="51"/>
  <c r="O698" i="51"/>
  <c r="W697" i="51"/>
  <c r="V697" i="51"/>
  <c r="U697" i="51"/>
  <c r="O697" i="51"/>
  <c r="W696" i="51"/>
  <c r="V696" i="51"/>
  <c r="U696" i="51"/>
  <c r="O696" i="51"/>
  <c r="W695" i="51"/>
  <c r="V695" i="51"/>
  <c r="U695" i="51"/>
  <c r="O695" i="51"/>
  <c r="W694" i="51"/>
  <c r="V694" i="51"/>
  <c r="U694" i="51"/>
  <c r="O694" i="51"/>
  <c r="W693" i="51"/>
  <c r="V693" i="51"/>
  <c r="U693" i="51"/>
  <c r="O693" i="51"/>
  <c r="W692" i="51"/>
  <c r="V692" i="51"/>
  <c r="U692" i="51"/>
  <c r="O692" i="51"/>
  <c r="W691" i="51"/>
  <c r="V691" i="51"/>
  <c r="U691" i="51"/>
  <c r="O691" i="51"/>
  <c r="W690" i="51"/>
  <c r="V690" i="51"/>
  <c r="U690" i="51"/>
  <c r="O690" i="51"/>
  <c r="W689" i="51"/>
  <c r="V689" i="51"/>
  <c r="U689" i="51"/>
  <c r="O689" i="51"/>
  <c r="W688" i="51"/>
  <c r="V688" i="51"/>
  <c r="U688" i="51"/>
  <c r="O688" i="51"/>
  <c r="W687" i="51"/>
  <c r="V687" i="51"/>
  <c r="U687" i="51"/>
  <c r="O687" i="51"/>
  <c r="W686" i="51"/>
  <c r="V686" i="51"/>
  <c r="U686" i="51"/>
  <c r="O686" i="51"/>
  <c r="W685" i="51"/>
  <c r="V685" i="51"/>
  <c r="U685" i="51"/>
  <c r="O685" i="51"/>
  <c r="W684" i="51"/>
  <c r="V684" i="51"/>
  <c r="U684" i="51"/>
  <c r="O684" i="51"/>
  <c r="W683" i="51"/>
  <c r="V683" i="51"/>
  <c r="U683" i="51"/>
  <c r="O683" i="51"/>
  <c r="W682" i="51"/>
  <c r="V682" i="51"/>
  <c r="U682" i="51"/>
  <c r="O682" i="51"/>
  <c r="W681" i="51"/>
  <c r="V681" i="51"/>
  <c r="U681" i="51"/>
  <c r="O681" i="51"/>
  <c r="W680" i="51"/>
  <c r="V680" i="51"/>
  <c r="U680" i="51"/>
  <c r="O680" i="51"/>
  <c r="W679" i="51"/>
  <c r="V679" i="51"/>
  <c r="U679" i="51"/>
  <c r="O679" i="51"/>
  <c r="W678" i="51"/>
  <c r="V678" i="51"/>
  <c r="U678" i="51"/>
  <c r="O678" i="51"/>
  <c r="W677" i="51"/>
  <c r="V677" i="51"/>
  <c r="U677" i="51"/>
  <c r="O677" i="51"/>
  <c r="W676" i="51"/>
  <c r="V676" i="51"/>
  <c r="U676" i="51"/>
  <c r="O676" i="51"/>
  <c r="W675" i="51"/>
  <c r="V675" i="51"/>
  <c r="U675" i="51"/>
  <c r="O675" i="51"/>
  <c r="W674" i="51"/>
  <c r="V674" i="51"/>
  <c r="U674" i="51"/>
  <c r="O674" i="51"/>
  <c r="W673" i="51"/>
  <c r="V673" i="51"/>
  <c r="U673" i="51"/>
  <c r="O673" i="51"/>
  <c r="W672" i="51"/>
  <c r="V672" i="51"/>
  <c r="U672" i="51"/>
  <c r="O672" i="51"/>
  <c r="W671" i="51"/>
  <c r="V671" i="51"/>
  <c r="U671" i="51"/>
  <c r="O671" i="51"/>
  <c r="W670" i="51"/>
  <c r="V670" i="51"/>
  <c r="U670" i="51"/>
  <c r="O670" i="51"/>
  <c r="W669" i="51"/>
  <c r="V669" i="51"/>
  <c r="U669" i="51"/>
  <c r="O669" i="51"/>
  <c r="W668" i="51"/>
  <c r="V668" i="51"/>
  <c r="U668" i="51"/>
  <c r="O668" i="51"/>
  <c r="W667" i="51"/>
  <c r="V667" i="51"/>
  <c r="U667" i="51"/>
  <c r="O667" i="51"/>
  <c r="W666" i="51"/>
  <c r="V666" i="51"/>
  <c r="U666" i="51"/>
  <c r="O666" i="51"/>
  <c r="W665" i="51"/>
  <c r="V665" i="51"/>
  <c r="U665" i="51"/>
  <c r="O665" i="51"/>
  <c r="W664" i="51"/>
  <c r="V664" i="51"/>
  <c r="U664" i="51"/>
  <c r="O664" i="51"/>
  <c r="W663" i="51"/>
  <c r="V663" i="51"/>
  <c r="U663" i="51"/>
  <c r="O663" i="51"/>
  <c r="W662" i="51"/>
  <c r="V662" i="51"/>
  <c r="U662" i="51"/>
  <c r="O662" i="51"/>
  <c r="W661" i="51"/>
  <c r="V661" i="51"/>
  <c r="U661" i="51"/>
  <c r="O661" i="51"/>
  <c r="W660" i="51"/>
  <c r="V660" i="51"/>
  <c r="U660" i="51"/>
  <c r="O660" i="51"/>
  <c r="W659" i="51"/>
  <c r="V659" i="51"/>
  <c r="U659" i="51"/>
  <c r="O659" i="51"/>
  <c r="W658" i="51"/>
  <c r="V658" i="51"/>
  <c r="U658" i="51"/>
  <c r="O658" i="51"/>
  <c r="W657" i="51"/>
  <c r="V657" i="51"/>
  <c r="U657" i="51"/>
  <c r="O657" i="51"/>
  <c r="W656" i="51"/>
  <c r="V656" i="51"/>
  <c r="U656" i="51"/>
  <c r="O656" i="51"/>
  <c r="W655" i="51"/>
  <c r="V655" i="51"/>
  <c r="U655" i="51"/>
  <c r="O655" i="51"/>
  <c r="W654" i="51"/>
  <c r="V654" i="51"/>
  <c r="U654" i="51"/>
  <c r="O654" i="51"/>
  <c r="W653" i="51"/>
  <c r="V653" i="51"/>
  <c r="U653" i="51"/>
  <c r="O653" i="51"/>
  <c r="W652" i="51"/>
  <c r="V652" i="51"/>
  <c r="U652" i="51"/>
  <c r="O652" i="51"/>
  <c r="W651" i="51"/>
  <c r="V651" i="51"/>
  <c r="U651" i="51"/>
  <c r="O651" i="51"/>
  <c r="W650" i="51"/>
  <c r="V650" i="51"/>
  <c r="U650" i="51"/>
  <c r="O650" i="51"/>
  <c r="W649" i="51"/>
  <c r="V649" i="51"/>
  <c r="U649" i="51"/>
  <c r="O649" i="51"/>
  <c r="W648" i="51"/>
  <c r="V648" i="51"/>
  <c r="U648" i="51"/>
  <c r="O648" i="51"/>
  <c r="W647" i="51"/>
  <c r="V647" i="51"/>
  <c r="U647" i="51"/>
  <c r="O647" i="51"/>
  <c r="W646" i="51"/>
  <c r="V646" i="51"/>
  <c r="U646" i="51"/>
  <c r="O646" i="51"/>
  <c r="W645" i="51"/>
  <c r="V645" i="51"/>
  <c r="U645" i="51"/>
  <c r="O645" i="51"/>
  <c r="M643" i="51" l="1"/>
  <c r="M642" i="51"/>
  <c r="M641" i="51"/>
  <c r="M640" i="51"/>
  <c r="M639" i="51"/>
  <c r="M638" i="51"/>
  <c r="M637" i="51"/>
  <c r="M636" i="51"/>
  <c r="M635" i="51"/>
  <c r="M634" i="51"/>
  <c r="M630" i="51"/>
  <c r="M629" i="51"/>
  <c r="M628" i="51"/>
  <c r="M627" i="51"/>
  <c r="M626" i="51"/>
  <c r="M625" i="51"/>
  <c r="M624" i="51"/>
  <c r="M623" i="51"/>
  <c r="M622" i="51"/>
  <c r="M621" i="51"/>
  <c r="M620" i="51"/>
  <c r="M619" i="51"/>
  <c r="M618" i="51"/>
  <c r="M617" i="51"/>
  <c r="M616" i="51"/>
  <c r="M615" i="51"/>
  <c r="M614" i="51"/>
  <c r="M613" i="51"/>
  <c r="M612" i="51"/>
  <c r="M611" i="51"/>
  <c r="M610" i="51"/>
  <c r="M609" i="51"/>
  <c r="M608" i="51"/>
  <c r="M607" i="51"/>
  <c r="M606" i="51"/>
  <c r="M605" i="51"/>
  <c r="M604" i="51"/>
  <c r="M603" i="51"/>
  <c r="M602" i="51"/>
  <c r="M601" i="51"/>
  <c r="M600" i="51"/>
  <c r="M599" i="51"/>
  <c r="M598" i="51"/>
  <c r="M597" i="51"/>
  <c r="M596" i="51"/>
  <c r="M595" i="51"/>
  <c r="M594" i="51"/>
  <c r="M593" i="51"/>
  <c r="M592" i="51"/>
  <c r="M591" i="51"/>
  <c r="M590" i="51"/>
  <c r="M589" i="51"/>
  <c r="M588" i="51"/>
  <c r="M587" i="51"/>
  <c r="M586" i="51"/>
  <c r="M585" i="51"/>
  <c r="M584" i="51"/>
  <c r="M583" i="51"/>
  <c r="M582" i="51"/>
  <c r="M581" i="51"/>
  <c r="M580" i="51"/>
  <c r="M579" i="51"/>
  <c r="M578" i="51"/>
  <c r="M577" i="51"/>
  <c r="M576" i="51"/>
  <c r="M575" i="51"/>
  <c r="M574" i="51"/>
  <c r="M573" i="51"/>
  <c r="M572" i="51"/>
  <c r="M571" i="51"/>
  <c r="M570" i="51"/>
  <c r="M569" i="51"/>
  <c r="M568" i="51"/>
  <c r="M567" i="51"/>
  <c r="M566" i="51"/>
  <c r="M565" i="51"/>
  <c r="M564" i="51"/>
  <c r="M563" i="51"/>
  <c r="M562" i="51"/>
  <c r="M561" i="51"/>
  <c r="M560" i="51"/>
  <c r="M559" i="51"/>
  <c r="M558" i="51"/>
  <c r="M557" i="51"/>
  <c r="M556" i="51"/>
  <c r="M555" i="51"/>
  <c r="M554" i="51"/>
  <c r="M553" i="51"/>
  <c r="M552" i="51"/>
  <c r="M551" i="51"/>
  <c r="M550" i="51"/>
  <c r="M549" i="51"/>
  <c r="M548" i="51"/>
  <c r="M547" i="51"/>
  <c r="M546" i="51"/>
  <c r="M545" i="51"/>
  <c r="M544" i="51"/>
  <c r="M543" i="51"/>
  <c r="M542" i="51"/>
  <c r="M541" i="51"/>
  <c r="M540" i="51"/>
  <c r="M539" i="51"/>
  <c r="M538" i="51"/>
  <c r="M537" i="51"/>
  <c r="M536" i="51"/>
  <c r="M535" i="51"/>
  <c r="M534" i="51"/>
  <c r="M533" i="51"/>
  <c r="M532" i="51"/>
  <c r="M531" i="51"/>
  <c r="M530" i="51"/>
  <c r="M529" i="51"/>
  <c r="M528" i="51"/>
  <c r="M527" i="51"/>
  <c r="M526" i="51"/>
  <c r="M525" i="51"/>
  <c r="M524" i="51"/>
  <c r="M523" i="51"/>
  <c r="M522" i="51"/>
  <c r="M521" i="51"/>
  <c r="M520" i="51"/>
  <c r="M519" i="51"/>
  <c r="M518" i="51"/>
  <c r="M517" i="51"/>
  <c r="M516" i="51"/>
  <c r="M515" i="51"/>
  <c r="M514" i="51"/>
  <c r="M513" i="51"/>
  <c r="M512" i="51"/>
  <c r="M511" i="51"/>
  <c r="M510" i="51"/>
  <c r="M509" i="51"/>
  <c r="M508" i="51"/>
  <c r="M507" i="51"/>
  <c r="M506" i="51"/>
  <c r="M505" i="51"/>
  <c r="M504" i="51"/>
  <c r="M503" i="51"/>
  <c r="M502" i="51"/>
  <c r="M501" i="51"/>
  <c r="M500" i="51"/>
  <c r="M499" i="51"/>
  <c r="M498" i="51"/>
  <c r="M497" i="51"/>
  <c r="M496" i="51"/>
  <c r="M495" i="51"/>
  <c r="M494" i="51"/>
  <c r="M493" i="51"/>
  <c r="M492" i="51"/>
  <c r="M491" i="51"/>
  <c r="M490" i="51"/>
  <c r="M489" i="51"/>
  <c r="M488" i="51"/>
  <c r="M487" i="51"/>
  <c r="M486" i="51"/>
  <c r="M485" i="51"/>
  <c r="M484" i="51"/>
  <c r="M483" i="51"/>
  <c r="M482" i="51"/>
  <c r="M481" i="51"/>
  <c r="M480" i="51"/>
  <c r="M479" i="51"/>
  <c r="M478" i="51"/>
  <c r="M477" i="51"/>
  <c r="M476" i="51"/>
  <c r="M475" i="51"/>
  <c r="M474" i="51"/>
  <c r="M473" i="51"/>
  <c r="M472" i="51"/>
  <c r="M471" i="51"/>
  <c r="M470" i="51"/>
  <c r="M469" i="51"/>
  <c r="M468" i="51"/>
  <c r="M467" i="51"/>
  <c r="M466" i="51"/>
  <c r="M465" i="51"/>
  <c r="M464" i="51"/>
  <c r="M463" i="51"/>
  <c r="M462" i="51"/>
  <c r="M461" i="51"/>
  <c r="M460" i="51"/>
  <c r="M459" i="51"/>
  <c r="M458" i="51"/>
  <c r="M457" i="51"/>
  <c r="M456" i="51"/>
  <c r="M455" i="51"/>
  <c r="M454" i="51"/>
  <c r="M453" i="51"/>
  <c r="M452" i="51"/>
  <c r="M451" i="51"/>
  <c r="M450" i="51"/>
  <c r="M449" i="51"/>
  <c r="M448" i="51"/>
  <c r="M447" i="51"/>
  <c r="M446" i="51"/>
  <c r="M445" i="51"/>
  <c r="M444" i="51"/>
  <c r="M443" i="51"/>
  <c r="M442" i="51"/>
  <c r="M441" i="51"/>
  <c r="M440" i="51"/>
  <c r="M439" i="51"/>
  <c r="M438" i="51"/>
  <c r="M437" i="51"/>
  <c r="M436" i="51"/>
  <c r="M435" i="51"/>
  <c r="M434" i="51"/>
  <c r="M433" i="51"/>
  <c r="M432" i="51"/>
  <c r="M431" i="51"/>
  <c r="M430" i="51"/>
  <c r="M429" i="51"/>
  <c r="M428" i="51"/>
  <c r="M427" i="51"/>
  <c r="M426" i="51"/>
  <c r="M425" i="51"/>
  <c r="M424" i="51"/>
  <c r="M423" i="51"/>
  <c r="M422" i="51"/>
  <c r="M421" i="51"/>
  <c r="M420" i="51"/>
  <c r="M419" i="51"/>
  <c r="M418" i="51"/>
  <c r="M417" i="51"/>
  <c r="M416" i="51"/>
  <c r="M415" i="51"/>
  <c r="M414" i="51"/>
  <c r="M413" i="51"/>
  <c r="M412" i="51"/>
  <c r="M411" i="51"/>
  <c r="M410" i="51"/>
  <c r="M409" i="51"/>
  <c r="M408" i="51"/>
  <c r="M407" i="51"/>
  <c r="M406" i="51"/>
  <c r="M405" i="51"/>
  <c r="M404" i="51"/>
  <c r="M403" i="51"/>
  <c r="M402" i="51"/>
  <c r="M401" i="51"/>
  <c r="M400" i="51"/>
  <c r="M399" i="51"/>
  <c r="M398" i="51"/>
  <c r="M397" i="51"/>
  <c r="M396" i="51"/>
  <c r="M395" i="51"/>
  <c r="M394" i="51"/>
  <c r="M393" i="51"/>
  <c r="M392" i="51"/>
  <c r="M391" i="51"/>
  <c r="M390" i="51"/>
  <c r="M389" i="51"/>
  <c r="M388" i="51"/>
  <c r="M387" i="51"/>
  <c r="M386" i="51"/>
  <c r="M385" i="51"/>
  <c r="M384" i="51"/>
  <c r="M383" i="51"/>
  <c r="M382" i="51"/>
  <c r="M381" i="51"/>
  <c r="M380" i="51"/>
  <c r="M379" i="51"/>
  <c r="M378" i="51"/>
  <c r="M377" i="51"/>
  <c r="M376" i="51"/>
  <c r="M375" i="51"/>
  <c r="M374" i="51"/>
  <c r="M373" i="51"/>
  <c r="M372" i="51"/>
  <c r="M371" i="51"/>
  <c r="M370" i="51"/>
  <c r="M369" i="51"/>
  <c r="M368" i="51"/>
  <c r="M367" i="51"/>
  <c r="M366" i="51"/>
  <c r="M365" i="51"/>
  <c r="M364" i="51"/>
  <c r="M363" i="51"/>
  <c r="M362" i="51"/>
  <c r="M361" i="51"/>
  <c r="M360" i="51"/>
  <c r="M359" i="51"/>
  <c r="M358" i="51"/>
  <c r="M357" i="51"/>
  <c r="M356" i="51"/>
  <c r="M355" i="51"/>
  <c r="M354" i="51"/>
  <c r="M353" i="51"/>
  <c r="M352" i="51"/>
  <c r="M351" i="51"/>
  <c r="M350" i="51"/>
  <c r="M349" i="51"/>
  <c r="M348" i="51"/>
  <c r="M347" i="51"/>
  <c r="M346" i="51"/>
  <c r="M345" i="51"/>
  <c r="M344" i="51"/>
  <c r="M343" i="51"/>
  <c r="M342" i="51"/>
  <c r="M341" i="51"/>
  <c r="M338" i="51"/>
  <c r="M337" i="51"/>
  <c r="M336" i="51"/>
  <c r="M335" i="51"/>
  <c r="M334" i="51"/>
  <c r="M333" i="51"/>
  <c r="M332" i="51"/>
  <c r="M331" i="51"/>
  <c r="M330" i="51"/>
  <c r="M329" i="51"/>
  <c r="M328" i="51"/>
  <c r="M327" i="51"/>
  <c r="M326" i="51"/>
  <c r="M325" i="51"/>
  <c r="M324" i="51"/>
  <c r="M323" i="51"/>
  <c r="M322" i="51"/>
  <c r="M321" i="51"/>
  <c r="M320" i="51"/>
  <c r="M317" i="51"/>
  <c r="M316" i="51"/>
  <c r="M315" i="51"/>
  <c r="M314" i="51"/>
  <c r="M313" i="51"/>
  <c r="M312" i="51"/>
  <c r="M311" i="51"/>
  <c r="M310" i="51"/>
  <c r="M309" i="51"/>
  <c r="M308" i="51"/>
  <c r="M307" i="51"/>
  <c r="M306" i="51"/>
  <c r="M305" i="51"/>
  <c r="M304" i="51"/>
  <c r="M303" i="51"/>
  <c r="M302" i="51"/>
  <c r="M301" i="51"/>
  <c r="M300" i="51"/>
  <c r="M299" i="51"/>
  <c r="M298" i="51"/>
  <c r="M297" i="51"/>
  <c r="M296" i="51"/>
  <c r="M295" i="51"/>
  <c r="M294" i="51"/>
  <c r="M293" i="51"/>
  <c r="M292" i="51"/>
  <c r="M291" i="51"/>
  <c r="M290" i="51"/>
  <c r="M289" i="51"/>
  <c r="M288" i="51"/>
  <c r="M287" i="51"/>
  <c r="M286" i="51"/>
  <c r="M285" i="51"/>
  <c r="M284" i="51"/>
  <c r="M283" i="51"/>
  <c r="M282" i="51"/>
  <c r="M281" i="51"/>
  <c r="M280" i="51"/>
  <c r="M279" i="51"/>
  <c r="M278" i="51"/>
  <c r="M277" i="51"/>
  <c r="M276" i="51"/>
  <c r="M275" i="51"/>
  <c r="M274" i="51"/>
  <c r="M273" i="51"/>
  <c r="M272" i="51"/>
  <c r="M271" i="51"/>
  <c r="M270" i="51"/>
  <c r="M269" i="51"/>
  <c r="M268" i="51"/>
  <c r="M267" i="51"/>
  <c r="M266" i="51"/>
  <c r="M265" i="51"/>
  <c r="M264" i="51"/>
  <c r="M263" i="51"/>
  <c r="M262" i="51"/>
  <c r="M261" i="51"/>
  <c r="M260" i="51"/>
  <c r="M258" i="51"/>
  <c r="M257" i="51"/>
  <c r="M256" i="51"/>
  <c r="M255" i="51"/>
  <c r="M254" i="51"/>
  <c r="M253" i="51"/>
  <c r="M252" i="51"/>
  <c r="M251" i="51"/>
  <c r="M250" i="51"/>
  <c r="M249" i="51"/>
  <c r="M248" i="51"/>
  <c r="M247" i="51"/>
  <c r="M246" i="51"/>
  <c r="M245" i="51"/>
  <c r="M244" i="51"/>
  <c r="M243" i="51"/>
  <c r="M242" i="51"/>
  <c r="M241" i="51"/>
  <c r="M240" i="51"/>
  <c r="M239" i="51"/>
  <c r="M238" i="51"/>
  <c r="M237" i="51"/>
  <c r="M236" i="51"/>
  <c r="M235" i="51"/>
  <c r="M234" i="51"/>
  <c r="M233" i="51"/>
  <c r="M232" i="51"/>
  <c r="M231" i="51"/>
  <c r="M230" i="51"/>
  <c r="M229" i="51"/>
  <c r="M228" i="51"/>
  <c r="M227" i="51"/>
  <c r="M226" i="51"/>
  <c r="M225" i="51"/>
  <c r="M224" i="51"/>
  <c r="M223" i="51"/>
  <c r="M222" i="51"/>
  <c r="M221" i="51"/>
  <c r="M220" i="51"/>
  <c r="M219" i="51"/>
  <c r="M218" i="51"/>
  <c r="M217" i="51"/>
  <c r="M216" i="51"/>
  <c r="M215" i="51"/>
  <c r="M214" i="51"/>
  <c r="M213" i="51"/>
  <c r="M212" i="51"/>
  <c r="M211" i="51"/>
  <c r="M210" i="51"/>
  <c r="M209" i="51"/>
  <c r="M208" i="51"/>
  <c r="M207" i="51"/>
  <c r="M206" i="51"/>
  <c r="M205" i="51"/>
  <c r="M204" i="51"/>
  <c r="M203" i="51"/>
  <c r="M202" i="51"/>
  <c r="M201" i="51"/>
  <c r="M200" i="51"/>
  <c r="M199" i="51"/>
  <c r="M198" i="51"/>
  <c r="M197" i="51"/>
  <c r="M196" i="51"/>
  <c r="M195" i="51"/>
  <c r="M194" i="51"/>
  <c r="M193" i="51"/>
  <c r="M192" i="51"/>
  <c r="M191" i="51"/>
  <c r="M190" i="51"/>
  <c r="M189" i="51"/>
  <c r="M188" i="51"/>
  <c r="M187" i="51"/>
  <c r="M186" i="51"/>
  <c r="M185" i="51"/>
  <c r="M184" i="51"/>
  <c r="M183" i="51"/>
  <c r="M182" i="51"/>
  <c r="M181" i="51"/>
  <c r="M180" i="51"/>
  <c r="M179" i="51"/>
  <c r="M178" i="51"/>
  <c r="M177" i="51"/>
  <c r="M176" i="51"/>
  <c r="M175" i="51"/>
  <c r="M174" i="51"/>
  <c r="M173" i="51"/>
  <c r="M172" i="51"/>
  <c r="M171" i="51"/>
  <c r="M170" i="51"/>
  <c r="M169" i="51"/>
  <c r="M168" i="51"/>
  <c r="M167" i="51"/>
  <c r="M166" i="51"/>
  <c r="M165" i="51"/>
  <c r="M164" i="51"/>
  <c r="M163" i="51"/>
  <c r="M162" i="51"/>
  <c r="M161" i="51"/>
  <c r="M160" i="51"/>
  <c r="M159" i="51"/>
  <c r="M158" i="51"/>
  <c r="M156" i="51"/>
  <c r="M155" i="51"/>
  <c r="M154" i="51"/>
  <c r="M153" i="51"/>
  <c r="M152" i="51"/>
  <c r="M151" i="51"/>
  <c r="M150" i="51"/>
  <c r="M149" i="51"/>
  <c r="M148" i="51"/>
  <c r="M147" i="51"/>
  <c r="M146" i="51"/>
  <c r="M145" i="51"/>
  <c r="M144" i="51"/>
  <c r="M143" i="51"/>
  <c r="M142" i="51"/>
  <c r="M141" i="51"/>
  <c r="M140" i="51"/>
  <c r="M139" i="51"/>
  <c r="M138" i="51"/>
  <c r="M137" i="51"/>
  <c r="M136" i="51"/>
  <c r="M135" i="51"/>
  <c r="M134" i="51"/>
  <c r="M133" i="51"/>
  <c r="M132" i="51"/>
  <c r="M131" i="51"/>
  <c r="M130" i="51"/>
  <c r="M129" i="51"/>
  <c r="M128" i="51"/>
  <c r="M127" i="51"/>
  <c r="M123" i="51"/>
  <c r="M122" i="51"/>
  <c r="M121" i="51"/>
  <c r="M120" i="51"/>
  <c r="M119" i="51"/>
  <c r="M118" i="51"/>
  <c r="M117" i="51"/>
  <c r="M116" i="51"/>
  <c r="M115" i="51"/>
  <c r="M114" i="51"/>
  <c r="M113" i="51"/>
  <c r="M112" i="51"/>
  <c r="M111" i="51"/>
  <c r="M110" i="51"/>
  <c r="M109" i="51"/>
  <c r="M108" i="51"/>
  <c r="M107" i="51"/>
  <c r="M106" i="51"/>
  <c r="M105" i="51"/>
  <c r="M104" i="51"/>
  <c r="M103" i="51"/>
  <c r="M102" i="51"/>
  <c r="M101" i="51"/>
  <c r="M100" i="51"/>
  <c r="M99" i="51"/>
  <c r="M98" i="51"/>
  <c r="M96" i="51"/>
  <c r="M95" i="51"/>
  <c r="M94" i="51"/>
  <c r="M93" i="51"/>
  <c r="M92" i="51"/>
  <c r="M91" i="51"/>
  <c r="M90" i="51"/>
  <c r="M89" i="51"/>
  <c r="M88" i="51"/>
  <c r="M87" i="51"/>
  <c r="M86" i="51"/>
  <c r="M85" i="51"/>
  <c r="M84" i="51"/>
  <c r="M83" i="51"/>
  <c r="M82" i="51"/>
  <c r="M81" i="51"/>
  <c r="M80" i="51"/>
  <c r="M79" i="51"/>
  <c r="M78" i="51"/>
  <c r="M77" i="51"/>
  <c r="M76" i="51"/>
  <c r="M75" i="51"/>
  <c r="M74" i="51"/>
  <c r="M73" i="51"/>
  <c r="M72" i="51"/>
  <c r="M71" i="51"/>
  <c r="M70" i="51"/>
  <c r="M69" i="51"/>
  <c r="M68" i="51"/>
  <c r="M67" i="51"/>
  <c r="M66" i="51"/>
  <c r="M65" i="51"/>
  <c r="M64" i="51"/>
  <c r="M63" i="51"/>
  <c r="M62" i="51"/>
  <c r="M61" i="51"/>
  <c r="M60" i="51"/>
  <c r="M59" i="51"/>
  <c r="M58" i="51"/>
  <c r="M57" i="51"/>
  <c r="M56" i="51"/>
  <c r="M55" i="51"/>
  <c r="M54" i="51"/>
  <c r="M53" i="51"/>
  <c r="M52" i="51"/>
  <c r="M45" i="51"/>
  <c r="M44" i="51"/>
  <c r="M43" i="51"/>
  <c r="M42" i="51"/>
  <c r="M41" i="51"/>
  <c r="M40" i="51"/>
  <c r="M39" i="51"/>
  <c r="M38" i="51"/>
  <c r="M37" i="51"/>
  <c r="M36" i="51"/>
  <c r="M35" i="51"/>
  <c r="M34" i="51"/>
  <c r="M33" i="51"/>
  <c r="M32" i="51"/>
  <c r="M31" i="51"/>
  <c r="M30" i="51"/>
  <c r="M29" i="51"/>
  <c r="M28" i="51"/>
  <c r="M27" i="51"/>
  <c r="M26" i="51"/>
  <c r="M25" i="51"/>
  <c r="M24" i="51"/>
  <c r="M23" i="51"/>
  <c r="M22" i="51"/>
  <c r="M21" i="51"/>
  <c r="M20" i="51"/>
  <c r="M19" i="51"/>
  <c r="M18" i="51"/>
  <c r="M17" i="51"/>
  <c r="M16" i="51"/>
  <c r="M15" i="51"/>
  <c r="M14" i="51"/>
  <c r="M13" i="51"/>
  <c r="M12" i="51"/>
  <c r="M11" i="51"/>
  <c r="M10" i="51"/>
  <c r="M9" i="51"/>
  <c r="M8" i="51"/>
  <c r="Q9" i="51"/>
  <c r="Q10" i="51"/>
  <c r="Q11" i="51"/>
  <c r="Q12" i="51"/>
  <c r="Q13" i="51"/>
  <c r="Q14" i="51"/>
  <c r="Q15" i="51"/>
  <c r="Q16" i="51"/>
  <c r="Q17" i="51"/>
  <c r="Q18" i="51"/>
  <c r="Q19" i="51"/>
  <c r="Q20" i="51"/>
  <c r="Q21" i="51"/>
  <c r="Q22" i="51"/>
  <c r="Q23" i="51"/>
  <c r="Q24" i="51"/>
  <c r="Q25" i="51"/>
  <c r="Q26" i="51"/>
  <c r="Q27" i="51"/>
  <c r="Q28" i="51"/>
  <c r="Q29" i="51"/>
  <c r="Q30" i="51"/>
  <c r="Q31" i="51"/>
  <c r="Q32" i="51"/>
  <c r="Q33" i="51"/>
  <c r="Q34" i="51"/>
  <c r="Q35" i="51"/>
  <c r="Q36" i="51"/>
  <c r="Q37" i="51"/>
  <c r="Q39" i="51"/>
  <c r="Q40" i="51"/>
  <c r="Q41" i="51"/>
  <c r="Q42" i="51"/>
  <c r="Q43" i="51"/>
  <c r="Q52" i="51"/>
  <c r="Q53" i="51"/>
  <c r="Q54" i="51"/>
  <c r="Q55" i="51"/>
  <c r="Q56" i="51"/>
  <c r="Q57" i="51"/>
  <c r="Q58" i="51"/>
  <c r="Q59" i="51"/>
  <c r="Q60" i="51"/>
  <c r="Q61" i="51"/>
  <c r="Q63" i="51"/>
  <c r="Q64" i="51"/>
  <c r="Q65" i="51"/>
  <c r="Q66" i="51"/>
  <c r="Q67" i="51"/>
  <c r="Q68" i="51"/>
  <c r="Q69" i="51"/>
  <c r="Q70" i="51"/>
  <c r="Q71" i="51"/>
  <c r="Q72" i="51"/>
  <c r="Q73" i="51"/>
  <c r="Q74" i="51"/>
  <c r="Q75" i="51"/>
  <c r="Q76" i="51"/>
  <c r="Q77" i="51"/>
  <c r="Q78" i="51"/>
  <c r="Q79" i="51"/>
  <c r="Q80" i="51"/>
  <c r="Q81" i="51"/>
  <c r="Q82" i="51"/>
  <c r="Q83" i="51"/>
  <c r="Q84" i="51"/>
  <c r="Q85" i="51"/>
  <c r="Q86" i="51"/>
  <c r="Q88" i="51"/>
  <c r="Q89" i="51"/>
  <c r="Q90" i="51"/>
  <c r="Q91" i="51"/>
  <c r="Q92" i="51"/>
  <c r="Q93" i="51"/>
  <c r="Q94" i="51"/>
  <c r="Q95" i="51"/>
  <c r="Q96" i="51"/>
  <c r="Q98" i="51"/>
  <c r="Q99" i="51"/>
  <c r="Q100" i="51"/>
  <c r="Q101" i="51"/>
  <c r="Q102" i="51"/>
  <c r="Q103" i="51"/>
  <c r="Q104" i="51"/>
  <c r="Q105" i="51"/>
  <c r="Q106" i="51"/>
  <c r="Q107" i="51"/>
  <c r="Q108" i="51"/>
  <c r="Q109" i="51"/>
  <c r="Q110" i="51"/>
  <c r="Q111" i="51"/>
  <c r="Q112" i="51"/>
  <c r="Q113" i="51"/>
  <c r="Q114" i="51"/>
  <c r="Q115" i="51"/>
  <c r="Q116" i="51"/>
  <c r="Q117" i="51"/>
  <c r="Q118" i="51"/>
  <c r="Q119" i="51"/>
  <c r="Q120" i="51"/>
  <c r="Q121" i="51"/>
  <c r="Q122" i="51"/>
  <c r="Q127" i="51"/>
  <c r="Q128" i="51"/>
  <c r="Q129" i="51"/>
  <c r="Q130" i="51"/>
  <c r="Q131" i="51"/>
  <c r="Q132" i="51"/>
  <c r="Q133" i="51"/>
  <c r="Q134" i="51"/>
  <c r="Q135" i="51"/>
  <c r="Q136" i="51"/>
  <c r="Q137" i="51"/>
  <c r="Q138" i="51"/>
  <c r="Q139" i="51"/>
  <c r="Q140" i="51"/>
  <c r="Q141" i="51"/>
  <c r="Q142" i="51"/>
  <c r="Q144" i="51"/>
  <c r="Q146" i="51"/>
  <c r="Q147" i="51"/>
  <c r="Q148" i="51"/>
  <c r="Q149" i="51"/>
  <c r="Q151" i="51"/>
  <c r="Q152" i="51"/>
  <c r="Q154" i="51"/>
  <c r="Q155" i="51"/>
  <c r="Q158" i="51"/>
  <c r="Q159" i="51"/>
  <c r="Q160" i="51"/>
  <c r="Q161" i="51"/>
  <c r="Q162" i="51"/>
  <c r="Q163" i="51"/>
  <c r="Q164" i="51"/>
  <c r="Q165" i="51"/>
  <c r="Q166" i="51"/>
  <c r="Q167" i="51"/>
  <c r="Q168" i="51"/>
  <c r="Q169" i="51"/>
  <c r="Q170" i="51"/>
  <c r="Q171" i="51"/>
  <c r="Q172" i="51"/>
  <c r="Q173" i="51"/>
  <c r="Q174" i="51"/>
  <c r="Q175" i="51"/>
  <c r="Q176" i="51"/>
  <c r="Q177" i="51"/>
  <c r="Q178" i="51"/>
  <c r="Q179" i="51"/>
  <c r="Q180" i="51"/>
  <c r="Q181" i="51"/>
  <c r="Q182" i="51"/>
  <c r="Q183" i="51"/>
  <c r="Q184" i="51"/>
  <c r="Q185" i="51"/>
  <c r="Q186" i="51"/>
  <c r="Q187" i="51"/>
  <c r="Q188" i="51"/>
  <c r="Q189" i="51"/>
  <c r="Q190" i="51"/>
  <c r="Q191" i="51"/>
  <c r="Q192" i="51"/>
  <c r="Q193" i="51"/>
  <c r="Q194" i="51"/>
  <c r="Q195" i="51"/>
  <c r="Q196" i="51"/>
  <c r="Q197" i="51"/>
  <c r="Q198" i="51"/>
  <c r="Q199" i="51"/>
  <c r="Q200" i="51"/>
  <c r="Q201" i="51"/>
  <c r="Q202" i="51"/>
  <c r="Q203" i="51"/>
  <c r="Q204" i="51"/>
  <c r="Q206" i="51"/>
  <c r="Q207" i="51"/>
  <c r="Q208" i="51"/>
  <c r="Q209" i="51"/>
  <c r="Q210" i="51"/>
  <c r="Q211" i="51"/>
  <c r="Q212" i="51"/>
  <c r="Q213" i="51"/>
  <c r="Q214" i="51"/>
  <c r="Q215" i="51"/>
  <c r="Q216" i="51"/>
  <c r="Q217" i="51"/>
  <c r="Q218" i="51"/>
  <c r="Q219" i="51"/>
  <c r="Q220" i="51"/>
  <c r="Q221" i="51"/>
  <c r="Q222" i="51"/>
  <c r="Q223" i="51"/>
  <c r="Q224" i="51"/>
  <c r="Q225" i="51"/>
  <c r="Q226" i="51"/>
  <c r="Q227" i="51"/>
  <c r="Q228" i="51"/>
  <c r="Q229" i="51"/>
  <c r="Q230" i="51"/>
  <c r="Q231" i="51"/>
  <c r="Q232" i="51"/>
  <c r="Q233" i="51"/>
  <c r="Q234" i="51"/>
  <c r="Q235" i="51"/>
  <c r="Q236" i="51"/>
  <c r="Q237" i="51"/>
  <c r="Q238" i="51"/>
  <c r="Q239" i="51"/>
  <c r="Q240" i="51"/>
  <c r="Q241" i="51"/>
  <c r="Q242" i="51"/>
  <c r="Q243" i="51"/>
  <c r="Q244" i="51"/>
  <c r="Q245" i="51"/>
  <c r="Q246" i="51"/>
  <c r="Q247" i="51"/>
  <c r="Q248" i="51"/>
  <c r="Q249" i="51"/>
  <c r="Q250" i="51"/>
  <c r="Q251" i="51"/>
  <c r="Q252" i="51"/>
  <c r="Q253" i="51"/>
  <c r="Q254" i="51"/>
  <c r="Q255" i="51"/>
  <c r="Q256" i="51"/>
  <c r="Q257" i="51"/>
  <c r="Q258" i="51"/>
  <c r="Q259" i="51"/>
  <c r="Q260" i="51"/>
  <c r="Q261" i="51"/>
  <c r="Q262" i="51"/>
  <c r="Q263" i="51"/>
  <c r="Q264" i="51"/>
  <c r="Q265" i="51"/>
  <c r="Q266" i="51"/>
  <c r="Q267" i="51"/>
  <c r="Q268" i="51"/>
  <c r="Q269" i="51"/>
  <c r="Q270" i="51"/>
  <c r="Q271" i="51"/>
  <c r="Q272" i="51"/>
  <c r="Q273" i="51"/>
  <c r="Q274" i="51"/>
  <c r="Q275" i="51"/>
  <c r="Q276" i="51"/>
  <c r="Q277" i="51"/>
  <c r="Q278" i="51"/>
  <c r="Q279" i="51"/>
  <c r="Q280" i="51"/>
  <c r="Q281" i="51"/>
  <c r="Q282" i="51"/>
  <c r="Q283" i="51"/>
  <c r="Q284" i="51"/>
  <c r="Q285" i="51"/>
  <c r="Q286" i="51"/>
  <c r="Q287" i="51"/>
  <c r="Q288" i="51"/>
  <c r="Q289" i="51"/>
  <c r="Q290" i="51"/>
  <c r="Q291" i="51"/>
  <c r="Q292" i="51"/>
  <c r="Q293" i="51"/>
  <c r="Q294" i="51"/>
  <c r="Q295" i="51"/>
  <c r="Q296" i="51"/>
  <c r="Q297" i="51"/>
  <c r="Q298" i="51"/>
  <c r="Q299" i="51"/>
  <c r="Q300" i="51"/>
  <c r="Q301" i="51"/>
  <c r="Q302" i="51"/>
  <c r="Q303" i="51"/>
  <c r="Q304" i="51"/>
  <c r="Q305" i="51"/>
  <c r="Q306" i="51"/>
  <c r="Q307" i="51"/>
  <c r="Q308" i="51"/>
  <c r="Q309" i="51"/>
  <c r="Q310" i="51"/>
  <c r="Q311" i="51"/>
  <c r="Q312" i="51"/>
  <c r="Q313" i="51"/>
  <c r="Q314" i="51"/>
  <c r="Q315" i="51"/>
  <c r="Q316" i="51"/>
  <c r="Q317" i="51"/>
  <c r="Q320" i="51"/>
  <c r="Q321" i="51"/>
  <c r="Q322" i="51"/>
  <c r="Q323" i="51"/>
  <c r="Q324" i="51"/>
  <c r="Q325" i="51"/>
  <c r="Q326" i="51"/>
  <c r="Q327" i="51"/>
  <c r="Q328" i="51"/>
  <c r="Q329" i="51"/>
  <c r="Q331" i="51"/>
  <c r="Q332" i="51"/>
  <c r="Q333" i="51"/>
  <c r="Q334" i="51"/>
  <c r="Q335" i="51"/>
  <c r="Q336" i="51"/>
  <c r="Q337" i="51"/>
  <c r="Q338" i="51"/>
  <c r="Q341" i="51"/>
  <c r="Q342" i="51"/>
  <c r="Q343" i="51"/>
  <c r="Q344" i="51"/>
  <c r="Q345" i="51"/>
  <c r="Q346" i="51"/>
  <c r="Q347" i="51"/>
  <c r="Q348" i="51"/>
  <c r="Q349" i="51"/>
  <c r="Q350" i="51"/>
  <c r="Q351" i="51"/>
  <c r="Q352" i="51"/>
  <c r="Q353" i="51"/>
  <c r="Q354" i="51"/>
  <c r="Q355" i="51"/>
  <c r="Q356" i="51"/>
  <c r="Q357" i="51"/>
  <c r="Q358" i="51"/>
  <c r="Q359" i="51"/>
  <c r="Q360" i="51"/>
  <c r="Q361" i="51"/>
  <c r="Q362" i="51"/>
  <c r="Q363" i="51"/>
  <c r="Q364" i="51"/>
  <c r="Q377" i="51"/>
  <c r="Q378" i="51"/>
  <c r="Q379" i="51"/>
  <c r="Q380" i="51"/>
  <c r="Q381" i="51"/>
  <c r="Q382" i="51"/>
  <c r="Q383" i="51"/>
  <c r="Q384" i="51"/>
  <c r="Q385" i="51"/>
  <c r="Q386" i="51"/>
  <c r="Q387" i="51"/>
  <c r="Q388" i="51"/>
  <c r="Q389" i="51"/>
  <c r="Q390" i="51"/>
  <c r="Q391" i="51"/>
  <c r="Q392" i="51"/>
  <c r="Q393" i="51"/>
  <c r="Q394" i="51"/>
  <c r="Q395" i="51"/>
  <c r="Q396" i="51"/>
  <c r="Q397" i="51"/>
  <c r="Q398" i="51"/>
  <c r="Q399" i="51"/>
  <c r="Q400" i="51"/>
  <c r="Q401" i="51"/>
  <c r="Q402" i="51"/>
  <c r="Q45" i="51"/>
  <c r="Q403" i="51"/>
  <c r="Q404" i="51"/>
  <c r="Q405" i="51"/>
  <c r="Q406" i="51"/>
  <c r="Q407" i="51"/>
  <c r="Q408" i="51"/>
  <c r="Q409" i="51"/>
  <c r="Q410" i="51"/>
  <c r="Q411" i="51"/>
  <c r="Q412" i="51"/>
  <c r="Q413" i="51"/>
  <c r="Q414" i="51"/>
  <c r="Q415" i="51"/>
  <c r="Q417" i="51"/>
  <c r="Q418" i="51"/>
  <c r="Q419" i="51"/>
  <c r="Q420" i="51"/>
  <c r="Q421" i="51"/>
  <c r="Q422" i="51"/>
  <c r="Q423" i="51"/>
  <c r="Q424" i="51"/>
  <c r="Q425" i="51"/>
  <c r="Q426" i="51"/>
  <c r="Q427" i="51"/>
  <c r="Q428" i="51"/>
  <c r="Q429" i="51"/>
  <c r="Q430" i="51"/>
  <c r="Q433" i="51"/>
  <c r="Q434" i="51"/>
  <c r="Q435" i="51"/>
  <c r="Q437" i="51"/>
  <c r="Q438" i="51"/>
  <c r="Q439" i="51"/>
  <c r="Q440" i="51"/>
  <c r="Q441" i="51"/>
  <c r="Q442" i="51"/>
  <c r="Q443" i="51"/>
  <c r="Q444" i="51"/>
  <c r="Q448" i="51"/>
  <c r="Q452" i="51"/>
  <c r="Q453" i="51"/>
  <c r="Q454" i="51"/>
  <c r="Q365" i="51"/>
  <c r="Q366" i="51"/>
  <c r="Q367" i="51"/>
  <c r="Q368" i="51"/>
  <c r="Q369" i="51"/>
  <c r="Q371" i="51"/>
  <c r="Q372" i="51"/>
  <c r="Q373" i="51"/>
  <c r="Q374" i="51"/>
  <c r="Q375" i="51"/>
  <c r="Q376" i="51"/>
  <c r="Q455" i="51"/>
  <c r="Q456" i="51"/>
  <c r="Q457" i="51"/>
  <c r="Q459" i="51"/>
  <c r="Q460" i="51"/>
  <c r="Q462" i="51"/>
  <c r="Q463" i="51"/>
  <c r="Q464" i="51"/>
  <c r="Q465" i="51"/>
  <c r="Q466" i="51"/>
  <c r="Q467" i="51"/>
  <c r="Q468" i="51"/>
  <c r="Q469" i="51"/>
  <c r="Q470" i="51"/>
  <c r="Q471" i="51"/>
  <c r="Q472" i="51"/>
  <c r="Q473" i="51"/>
  <c r="Q474" i="51"/>
  <c r="Q475" i="51"/>
  <c r="Q477" i="51"/>
  <c r="Q478" i="51"/>
  <c r="Q479" i="51"/>
  <c r="Q480" i="51"/>
  <c r="Q481" i="51"/>
  <c r="Q482" i="51"/>
  <c r="Q483" i="51"/>
  <c r="Q484" i="51"/>
  <c r="Q485" i="51"/>
  <c r="Q486" i="51"/>
  <c r="Q487" i="51"/>
  <c r="Q488" i="51"/>
  <c r="Q489" i="51"/>
  <c r="Q490" i="51"/>
  <c r="Q491" i="51"/>
  <c r="Q492" i="51"/>
  <c r="Q493" i="51"/>
  <c r="Q494" i="51"/>
  <c r="Q495" i="51"/>
  <c r="Q496" i="51"/>
  <c r="Q497" i="51"/>
  <c r="Q498" i="51"/>
  <c r="Q499" i="51"/>
  <c r="Q500" i="51"/>
  <c r="Q501" i="51"/>
  <c r="Q502" i="51"/>
  <c r="Q503" i="51"/>
  <c r="Q504" i="51"/>
  <c r="Q505" i="51"/>
  <c r="Q506" i="51"/>
  <c r="Q507" i="51"/>
  <c r="Q508" i="51"/>
  <c r="Q509" i="51"/>
  <c r="Q510" i="51"/>
  <c r="Q511" i="51"/>
  <c r="Q512" i="51"/>
  <c r="Q513" i="51"/>
  <c r="Q514" i="51"/>
  <c r="Q515" i="51"/>
  <c r="Q516" i="51"/>
  <c r="Q517" i="51"/>
  <c r="Q518" i="51"/>
  <c r="Q519" i="51"/>
  <c r="Q520" i="51"/>
  <c r="Q521" i="51"/>
  <c r="Q522" i="51"/>
  <c r="Q523" i="51"/>
  <c r="Q524" i="51"/>
  <c r="Q525" i="51"/>
  <c r="Q526" i="51"/>
  <c r="Q527" i="51"/>
  <c r="Q528" i="51"/>
  <c r="Q529" i="51"/>
  <c r="Q530" i="51"/>
  <c r="Q531" i="51"/>
  <c r="Q532" i="51"/>
  <c r="Q533" i="51"/>
  <c r="Q534" i="51"/>
  <c r="Q535" i="51"/>
  <c r="Q536" i="51"/>
  <c r="Q537" i="51"/>
  <c r="Q538" i="51"/>
  <c r="Q539" i="51"/>
  <c r="Q540" i="51"/>
  <c r="Q541" i="51"/>
  <c r="Q542" i="51"/>
  <c r="Q543" i="51"/>
  <c r="Q544" i="51"/>
  <c r="Q545" i="51"/>
  <c r="Q546" i="51"/>
  <c r="Q547" i="51"/>
  <c r="Q548" i="51"/>
  <c r="Q549" i="51"/>
  <c r="Q550" i="51"/>
  <c r="Q551" i="51"/>
  <c r="Q552" i="51"/>
  <c r="Q553" i="51"/>
  <c r="Q554" i="51"/>
  <c r="Q555" i="51"/>
  <c r="Q556" i="51"/>
  <c r="Q557" i="51"/>
  <c r="Q558" i="51"/>
  <c r="Q559" i="51"/>
  <c r="Q560" i="51"/>
  <c r="Q561" i="51"/>
  <c r="Q562" i="51"/>
  <c r="Q563" i="51"/>
  <c r="Q564" i="51"/>
  <c r="Q565" i="51"/>
  <c r="Q566" i="51"/>
  <c r="Q567" i="51"/>
  <c r="Q568" i="51"/>
  <c r="Q569" i="51"/>
  <c r="Q570" i="51"/>
  <c r="Q571" i="51"/>
  <c r="Q572" i="51"/>
  <c r="Q573" i="51"/>
  <c r="Q574" i="51"/>
  <c r="Q575" i="51"/>
  <c r="Q576" i="51"/>
  <c r="Q577" i="51"/>
  <c r="Q578" i="51"/>
  <c r="Q579" i="51"/>
  <c r="Q580" i="51"/>
  <c r="Q581" i="51"/>
  <c r="Q582" i="51"/>
  <c r="Q583" i="51"/>
  <c r="Q584" i="51"/>
  <c r="Q585" i="51"/>
  <c r="Q586" i="51"/>
  <c r="Q587" i="51"/>
  <c r="Q588" i="51"/>
  <c r="Q589" i="51"/>
  <c r="Q590" i="51"/>
  <c r="Q591" i="51"/>
  <c r="Q592" i="51"/>
  <c r="Q593" i="51"/>
  <c r="Q594" i="51"/>
  <c r="Q595" i="51"/>
  <c r="Q596" i="51"/>
  <c r="Q597" i="51"/>
  <c r="Q598" i="51"/>
  <c r="Q599" i="51"/>
  <c r="Q600" i="51"/>
  <c r="Q601" i="51"/>
  <c r="Q602" i="51"/>
  <c r="Q603" i="51"/>
  <c r="Q604" i="51"/>
  <c r="Q605" i="51"/>
  <c r="Q606" i="51"/>
  <c r="Q607" i="51"/>
  <c r="Q608" i="51"/>
  <c r="Q609" i="51"/>
  <c r="Q610" i="51"/>
  <c r="Q611" i="51"/>
  <c r="Q612" i="51"/>
  <c r="Q613" i="51"/>
  <c r="Q614" i="51"/>
  <c r="Q615" i="51"/>
  <c r="Q616" i="51"/>
  <c r="Q617" i="51"/>
  <c r="Q618" i="51"/>
  <c r="Q619" i="51"/>
  <c r="Q620" i="51"/>
  <c r="Q621" i="51"/>
  <c r="Q622" i="51"/>
  <c r="Q623" i="51"/>
  <c r="Q624" i="51"/>
  <c r="Q625" i="51"/>
  <c r="Q626" i="51"/>
  <c r="Q627" i="51"/>
  <c r="Q628" i="51"/>
  <c r="Q629" i="51"/>
  <c r="Q630" i="51"/>
  <c r="Q634" i="51"/>
  <c r="Q635" i="51"/>
  <c r="Q636" i="51"/>
  <c r="Q637" i="51"/>
  <c r="Q638" i="51"/>
  <c r="Q639" i="51"/>
  <c r="Q640" i="51"/>
  <c r="Q641" i="51"/>
  <c r="Q642" i="51"/>
  <c r="Q643" i="51"/>
  <c r="Q449" i="51"/>
  <c r="Q7" i="51"/>
  <c r="Q8" i="51"/>
  <c r="Q44" i="51"/>
  <c r="R449" i="51"/>
  <c r="R7" i="51"/>
  <c r="R8" i="51"/>
  <c r="R9" i="51"/>
  <c r="R10" i="51"/>
  <c r="R11" i="51"/>
  <c r="R12" i="51"/>
  <c r="R13" i="51"/>
  <c r="R14" i="51"/>
  <c r="R15" i="51"/>
  <c r="R16" i="51"/>
  <c r="R17" i="51"/>
  <c r="R18" i="51"/>
  <c r="R19" i="51"/>
  <c r="R20" i="51"/>
  <c r="R21" i="51"/>
  <c r="R22" i="51"/>
  <c r="R23" i="51"/>
  <c r="R24" i="51"/>
  <c r="R25" i="51"/>
  <c r="R26" i="51"/>
  <c r="R27" i="51"/>
  <c r="R28" i="51"/>
  <c r="R29" i="51"/>
  <c r="R30" i="51"/>
  <c r="R31" i="51"/>
  <c r="R32" i="51"/>
  <c r="R33" i="51"/>
  <c r="R34" i="51"/>
  <c r="R35" i="51"/>
  <c r="R36" i="51"/>
  <c r="R37" i="51"/>
  <c r="R38" i="51"/>
  <c r="R39" i="51"/>
  <c r="R40" i="51"/>
  <c r="R41" i="51"/>
  <c r="R42" i="51"/>
  <c r="R43" i="51"/>
  <c r="R52" i="51"/>
  <c r="R53" i="51"/>
  <c r="R54" i="51"/>
  <c r="R55" i="51"/>
  <c r="R56" i="51"/>
  <c r="R57" i="51"/>
  <c r="R58" i="51"/>
  <c r="R59" i="51"/>
  <c r="R60" i="51"/>
  <c r="R61" i="51"/>
  <c r="R63" i="51"/>
  <c r="R64" i="51"/>
  <c r="R65" i="51"/>
  <c r="R66" i="51"/>
  <c r="R67" i="51"/>
  <c r="R68" i="51"/>
  <c r="R69" i="51"/>
  <c r="R70" i="51"/>
  <c r="R71" i="51"/>
  <c r="R72" i="51"/>
  <c r="R73" i="51"/>
  <c r="R74" i="51"/>
  <c r="R75" i="51"/>
  <c r="R76" i="51"/>
  <c r="R77" i="51"/>
  <c r="R78" i="51"/>
  <c r="R79" i="51"/>
  <c r="R80" i="51"/>
  <c r="R81" i="51"/>
  <c r="R82" i="51"/>
  <c r="R83" i="51"/>
  <c r="R84" i="51"/>
  <c r="R85" i="51"/>
  <c r="R86" i="51"/>
  <c r="R88" i="51"/>
  <c r="R89" i="51"/>
  <c r="R90" i="51"/>
  <c r="R91" i="51"/>
  <c r="R92" i="51"/>
  <c r="R93" i="51"/>
  <c r="R94" i="51"/>
  <c r="R95" i="51"/>
  <c r="R96" i="51"/>
  <c r="R98" i="51"/>
  <c r="R99" i="51"/>
  <c r="R100" i="51"/>
  <c r="R101" i="51"/>
  <c r="R102" i="51"/>
  <c r="R103" i="51"/>
  <c r="R104" i="51"/>
  <c r="R105" i="51"/>
  <c r="R106" i="51"/>
  <c r="R107" i="51"/>
  <c r="R108" i="51"/>
  <c r="R109" i="51"/>
  <c r="R110" i="51"/>
  <c r="R111" i="51"/>
  <c r="R112" i="51"/>
  <c r="R113" i="51"/>
  <c r="R114" i="51"/>
  <c r="R115" i="51"/>
  <c r="R116" i="51"/>
  <c r="R117" i="51"/>
  <c r="R118" i="51"/>
  <c r="R119" i="51"/>
  <c r="R120" i="51"/>
  <c r="R121" i="51"/>
  <c r="R122" i="51"/>
  <c r="R127" i="51"/>
  <c r="R128" i="51"/>
  <c r="R129" i="51"/>
  <c r="R130" i="51"/>
  <c r="R131" i="51"/>
  <c r="R132" i="51"/>
  <c r="R133" i="51"/>
  <c r="R134" i="51"/>
  <c r="R135" i="51"/>
  <c r="R136" i="51"/>
  <c r="R137" i="51"/>
  <c r="R138" i="51"/>
  <c r="R139" i="51"/>
  <c r="R140" i="51"/>
  <c r="R141" i="51"/>
  <c r="R142" i="51"/>
  <c r="R144" i="51"/>
  <c r="R146" i="51"/>
  <c r="R147" i="51"/>
  <c r="R148" i="51"/>
  <c r="R149" i="51"/>
  <c r="R151" i="51"/>
  <c r="R152" i="51"/>
  <c r="R154" i="51"/>
  <c r="R155" i="51"/>
  <c r="R158" i="51"/>
  <c r="R159" i="51"/>
  <c r="R160" i="51"/>
  <c r="R161" i="51"/>
  <c r="R162" i="51"/>
  <c r="R163" i="51"/>
  <c r="R164" i="51"/>
  <c r="R165" i="51"/>
  <c r="R166" i="51"/>
  <c r="R167" i="51"/>
  <c r="R168" i="51"/>
  <c r="R169" i="51"/>
  <c r="R170" i="51"/>
  <c r="R171" i="51"/>
  <c r="R172" i="51"/>
  <c r="R173" i="51"/>
  <c r="R174" i="51"/>
  <c r="R175" i="51"/>
  <c r="R176" i="51"/>
  <c r="R177" i="51"/>
  <c r="R178" i="51"/>
  <c r="R179" i="51"/>
  <c r="R180" i="51"/>
  <c r="R181" i="51"/>
  <c r="R182" i="51"/>
  <c r="R183" i="51"/>
  <c r="R184" i="51"/>
  <c r="R185" i="51"/>
  <c r="R186" i="51"/>
  <c r="R187" i="51"/>
  <c r="R188" i="51"/>
  <c r="R189" i="51"/>
  <c r="R190" i="51"/>
  <c r="R191" i="51"/>
  <c r="R192" i="51"/>
  <c r="R193" i="51"/>
  <c r="R194" i="51"/>
  <c r="R195" i="51"/>
  <c r="R196" i="51"/>
  <c r="R197" i="51"/>
  <c r="R198" i="51"/>
  <c r="R199" i="51"/>
  <c r="R200" i="51"/>
  <c r="R201" i="51"/>
  <c r="R202" i="51"/>
  <c r="R203" i="51"/>
  <c r="R204" i="51"/>
  <c r="R206" i="51"/>
  <c r="R207" i="51"/>
  <c r="R208" i="51"/>
  <c r="R209" i="51"/>
  <c r="R210" i="51"/>
  <c r="R211" i="51"/>
  <c r="R212" i="51"/>
  <c r="R213" i="51"/>
  <c r="R214" i="51"/>
  <c r="R215" i="51"/>
  <c r="R216" i="51"/>
  <c r="R217" i="51"/>
  <c r="R218" i="51"/>
  <c r="R219" i="51"/>
  <c r="R220" i="51"/>
  <c r="R221" i="51"/>
  <c r="R222" i="51"/>
  <c r="R223" i="51"/>
  <c r="R224" i="51"/>
  <c r="R225" i="51"/>
  <c r="R226" i="51"/>
  <c r="R227" i="51"/>
  <c r="R228" i="51"/>
  <c r="R229" i="51"/>
  <c r="R230" i="51"/>
  <c r="R231" i="51"/>
  <c r="R232" i="51"/>
  <c r="R233" i="51"/>
  <c r="R234" i="51"/>
  <c r="R235" i="51"/>
  <c r="R236" i="51"/>
  <c r="R237" i="51"/>
  <c r="R238" i="51"/>
  <c r="R239" i="51"/>
  <c r="R240" i="51"/>
  <c r="R241" i="51"/>
  <c r="R242" i="51"/>
  <c r="R243" i="51"/>
  <c r="R244" i="51"/>
  <c r="R245" i="51"/>
  <c r="R246" i="51"/>
  <c r="R247" i="51"/>
  <c r="R248" i="51"/>
  <c r="R249" i="51"/>
  <c r="R250" i="51"/>
  <c r="R251" i="51"/>
  <c r="R252" i="51"/>
  <c r="R253" i="51"/>
  <c r="R254" i="51"/>
  <c r="R255" i="51"/>
  <c r="R256" i="51"/>
  <c r="R257" i="51"/>
  <c r="R258" i="51"/>
  <c r="R259" i="51"/>
  <c r="R260" i="51"/>
  <c r="R261" i="51"/>
  <c r="R262" i="51"/>
  <c r="R263" i="51"/>
  <c r="R264" i="51"/>
  <c r="R265" i="51"/>
  <c r="R266" i="51"/>
  <c r="R267" i="51"/>
  <c r="R268" i="51"/>
  <c r="R269" i="51"/>
  <c r="R270" i="51"/>
  <c r="R271" i="51"/>
  <c r="R272" i="51"/>
  <c r="R273" i="51"/>
  <c r="R274" i="51"/>
  <c r="R275" i="51"/>
  <c r="R276" i="51"/>
  <c r="R277" i="51"/>
  <c r="R278" i="51"/>
  <c r="R279" i="51"/>
  <c r="R280" i="51"/>
  <c r="R281" i="51"/>
  <c r="R282" i="51"/>
  <c r="R283" i="51"/>
  <c r="R284" i="51"/>
  <c r="R285" i="51"/>
  <c r="R286" i="51"/>
  <c r="R287" i="51"/>
  <c r="R288" i="51"/>
  <c r="R289" i="51"/>
  <c r="R290" i="51"/>
  <c r="R291" i="51"/>
  <c r="R292" i="51"/>
  <c r="R293" i="51"/>
  <c r="R294" i="51"/>
  <c r="R295" i="51"/>
  <c r="R296" i="51"/>
  <c r="R297" i="51"/>
  <c r="R298" i="51"/>
  <c r="R299" i="51"/>
  <c r="R300" i="51"/>
  <c r="R301" i="51"/>
  <c r="R302" i="51"/>
  <c r="R303" i="51"/>
  <c r="R304" i="51"/>
  <c r="R305" i="51"/>
  <c r="R306" i="51"/>
  <c r="R307" i="51"/>
  <c r="R308" i="51"/>
  <c r="R309" i="51"/>
  <c r="R310" i="51"/>
  <c r="R311" i="51"/>
  <c r="R312" i="51"/>
  <c r="R313" i="51"/>
  <c r="R314" i="51"/>
  <c r="R315" i="51"/>
  <c r="R316" i="51"/>
  <c r="R317" i="51"/>
  <c r="R320" i="51"/>
  <c r="R321" i="51"/>
  <c r="R322" i="51"/>
  <c r="R323" i="51"/>
  <c r="R324" i="51"/>
  <c r="R325" i="51"/>
  <c r="R326" i="51"/>
  <c r="R327" i="51"/>
  <c r="R328" i="51"/>
  <c r="R329" i="51"/>
  <c r="R331" i="51"/>
  <c r="R332" i="51"/>
  <c r="R333" i="51"/>
  <c r="R334" i="51"/>
  <c r="R335" i="51"/>
  <c r="R336" i="51"/>
  <c r="R337" i="51"/>
  <c r="R338" i="51"/>
  <c r="R341" i="51"/>
  <c r="R342" i="51"/>
  <c r="R343" i="51"/>
  <c r="R344" i="51"/>
  <c r="R345" i="51"/>
  <c r="R346" i="51"/>
  <c r="R347" i="51"/>
  <c r="R348" i="51"/>
  <c r="R349" i="51"/>
  <c r="R350" i="51"/>
  <c r="R351" i="51"/>
  <c r="R352" i="51"/>
  <c r="R353" i="51"/>
  <c r="R354" i="51"/>
  <c r="R355" i="51"/>
  <c r="R356" i="51"/>
  <c r="R357" i="51"/>
  <c r="R358" i="51"/>
  <c r="R359" i="51"/>
  <c r="R360" i="51"/>
  <c r="R361" i="51"/>
  <c r="R362" i="51"/>
  <c r="R363" i="51"/>
  <c r="R364" i="51"/>
  <c r="R377" i="51"/>
  <c r="R378" i="51"/>
  <c r="R379" i="51"/>
  <c r="R380" i="51"/>
  <c r="R381" i="51"/>
  <c r="R382" i="51"/>
  <c r="R383" i="51"/>
  <c r="R384" i="51"/>
  <c r="R385" i="51"/>
  <c r="R386" i="51"/>
  <c r="R387" i="51"/>
  <c r="R388" i="51"/>
  <c r="R389" i="51"/>
  <c r="R390" i="51"/>
  <c r="R391" i="51"/>
  <c r="R392" i="51"/>
  <c r="R393" i="51"/>
  <c r="R394" i="51"/>
  <c r="R395" i="51"/>
  <c r="R396" i="51"/>
  <c r="R397" i="51"/>
  <c r="R398" i="51"/>
  <c r="R399" i="51"/>
  <c r="R400" i="51"/>
  <c r="R401" i="51"/>
  <c r="R402" i="51"/>
  <c r="R45" i="51"/>
  <c r="R403" i="51"/>
  <c r="R404" i="51"/>
  <c r="R405" i="51"/>
  <c r="R406" i="51"/>
  <c r="R407" i="51"/>
  <c r="R408" i="51"/>
  <c r="R409" i="51"/>
  <c r="R410" i="51"/>
  <c r="R411" i="51"/>
  <c r="R412" i="51"/>
  <c r="R413" i="51"/>
  <c r="R414" i="51"/>
  <c r="R415" i="51"/>
  <c r="R417" i="51"/>
  <c r="R418" i="51"/>
  <c r="R419" i="51"/>
  <c r="R420" i="51"/>
  <c r="R421" i="51"/>
  <c r="R422" i="51"/>
  <c r="R423" i="51"/>
  <c r="R424" i="51"/>
  <c r="R425" i="51"/>
  <c r="R426" i="51"/>
  <c r="R427" i="51"/>
  <c r="R428" i="51"/>
  <c r="R429" i="51"/>
  <c r="R430" i="51"/>
  <c r="R433" i="51"/>
  <c r="R434" i="51"/>
  <c r="R435" i="51"/>
  <c r="R437" i="51"/>
  <c r="R438" i="51"/>
  <c r="R439" i="51"/>
  <c r="R440" i="51"/>
  <c r="R441" i="51"/>
  <c r="R442" i="51"/>
  <c r="R443" i="51"/>
  <c r="R444" i="51"/>
  <c r="R445" i="51"/>
  <c r="R446" i="51"/>
  <c r="R447" i="51"/>
  <c r="R448" i="51"/>
  <c r="R452" i="51"/>
  <c r="R453" i="51"/>
  <c r="R454" i="51"/>
  <c r="R365" i="51"/>
  <c r="R366" i="51"/>
  <c r="R367" i="51"/>
  <c r="R368" i="51"/>
  <c r="R369" i="51"/>
  <c r="R371" i="51"/>
  <c r="R372" i="51"/>
  <c r="R373" i="51"/>
  <c r="R374" i="51"/>
  <c r="R375" i="51"/>
  <c r="R376" i="51"/>
  <c r="R455" i="51"/>
  <c r="R456" i="51"/>
  <c r="R457" i="51"/>
  <c r="R459" i="51"/>
  <c r="R460" i="51"/>
  <c r="R462" i="51"/>
  <c r="R463" i="51"/>
  <c r="R464" i="51"/>
  <c r="R465" i="51"/>
  <c r="R466" i="51"/>
  <c r="R467" i="51"/>
  <c r="R468" i="51"/>
  <c r="R469" i="51"/>
  <c r="R470" i="51"/>
  <c r="R471" i="51"/>
  <c r="R472" i="51"/>
  <c r="R473" i="51"/>
  <c r="R474" i="51"/>
  <c r="R475" i="51"/>
  <c r="R477" i="51"/>
  <c r="R478" i="51"/>
  <c r="R479" i="51"/>
  <c r="R480" i="51"/>
  <c r="R481" i="51"/>
  <c r="R482" i="51"/>
  <c r="R483" i="51"/>
  <c r="R484" i="51"/>
  <c r="R485" i="51"/>
  <c r="R486" i="51"/>
  <c r="R487" i="51"/>
  <c r="R488" i="51"/>
  <c r="R489" i="51"/>
  <c r="R490" i="51"/>
  <c r="R491" i="51"/>
  <c r="R492" i="51"/>
  <c r="R493" i="51"/>
  <c r="R494" i="51"/>
  <c r="R495" i="51"/>
  <c r="R496" i="51"/>
  <c r="R497" i="51"/>
  <c r="R498" i="51"/>
  <c r="R499" i="51"/>
  <c r="R500" i="51"/>
  <c r="R501" i="51"/>
  <c r="R502" i="51"/>
  <c r="R503" i="51"/>
  <c r="R504" i="51"/>
  <c r="R505" i="51"/>
  <c r="R506" i="51"/>
  <c r="R507" i="51"/>
  <c r="R508" i="51"/>
  <c r="R509" i="51"/>
  <c r="R510" i="51"/>
  <c r="R511" i="51"/>
  <c r="R512" i="51"/>
  <c r="R513" i="51"/>
  <c r="R514" i="51"/>
  <c r="R515" i="51"/>
  <c r="R516" i="51"/>
  <c r="R517" i="51"/>
  <c r="R518" i="51"/>
  <c r="R519" i="51"/>
  <c r="R520" i="51"/>
  <c r="R521" i="51"/>
  <c r="R522" i="51"/>
  <c r="R523" i="51"/>
  <c r="R524" i="51"/>
  <c r="R525" i="51"/>
  <c r="R526" i="51"/>
  <c r="R527" i="51"/>
  <c r="R528" i="51"/>
  <c r="R529" i="51"/>
  <c r="R530" i="51"/>
  <c r="R531" i="51"/>
  <c r="R532" i="51"/>
  <c r="R533" i="51"/>
  <c r="R534" i="51"/>
  <c r="R535" i="51"/>
  <c r="R536" i="51"/>
  <c r="R537" i="51"/>
  <c r="R538" i="51"/>
  <c r="R539" i="51"/>
  <c r="R540" i="51"/>
  <c r="R541" i="51"/>
  <c r="R542" i="51"/>
  <c r="R543" i="51"/>
  <c r="R544" i="51"/>
  <c r="R545" i="51"/>
  <c r="R546" i="51"/>
  <c r="R547" i="51"/>
  <c r="R548" i="51"/>
  <c r="R549" i="51"/>
  <c r="R550" i="51"/>
  <c r="R551" i="51"/>
  <c r="R552" i="51"/>
  <c r="R553" i="51"/>
  <c r="R554" i="51"/>
  <c r="R555" i="51"/>
  <c r="R556" i="51"/>
  <c r="R557" i="51"/>
  <c r="R558" i="51"/>
  <c r="R559" i="51"/>
  <c r="R560" i="51"/>
  <c r="R561" i="51"/>
  <c r="R562" i="51"/>
  <c r="R563" i="51"/>
  <c r="R564" i="51"/>
  <c r="R565" i="51"/>
  <c r="R566" i="51"/>
  <c r="R567" i="51"/>
  <c r="R568" i="51"/>
  <c r="R569" i="51"/>
  <c r="R570" i="51"/>
  <c r="R571" i="51"/>
  <c r="R572" i="51"/>
  <c r="R573" i="51"/>
  <c r="R574" i="51"/>
  <c r="R575" i="51"/>
  <c r="R576" i="51"/>
  <c r="R577" i="51"/>
  <c r="R578" i="51"/>
  <c r="R579" i="51"/>
  <c r="R580" i="51"/>
  <c r="R581" i="51"/>
  <c r="R582" i="51"/>
  <c r="R583" i="51"/>
  <c r="R584" i="51"/>
  <c r="R585" i="51"/>
  <c r="R586" i="51"/>
  <c r="R587" i="51"/>
  <c r="R588" i="51"/>
  <c r="R589" i="51"/>
  <c r="R590" i="51"/>
  <c r="R591" i="51"/>
  <c r="R592" i="51"/>
  <c r="R593" i="51"/>
  <c r="R594" i="51"/>
  <c r="R595" i="51"/>
  <c r="R596" i="51"/>
  <c r="R597" i="51"/>
  <c r="R598" i="51"/>
  <c r="R599" i="51"/>
  <c r="R600" i="51"/>
  <c r="R601" i="51"/>
  <c r="R602" i="51"/>
  <c r="R603" i="51"/>
  <c r="R604" i="51"/>
  <c r="R605" i="51"/>
  <c r="R606" i="51"/>
  <c r="R607" i="51"/>
  <c r="R608" i="51"/>
  <c r="R609" i="51"/>
  <c r="R610" i="51"/>
  <c r="R611" i="51"/>
  <c r="R612" i="51"/>
  <c r="R613" i="51"/>
  <c r="R614" i="51"/>
  <c r="R615" i="51"/>
  <c r="R616" i="51"/>
  <c r="R617" i="51"/>
  <c r="R618" i="51"/>
  <c r="R619" i="51"/>
  <c r="R620" i="51"/>
  <c r="R621" i="51"/>
  <c r="R622" i="51"/>
  <c r="R623" i="51"/>
  <c r="R624" i="51"/>
  <c r="R625" i="51"/>
  <c r="R626" i="51"/>
  <c r="R627" i="51"/>
  <c r="R628" i="51"/>
  <c r="R629" i="51"/>
  <c r="R630" i="51"/>
  <c r="R634" i="51"/>
  <c r="R635" i="51"/>
  <c r="R636" i="51"/>
  <c r="R637" i="51"/>
  <c r="R638" i="51"/>
  <c r="R639" i="51"/>
  <c r="R640" i="51"/>
  <c r="R641" i="51"/>
  <c r="R642" i="51"/>
  <c r="R643" i="51"/>
  <c r="R44" i="51"/>
  <c r="V496" i="51"/>
  <c r="U643" i="51"/>
  <c r="U642" i="51"/>
  <c r="U641" i="51"/>
  <c r="U640" i="51"/>
  <c r="U639" i="51"/>
  <c r="U638" i="51"/>
  <c r="U637" i="51"/>
  <c r="U636" i="51"/>
  <c r="U635" i="51"/>
  <c r="U634" i="51"/>
  <c r="U630" i="51"/>
  <c r="U629" i="51"/>
  <c r="U628" i="51"/>
  <c r="U627" i="51"/>
  <c r="U626" i="51"/>
  <c r="U625" i="51"/>
  <c r="U624" i="51"/>
  <c r="U623" i="51"/>
  <c r="U622" i="51"/>
  <c r="U621" i="51"/>
  <c r="U620" i="51"/>
  <c r="U619" i="51"/>
  <c r="U618" i="51"/>
  <c r="U617" i="51"/>
  <c r="U616" i="51"/>
  <c r="U615" i="51"/>
  <c r="U614" i="51"/>
  <c r="U613" i="51"/>
  <c r="U612" i="51"/>
  <c r="U611" i="51"/>
  <c r="U610" i="51"/>
  <c r="U609" i="51"/>
  <c r="U608" i="51"/>
  <c r="U607" i="51"/>
  <c r="U606" i="51"/>
  <c r="U605" i="51"/>
  <c r="U604" i="51"/>
  <c r="U603" i="51"/>
  <c r="U602" i="51"/>
  <c r="U601" i="51"/>
  <c r="U600" i="51"/>
  <c r="U599" i="51"/>
  <c r="U598" i="51"/>
  <c r="U597" i="51"/>
  <c r="U596" i="51"/>
  <c r="U595" i="51"/>
  <c r="U594" i="51"/>
  <c r="U593" i="51"/>
  <c r="U592" i="51"/>
  <c r="U591" i="51"/>
  <c r="U590" i="51"/>
  <c r="U589" i="51"/>
  <c r="U588" i="51"/>
  <c r="U587" i="51"/>
  <c r="U586" i="51"/>
  <c r="U585" i="51"/>
  <c r="U584" i="51"/>
  <c r="U583" i="51"/>
  <c r="U582" i="51"/>
  <c r="U581" i="51"/>
  <c r="U580" i="51"/>
  <c r="U579" i="51"/>
  <c r="U578" i="51"/>
  <c r="U577" i="51"/>
  <c r="U576" i="51"/>
  <c r="U575" i="51"/>
  <c r="U574" i="51"/>
  <c r="U573" i="51"/>
  <c r="U572" i="51"/>
  <c r="U571" i="51"/>
  <c r="U570" i="51"/>
  <c r="U569" i="51"/>
  <c r="U568" i="51"/>
  <c r="U567" i="51"/>
  <c r="U566" i="51"/>
  <c r="U565" i="51"/>
  <c r="U564" i="51"/>
  <c r="U563" i="51"/>
  <c r="U562" i="51"/>
  <c r="U561" i="51"/>
  <c r="U560" i="51"/>
  <c r="U559" i="51"/>
  <c r="U558" i="51"/>
  <c r="U557" i="51"/>
  <c r="U556" i="51"/>
  <c r="U555" i="51"/>
  <c r="U554" i="51"/>
  <c r="U553" i="51"/>
  <c r="U552" i="51"/>
  <c r="U551" i="51"/>
  <c r="U550" i="51"/>
  <c r="U549" i="51"/>
  <c r="U548" i="51"/>
  <c r="U547" i="51"/>
  <c r="U546" i="51"/>
  <c r="U545" i="51"/>
  <c r="U544" i="51"/>
  <c r="U543" i="51"/>
  <c r="U542" i="51"/>
  <c r="U541" i="51"/>
  <c r="U540" i="51"/>
  <c r="U539" i="51"/>
  <c r="U538" i="51"/>
  <c r="U537" i="51"/>
  <c r="U536" i="51"/>
  <c r="U535" i="51"/>
  <c r="U534" i="51"/>
  <c r="U533" i="51"/>
  <c r="U532" i="51"/>
  <c r="U531" i="51"/>
  <c r="U530" i="51"/>
  <c r="U529" i="51"/>
  <c r="U528" i="51"/>
  <c r="U527" i="51"/>
  <c r="U526" i="51"/>
  <c r="U525" i="51"/>
  <c r="U524" i="51"/>
  <c r="U523" i="51"/>
  <c r="U522" i="51"/>
  <c r="U521" i="51"/>
  <c r="U520" i="51"/>
  <c r="U519" i="51"/>
  <c r="U518" i="51"/>
  <c r="U517" i="51"/>
  <c r="U516" i="51"/>
  <c r="U515" i="51"/>
  <c r="U514" i="51"/>
  <c r="U513" i="51"/>
  <c r="U512" i="51"/>
  <c r="U511" i="51"/>
  <c r="U510" i="51"/>
  <c r="U509" i="51"/>
  <c r="U508" i="51"/>
  <c r="U507" i="51"/>
  <c r="U506" i="51"/>
  <c r="U505" i="51"/>
  <c r="U504" i="51"/>
  <c r="U503" i="51"/>
  <c r="U502" i="51"/>
  <c r="U501" i="51"/>
  <c r="U500" i="51"/>
  <c r="U499" i="51"/>
  <c r="U498" i="51"/>
  <c r="U497" i="51"/>
  <c r="U496" i="51"/>
  <c r="U495" i="51"/>
  <c r="U494" i="51"/>
  <c r="U493" i="51"/>
  <c r="U492" i="51"/>
  <c r="U491" i="51"/>
  <c r="U490" i="51"/>
  <c r="U489" i="51"/>
  <c r="U488" i="51"/>
  <c r="U487" i="51"/>
  <c r="U486" i="51"/>
  <c r="U485" i="51"/>
  <c r="U484" i="51"/>
  <c r="U483" i="51"/>
  <c r="U482" i="51"/>
  <c r="U481" i="51"/>
  <c r="U480" i="51"/>
  <c r="U479" i="51"/>
  <c r="U478" i="51"/>
  <c r="U477" i="51"/>
  <c r="U476" i="51"/>
  <c r="U475" i="51"/>
  <c r="U474" i="51"/>
  <c r="U473" i="51"/>
  <c r="U472" i="51"/>
  <c r="U471" i="51"/>
  <c r="U470" i="51"/>
  <c r="U469" i="51"/>
  <c r="U468" i="51"/>
  <c r="U467" i="51"/>
  <c r="U466" i="51"/>
  <c r="U465" i="51"/>
  <c r="U464" i="51"/>
  <c r="U463" i="51"/>
  <c r="U462" i="51"/>
  <c r="U461" i="51"/>
  <c r="U460" i="51"/>
  <c r="U459" i="51"/>
  <c r="U458" i="51"/>
  <c r="U457" i="51"/>
  <c r="U456" i="51"/>
  <c r="U455" i="51"/>
  <c r="U376" i="51"/>
  <c r="U375" i="51"/>
  <c r="U374" i="51"/>
  <c r="U373" i="51"/>
  <c r="U372" i="51"/>
  <c r="U371" i="51"/>
  <c r="U370" i="51"/>
  <c r="U369" i="51"/>
  <c r="U368" i="51"/>
  <c r="U367" i="51"/>
  <c r="U366" i="51"/>
  <c r="U365" i="51"/>
  <c r="U454" i="51"/>
  <c r="U453" i="51"/>
  <c r="U452" i="51"/>
  <c r="U451" i="51"/>
  <c r="U450" i="51"/>
  <c r="U448" i="51"/>
  <c r="U447" i="51"/>
  <c r="U446" i="51"/>
  <c r="U445" i="51"/>
  <c r="U444" i="51"/>
  <c r="U443" i="51"/>
  <c r="U442" i="51"/>
  <c r="U441" i="51"/>
  <c r="U440" i="51"/>
  <c r="U439" i="51"/>
  <c r="U438" i="51"/>
  <c r="U437" i="51"/>
  <c r="U436" i="51"/>
  <c r="U435" i="51"/>
  <c r="U434" i="51"/>
  <c r="U433" i="51"/>
  <c r="U432" i="51"/>
  <c r="U431" i="51"/>
  <c r="U430" i="51"/>
  <c r="U429" i="51"/>
  <c r="U428" i="51"/>
  <c r="U427" i="51"/>
  <c r="U426" i="51"/>
  <c r="U425" i="51"/>
  <c r="U424" i="51"/>
  <c r="U423" i="51"/>
  <c r="U422" i="51"/>
  <c r="U421" i="51"/>
  <c r="U420" i="51"/>
  <c r="U419" i="51"/>
  <c r="U418" i="51"/>
  <c r="U417" i="51"/>
  <c r="U416" i="51"/>
  <c r="U415" i="51"/>
  <c r="U414" i="51"/>
  <c r="U413" i="51"/>
  <c r="U412" i="51"/>
  <c r="U411" i="51"/>
  <c r="U410" i="51"/>
  <c r="U409" i="51"/>
  <c r="U408" i="51"/>
  <c r="U407" i="51"/>
  <c r="U406" i="51"/>
  <c r="U405" i="51"/>
  <c r="U404" i="51"/>
  <c r="U403" i="51"/>
  <c r="U45" i="51"/>
  <c r="U402" i="51"/>
  <c r="U401" i="51"/>
  <c r="U400" i="51"/>
  <c r="U399" i="51"/>
  <c r="U398" i="51"/>
  <c r="U397" i="51"/>
  <c r="U396" i="51"/>
  <c r="U395" i="51"/>
  <c r="U394" i="51"/>
  <c r="U393" i="51"/>
  <c r="U392" i="51"/>
  <c r="U391" i="51"/>
  <c r="U390" i="51"/>
  <c r="U389" i="51"/>
  <c r="U388" i="51"/>
  <c r="U387" i="51"/>
  <c r="U386" i="51"/>
  <c r="U385" i="51"/>
  <c r="U384" i="51"/>
  <c r="U383" i="51"/>
  <c r="U382" i="51"/>
  <c r="U381" i="51"/>
  <c r="U380" i="51"/>
  <c r="U379" i="51"/>
  <c r="U378" i="51"/>
  <c r="U377" i="51"/>
  <c r="U364" i="51"/>
  <c r="U363" i="51"/>
  <c r="U362" i="51"/>
  <c r="U361" i="51"/>
  <c r="U360" i="51"/>
  <c r="U359" i="51"/>
  <c r="U358" i="51"/>
  <c r="U357" i="51"/>
  <c r="U356" i="51"/>
  <c r="U355" i="51"/>
  <c r="U354" i="51"/>
  <c r="U353" i="51"/>
  <c r="U352" i="51"/>
  <c r="U351" i="51"/>
  <c r="U350" i="51"/>
  <c r="U349" i="51"/>
  <c r="U348" i="51"/>
  <c r="U347" i="51"/>
  <c r="U346" i="51"/>
  <c r="U345" i="51"/>
  <c r="U344" i="51"/>
  <c r="U343" i="51"/>
  <c r="U342" i="51"/>
  <c r="U341" i="51"/>
  <c r="U338" i="51"/>
  <c r="U337" i="51"/>
  <c r="U336" i="51"/>
  <c r="U335" i="51"/>
  <c r="U334" i="51"/>
  <c r="U333" i="51"/>
  <c r="U332" i="51"/>
  <c r="U331" i="51"/>
  <c r="U330" i="51"/>
  <c r="U329" i="51"/>
  <c r="U328" i="51"/>
  <c r="U327" i="51"/>
  <c r="U326" i="51"/>
  <c r="U325" i="51"/>
  <c r="U324" i="51"/>
  <c r="U323" i="51"/>
  <c r="U322" i="51"/>
  <c r="U321" i="51"/>
  <c r="U320" i="51"/>
  <c r="U317" i="51"/>
  <c r="U316" i="51"/>
  <c r="U315" i="51"/>
  <c r="U314" i="51"/>
  <c r="U313" i="51"/>
  <c r="U312" i="51"/>
  <c r="U311" i="51"/>
  <c r="U310" i="51"/>
  <c r="U309" i="51"/>
  <c r="U308" i="51"/>
  <c r="U307" i="51"/>
  <c r="U306" i="51"/>
  <c r="U305" i="51"/>
  <c r="U304" i="51"/>
  <c r="U303" i="51"/>
  <c r="U302" i="51"/>
  <c r="U301" i="51"/>
  <c r="U300" i="51"/>
  <c r="U299" i="51"/>
  <c r="U298" i="51"/>
  <c r="U297" i="51"/>
  <c r="U296" i="51"/>
  <c r="U295" i="51"/>
  <c r="U294" i="51"/>
  <c r="U293" i="51"/>
  <c r="U292" i="51"/>
  <c r="U291" i="51"/>
  <c r="U290" i="51"/>
  <c r="U289" i="51"/>
  <c r="U288" i="51"/>
  <c r="U287" i="51"/>
  <c r="U286" i="51"/>
  <c r="U285" i="51"/>
  <c r="U284" i="51"/>
  <c r="U283" i="51"/>
  <c r="U282" i="51"/>
  <c r="U281" i="51"/>
  <c r="U280" i="51"/>
  <c r="U279" i="51"/>
  <c r="U278" i="51"/>
  <c r="U277" i="51"/>
  <c r="U276" i="51"/>
  <c r="U275" i="51"/>
  <c r="U274" i="51"/>
  <c r="U273" i="51"/>
  <c r="U272" i="51"/>
  <c r="U271" i="51"/>
  <c r="U270" i="51"/>
  <c r="U269" i="51"/>
  <c r="U268" i="51"/>
  <c r="U267" i="51"/>
  <c r="U266" i="51"/>
  <c r="U265" i="51"/>
  <c r="U264" i="51"/>
  <c r="U263" i="51"/>
  <c r="U262" i="51"/>
  <c r="U261" i="51"/>
  <c r="U260" i="51"/>
  <c r="U259" i="51"/>
  <c r="U258" i="51"/>
  <c r="U257" i="51"/>
  <c r="U256" i="51"/>
  <c r="U255" i="51"/>
  <c r="U254" i="51"/>
  <c r="U253" i="51"/>
  <c r="U252" i="51"/>
  <c r="U251" i="51"/>
  <c r="U250" i="51"/>
  <c r="U249" i="51"/>
  <c r="U248" i="51"/>
  <c r="U247" i="51"/>
  <c r="U246" i="51"/>
  <c r="U245" i="51"/>
  <c r="U244" i="51"/>
  <c r="U243" i="51"/>
  <c r="U242" i="51"/>
  <c r="U241" i="51"/>
  <c r="U240" i="51"/>
  <c r="U239" i="51"/>
  <c r="U238" i="51"/>
  <c r="U237" i="51"/>
  <c r="U236" i="51"/>
  <c r="U235" i="51"/>
  <c r="U234" i="51"/>
  <c r="U233" i="51"/>
  <c r="U232" i="51"/>
  <c r="U231" i="51"/>
  <c r="U230" i="51"/>
  <c r="U229" i="51"/>
  <c r="U228" i="51"/>
  <c r="U227" i="51"/>
  <c r="U226" i="51"/>
  <c r="U225" i="51"/>
  <c r="U224" i="51"/>
  <c r="U223" i="51"/>
  <c r="U222" i="51"/>
  <c r="U221" i="51"/>
  <c r="U220" i="51"/>
  <c r="U219" i="51"/>
  <c r="U218" i="51"/>
  <c r="U217" i="51"/>
  <c r="U216" i="51"/>
  <c r="U215" i="51"/>
  <c r="U214" i="51"/>
  <c r="U213" i="51"/>
  <c r="U212" i="51"/>
  <c r="U211" i="51"/>
  <c r="U210" i="51"/>
  <c r="U209" i="51"/>
  <c r="U208" i="51"/>
  <c r="U207" i="51"/>
  <c r="U206" i="51"/>
  <c r="U205" i="51"/>
  <c r="U204" i="51"/>
  <c r="U203" i="51"/>
  <c r="U202" i="51"/>
  <c r="U201" i="51"/>
  <c r="U200" i="51"/>
  <c r="U199" i="51"/>
  <c r="U198" i="51"/>
  <c r="U197" i="51"/>
  <c r="U196" i="51"/>
  <c r="U195" i="51"/>
  <c r="U194" i="51"/>
  <c r="U193" i="51"/>
  <c r="U192" i="51"/>
  <c r="U191" i="51"/>
  <c r="U190" i="51"/>
  <c r="U189" i="51"/>
  <c r="U188" i="51"/>
  <c r="U187" i="51"/>
  <c r="U186" i="51"/>
  <c r="U185" i="51"/>
  <c r="U184" i="51"/>
  <c r="U183" i="51"/>
  <c r="U182" i="51"/>
  <c r="U181" i="51"/>
  <c r="U180" i="51"/>
  <c r="U179" i="51"/>
  <c r="U178" i="51"/>
  <c r="U177" i="51"/>
  <c r="U176" i="51"/>
  <c r="U175" i="51"/>
  <c r="U174" i="51"/>
  <c r="U173" i="51"/>
  <c r="U172" i="51"/>
  <c r="U171" i="51"/>
  <c r="U170" i="51"/>
  <c r="U169" i="51"/>
  <c r="U168" i="51"/>
  <c r="U167" i="51"/>
  <c r="U166" i="51"/>
  <c r="U165" i="51"/>
  <c r="U164" i="51"/>
  <c r="U163" i="51"/>
  <c r="U162" i="51"/>
  <c r="U161" i="51"/>
  <c r="U160" i="51"/>
  <c r="U159" i="51"/>
  <c r="U158" i="51"/>
  <c r="U156" i="51"/>
  <c r="U155" i="51"/>
  <c r="U154" i="51"/>
  <c r="U153" i="51"/>
  <c r="U152" i="51"/>
  <c r="U151" i="51"/>
  <c r="U150" i="51"/>
  <c r="U149" i="51"/>
  <c r="U148" i="51"/>
  <c r="U147" i="51"/>
  <c r="U146" i="51"/>
  <c r="U145" i="51"/>
  <c r="U144" i="51"/>
  <c r="U143" i="51"/>
  <c r="U142" i="51"/>
  <c r="U141" i="51"/>
  <c r="U140" i="51"/>
  <c r="U139" i="51"/>
  <c r="U138" i="51"/>
  <c r="U137" i="51"/>
  <c r="U136" i="51"/>
  <c r="U135" i="51"/>
  <c r="U134" i="51"/>
  <c r="U133" i="51"/>
  <c r="U132" i="51"/>
  <c r="U131" i="51"/>
  <c r="U130" i="51"/>
  <c r="U129" i="51"/>
  <c r="U128" i="51"/>
  <c r="U127" i="51"/>
  <c r="U123" i="51"/>
  <c r="U122" i="51"/>
  <c r="U121" i="51"/>
  <c r="U120" i="51"/>
  <c r="U119" i="51"/>
  <c r="U118" i="51"/>
  <c r="U117" i="51"/>
  <c r="U116" i="51"/>
  <c r="U115" i="51"/>
  <c r="U114" i="51"/>
  <c r="U113" i="51"/>
  <c r="U112" i="51"/>
  <c r="U111" i="51"/>
  <c r="U110" i="51"/>
  <c r="U109" i="51"/>
  <c r="U108" i="51"/>
  <c r="U107" i="51"/>
  <c r="U106" i="51"/>
  <c r="U105" i="51"/>
  <c r="U104" i="51"/>
  <c r="U103" i="51"/>
  <c r="U102" i="51"/>
  <c r="U101" i="51"/>
  <c r="U100" i="51"/>
  <c r="U99" i="51"/>
  <c r="U98" i="51"/>
  <c r="U96" i="51"/>
  <c r="U95" i="51"/>
  <c r="U94" i="51"/>
  <c r="U93" i="51"/>
  <c r="U92" i="51"/>
  <c r="U91" i="51"/>
  <c r="U90" i="51"/>
  <c r="U89" i="51"/>
  <c r="U88" i="51"/>
  <c r="U87" i="51"/>
  <c r="U86" i="51"/>
  <c r="U85" i="51"/>
  <c r="U84" i="51"/>
  <c r="U83" i="51"/>
  <c r="U82" i="51"/>
  <c r="U81" i="51"/>
  <c r="U80" i="51"/>
  <c r="U79" i="51"/>
  <c r="U78" i="51"/>
  <c r="U77" i="51"/>
  <c r="U76" i="51"/>
  <c r="U75" i="51"/>
  <c r="U74" i="51"/>
  <c r="U73" i="51"/>
  <c r="U72" i="51"/>
  <c r="U71" i="51"/>
  <c r="U70" i="51"/>
  <c r="U69" i="51"/>
  <c r="U68" i="51"/>
  <c r="U67" i="51"/>
  <c r="U66" i="51"/>
  <c r="U65" i="51"/>
  <c r="U64" i="51"/>
  <c r="U63" i="51"/>
  <c r="U62" i="51"/>
  <c r="U61" i="51"/>
  <c r="U60" i="51"/>
  <c r="U59" i="51"/>
  <c r="U58" i="51"/>
  <c r="U57" i="51"/>
  <c r="U56" i="51"/>
  <c r="U55" i="51"/>
  <c r="U54" i="51"/>
  <c r="U53" i="51"/>
  <c r="U52" i="51"/>
  <c r="U43" i="51"/>
  <c r="U42" i="51"/>
  <c r="U41" i="51"/>
  <c r="U40" i="51"/>
  <c r="U39" i="51"/>
  <c r="U38" i="51"/>
  <c r="U37" i="51"/>
  <c r="U36" i="51"/>
  <c r="U35" i="51"/>
  <c r="U34" i="51"/>
  <c r="U33" i="51"/>
  <c r="U32" i="51"/>
  <c r="U31" i="51"/>
  <c r="U30" i="51"/>
  <c r="U29" i="51"/>
  <c r="U28" i="51"/>
  <c r="U27" i="51"/>
  <c r="U26" i="51"/>
  <c r="U25" i="51"/>
  <c r="U24" i="51"/>
  <c r="U23" i="51"/>
  <c r="U22" i="51"/>
  <c r="U21" i="51"/>
  <c r="U20" i="51"/>
  <c r="U19" i="51"/>
  <c r="U18" i="51"/>
  <c r="U17" i="51"/>
  <c r="U16" i="51"/>
  <c r="U15" i="51"/>
  <c r="U14" i="51"/>
  <c r="U13" i="51"/>
  <c r="U12" i="51"/>
  <c r="U11" i="51"/>
  <c r="U10" i="51"/>
  <c r="U9" i="51"/>
  <c r="U8" i="51"/>
  <c r="U7" i="51"/>
  <c r="U449" i="51"/>
  <c r="T552" i="51"/>
  <c r="T551" i="51"/>
  <c r="T550" i="51"/>
  <c r="T549" i="51"/>
  <c r="T548" i="51"/>
  <c r="T547" i="51"/>
  <c r="T546" i="51"/>
  <c r="T545" i="51"/>
  <c r="T544" i="51"/>
  <c r="T543" i="51"/>
  <c r="T542" i="51"/>
  <c r="T541" i="51"/>
  <c r="T540" i="51"/>
  <c r="T539" i="51"/>
  <c r="T538" i="51"/>
  <c r="T537" i="51"/>
  <c r="T536" i="51"/>
  <c r="T535" i="51"/>
  <c r="T534" i="51"/>
  <c r="T533" i="51"/>
  <c r="T532" i="51"/>
  <c r="T531" i="51"/>
  <c r="T530" i="51"/>
  <c r="T529" i="51"/>
  <c r="T528" i="51"/>
  <c r="T527" i="51"/>
  <c r="T526" i="51"/>
  <c r="T525" i="51"/>
  <c r="T524" i="51"/>
  <c r="T523" i="51"/>
  <c r="T522" i="51"/>
  <c r="T521" i="51"/>
  <c r="T520" i="51"/>
  <c r="T519" i="51"/>
  <c r="T518" i="51"/>
  <c r="T517" i="51"/>
  <c r="T516" i="51"/>
  <c r="T515" i="51"/>
  <c r="T514" i="51"/>
  <c r="T513" i="51"/>
  <c r="T512" i="51"/>
  <c r="T511" i="51"/>
  <c r="T510" i="51"/>
  <c r="T509" i="51"/>
  <c r="T508" i="51"/>
  <c r="T507" i="51"/>
  <c r="T506" i="51"/>
  <c r="T505" i="51"/>
  <c r="T504" i="51"/>
  <c r="T503" i="51"/>
  <c r="T502" i="51"/>
  <c r="T501" i="51"/>
  <c r="T500" i="51"/>
  <c r="T499" i="51"/>
  <c r="T498" i="51"/>
  <c r="T497" i="51"/>
  <c r="T643" i="51"/>
  <c r="T642" i="51"/>
  <c r="T641" i="51"/>
  <c r="T640" i="51"/>
  <c r="T639" i="51"/>
  <c r="T638" i="51"/>
  <c r="T637" i="51"/>
  <c r="T636" i="51"/>
  <c r="T635" i="51"/>
  <c r="T634" i="51"/>
  <c r="V449" i="51"/>
  <c r="W432" i="51"/>
  <c r="V432" i="51"/>
  <c r="W431" i="51"/>
  <c r="V431" i="51"/>
  <c r="O41" i="51"/>
  <c r="O37" i="51"/>
  <c r="W373" i="51" l="1"/>
  <c r="V373" i="51"/>
  <c r="O603" i="51"/>
  <c r="O473" i="51"/>
  <c r="O347" i="51"/>
  <c r="O337" i="51"/>
  <c r="O298" i="51"/>
  <c r="O289" i="51"/>
  <c r="O258" i="51"/>
  <c r="O236" i="51"/>
  <c r="O199" i="51"/>
  <c r="O141" i="51"/>
  <c r="O106" i="51"/>
  <c r="O88" i="51"/>
  <c r="W605" i="51" l="1"/>
  <c r="V605" i="51"/>
  <c r="W509" i="51"/>
  <c r="V509" i="51"/>
  <c r="W490" i="51"/>
  <c r="V490" i="51"/>
  <c r="W472" i="51"/>
  <c r="V472" i="51"/>
  <c r="W458" i="51"/>
  <c r="V458" i="51"/>
  <c r="O55" i="51"/>
  <c r="O509" i="51"/>
  <c r="O402" i="51"/>
  <c r="O345" i="51"/>
  <c r="O335" i="51"/>
  <c r="O332" i="51"/>
  <c r="O322" i="51"/>
  <c r="O295" i="51"/>
  <c r="O285" i="51"/>
  <c r="O279" i="51"/>
  <c r="O273" i="51"/>
  <c r="O267" i="51"/>
  <c r="O254" i="51"/>
  <c r="O251" i="51"/>
  <c r="O244" i="51"/>
  <c r="O240" i="51"/>
  <c r="O233" i="51"/>
  <c r="O118" i="51"/>
  <c r="W496" i="51"/>
  <c r="T496" i="51"/>
  <c r="P496" i="51"/>
  <c r="O496" i="51"/>
  <c r="W495" i="51"/>
  <c r="V495" i="51"/>
  <c r="T495" i="51"/>
  <c r="P495" i="51"/>
  <c r="O495" i="51"/>
  <c r="W494" i="51"/>
  <c r="V494" i="51"/>
  <c r="T494" i="51"/>
  <c r="P494" i="51"/>
  <c r="O494" i="51"/>
  <c r="W493" i="51"/>
  <c r="V493" i="51"/>
  <c r="T493" i="51"/>
  <c r="P493" i="51"/>
  <c r="O493" i="51"/>
  <c r="W492" i="51"/>
  <c r="V492" i="51"/>
  <c r="T492" i="51"/>
  <c r="P492" i="51"/>
  <c r="O492" i="51"/>
  <c r="W491" i="51"/>
  <c r="V491" i="51"/>
  <c r="T491" i="51"/>
  <c r="P491" i="51"/>
  <c r="O491" i="51"/>
  <c r="T490" i="51"/>
  <c r="P490" i="51"/>
  <c r="O490" i="51"/>
  <c r="W489" i="51"/>
  <c r="V489" i="51"/>
  <c r="T489" i="51"/>
  <c r="P489" i="51"/>
  <c r="O489" i="51"/>
  <c r="W488" i="51"/>
  <c r="V488" i="51"/>
  <c r="O488" i="51"/>
  <c r="W487" i="51"/>
  <c r="V487" i="51"/>
  <c r="T487" i="51"/>
  <c r="P487" i="51"/>
  <c r="O487" i="51"/>
  <c r="W486" i="51"/>
  <c r="V486" i="51"/>
  <c r="T486" i="51"/>
  <c r="P486" i="51"/>
  <c r="O486" i="51"/>
  <c r="W485" i="51"/>
  <c r="V485" i="51"/>
  <c r="T485" i="51"/>
  <c r="P485" i="51"/>
  <c r="O485" i="51"/>
  <c r="W484" i="51"/>
  <c r="V484" i="51"/>
  <c r="T484" i="51"/>
  <c r="P484" i="51"/>
  <c r="O484" i="51"/>
  <c r="W483" i="51"/>
  <c r="V483" i="51"/>
  <c r="T483" i="51"/>
  <c r="P483" i="51"/>
  <c r="O483" i="51"/>
  <c r="W482" i="51"/>
  <c r="V482" i="51"/>
  <c r="T482" i="51"/>
  <c r="P482" i="51"/>
  <c r="O482" i="51"/>
  <c r="W481" i="51"/>
  <c r="V481" i="51"/>
  <c r="T481" i="51"/>
  <c r="P481" i="51"/>
  <c r="O481" i="51"/>
  <c r="W480" i="51"/>
  <c r="V480" i="51"/>
  <c r="T480" i="51"/>
  <c r="P480" i="51"/>
  <c r="O480" i="51"/>
  <c r="W479" i="51"/>
  <c r="V479" i="51"/>
  <c r="O479" i="51"/>
  <c r="W478" i="51"/>
  <c r="V478" i="51"/>
  <c r="T478" i="51"/>
  <c r="P478" i="51"/>
  <c r="O478" i="51"/>
  <c r="W477" i="51"/>
  <c r="V477" i="51"/>
  <c r="T477" i="51"/>
  <c r="P477" i="51"/>
  <c r="O477" i="51"/>
  <c r="W476" i="51"/>
  <c r="V476" i="51"/>
  <c r="T476" i="51"/>
  <c r="P476" i="51"/>
  <c r="O476" i="51"/>
  <c r="F476" i="51"/>
  <c r="W475" i="51"/>
  <c r="V475" i="51"/>
  <c r="T475" i="51"/>
  <c r="P475" i="51"/>
  <c r="O475" i="51"/>
  <c r="W474" i="51"/>
  <c r="V474" i="51"/>
  <c r="T474" i="51"/>
  <c r="P474" i="51"/>
  <c r="O474" i="51"/>
  <c r="T472" i="51"/>
  <c r="P472" i="51"/>
  <c r="O472" i="51"/>
  <c r="W471" i="51"/>
  <c r="V471" i="51"/>
  <c r="T471" i="51"/>
  <c r="P471" i="51"/>
  <c r="O471" i="51"/>
  <c r="W470" i="51"/>
  <c r="V470" i="51"/>
  <c r="O470" i="51"/>
  <c r="W469" i="51"/>
  <c r="V469" i="51"/>
  <c r="T469" i="51"/>
  <c r="P469" i="51"/>
  <c r="O469" i="51"/>
  <c r="W468" i="51"/>
  <c r="V468" i="51"/>
  <c r="T468" i="51"/>
  <c r="P468" i="51"/>
  <c r="O468" i="51"/>
  <c r="W467" i="51"/>
  <c r="V467" i="51"/>
  <c r="T467" i="51"/>
  <c r="P467" i="51"/>
  <c r="O467" i="51"/>
  <c r="W466" i="51"/>
  <c r="V466" i="51"/>
  <c r="T466" i="51"/>
  <c r="P466" i="51"/>
  <c r="O466" i="51"/>
  <c r="W465" i="51"/>
  <c r="V465" i="51"/>
  <c r="T465" i="51"/>
  <c r="P465" i="51"/>
  <c r="O465" i="51"/>
  <c r="W464" i="51"/>
  <c r="V464" i="51"/>
  <c r="T464" i="51"/>
  <c r="P464" i="51"/>
  <c r="O464" i="51"/>
  <c r="W463" i="51"/>
  <c r="V463" i="51"/>
  <c r="T463" i="51"/>
  <c r="P463" i="51"/>
  <c r="O463" i="51"/>
  <c r="W462" i="51"/>
  <c r="V462" i="51"/>
  <c r="T462" i="51"/>
  <c r="P462" i="51"/>
  <c r="O462" i="51"/>
  <c r="W461" i="51"/>
  <c r="V461" i="51"/>
  <c r="T461" i="51"/>
  <c r="P461" i="51"/>
  <c r="O461" i="51"/>
  <c r="F461" i="51"/>
  <c r="W460" i="51"/>
  <c r="V460" i="51"/>
  <c r="T460" i="51"/>
  <c r="P460" i="51"/>
  <c r="O460" i="51"/>
  <c r="W459" i="51"/>
  <c r="V459" i="51"/>
  <c r="T459" i="51"/>
  <c r="P459" i="51"/>
  <c r="O459" i="51"/>
  <c r="T458" i="51"/>
  <c r="P458" i="51"/>
  <c r="O458" i="51"/>
  <c r="F458" i="51"/>
  <c r="W457" i="51"/>
  <c r="V457" i="51"/>
  <c r="T457" i="51"/>
  <c r="P457" i="51"/>
  <c r="O457" i="51"/>
  <c r="W456" i="51"/>
  <c r="V456" i="51"/>
  <c r="T456" i="51"/>
  <c r="P456" i="51"/>
  <c r="O456" i="51"/>
  <c r="Q458" i="51" l="1"/>
  <c r="R458" i="51"/>
  <c r="Q461" i="51"/>
  <c r="R461" i="51"/>
  <c r="R476" i="51"/>
  <c r="Q476" i="51"/>
  <c r="W23" i="51"/>
  <c r="V23" i="51"/>
  <c r="T23" i="51"/>
  <c r="P23" i="51"/>
  <c r="O23" i="51"/>
  <c r="W16" i="51"/>
  <c r="V16" i="51"/>
  <c r="T16" i="51"/>
  <c r="P16" i="51"/>
  <c r="O16" i="51"/>
  <c r="W402" i="51"/>
  <c r="V402" i="51"/>
  <c r="T402" i="51"/>
  <c r="P402" i="51"/>
  <c r="W401" i="51"/>
  <c r="V401" i="51"/>
  <c r="T401" i="51"/>
  <c r="P401" i="51"/>
  <c r="O401" i="51"/>
  <c r="W400" i="51"/>
  <c r="V400" i="51"/>
  <c r="T400" i="51"/>
  <c r="P400" i="51"/>
  <c r="O400" i="51"/>
  <c r="W399" i="51"/>
  <c r="V399" i="51"/>
  <c r="T399" i="51"/>
  <c r="P399" i="51"/>
  <c r="O399" i="51"/>
  <c r="W398" i="51"/>
  <c r="V398" i="51"/>
  <c r="T398" i="51"/>
  <c r="P398" i="51"/>
  <c r="O398" i="51"/>
  <c r="W397" i="51"/>
  <c r="V397" i="51"/>
  <c r="T397" i="51"/>
  <c r="P397" i="51"/>
  <c r="O397" i="51"/>
  <c r="W396" i="51"/>
  <c r="V396" i="51"/>
  <c r="T396" i="51"/>
  <c r="P396" i="51"/>
  <c r="O396" i="51"/>
  <c r="W395" i="51"/>
  <c r="V395" i="51"/>
  <c r="T395" i="51"/>
  <c r="P395" i="51"/>
  <c r="O395" i="51"/>
  <c r="W394" i="51"/>
  <c r="V394" i="51"/>
  <c r="T394" i="51"/>
  <c r="P394" i="51"/>
  <c r="O394" i="51"/>
  <c r="W393" i="51"/>
  <c r="V393" i="51"/>
  <c r="T393" i="51"/>
  <c r="P393" i="51"/>
  <c r="O393" i="51"/>
  <c r="W392" i="51"/>
  <c r="V392" i="51"/>
  <c r="T392" i="51"/>
  <c r="P392" i="51"/>
  <c r="O392" i="51"/>
  <c r="W391" i="51"/>
  <c r="V391" i="51"/>
  <c r="T391" i="51"/>
  <c r="P391" i="51"/>
  <c r="O391" i="51"/>
  <c r="W390" i="51"/>
  <c r="V390" i="51"/>
  <c r="T390" i="51"/>
  <c r="P390" i="51"/>
  <c r="O390" i="51"/>
  <c r="W389" i="51"/>
  <c r="V389" i="51"/>
  <c r="T389" i="51"/>
  <c r="P389" i="51"/>
  <c r="O389" i="51"/>
  <c r="W388" i="51"/>
  <c r="V388" i="51"/>
  <c r="T388" i="51"/>
  <c r="P388" i="51"/>
  <c r="O388" i="51"/>
  <c r="W387" i="51"/>
  <c r="V387" i="51"/>
  <c r="T387" i="51"/>
  <c r="P387" i="51"/>
  <c r="O387" i="51"/>
  <c r="W386" i="51"/>
  <c r="V386" i="51"/>
  <c r="T386" i="51"/>
  <c r="P386" i="51"/>
  <c r="O386" i="51"/>
  <c r="W385" i="51"/>
  <c r="V385" i="51"/>
  <c r="T385" i="51"/>
  <c r="P385" i="51"/>
  <c r="O385" i="51"/>
  <c r="W384" i="51"/>
  <c r="V384" i="51"/>
  <c r="T384" i="51"/>
  <c r="P384" i="51"/>
  <c r="O384" i="51"/>
  <c r="W383" i="51"/>
  <c r="V383" i="51"/>
  <c r="T383" i="51"/>
  <c r="P383" i="51"/>
  <c r="O383" i="51"/>
  <c r="W382" i="51"/>
  <c r="V382" i="51"/>
  <c r="T382" i="51"/>
  <c r="P382" i="51"/>
  <c r="O382" i="51"/>
  <c r="W381" i="51"/>
  <c r="V381" i="51"/>
  <c r="T381" i="51"/>
  <c r="P381" i="51"/>
  <c r="O381" i="51"/>
  <c r="W380" i="51"/>
  <c r="V380" i="51"/>
  <c r="T380" i="51"/>
  <c r="P380" i="51"/>
  <c r="O380" i="51"/>
  <c r="W379" i="51"/>
  <c r="V379" i="51"/>
  <c r="T379" i="51"/>
  <c r="P379" i="51"/>
  <c r="O379" i="51"/>
  <c r="W378" i="51"/>
  <c r="V378" i="51"/>
  <c r="T378" i="51"/>
  <c r="P378" i="51"/>
  <c r="O378" i="51"/>
  <c r="W377" i="51"/>
  <c r="V377" i="51"/>
  <c r="T377" i="51"/>
  <c r="P377" i="51"/>
  <c r="O377" i="51"/>
  <c r="W643" i="51" l="1"/>
  <c r="V643" i="51"/>
  <c r="P643" i="51"/>
  <c r="O643" i="51"/>
  <c r="W642" i="51"/>
  <c r="V642" i="51"/>
  <c r="P642" i="51"/>
  <c r="O642" i="51"/>
  <c r="W641" i="51"/>
  <c r="V641" i="51"/>
  <c r="P641" i="51"/>
  <c r="O641" i="51"/>
  <c r="W640" i="51"/>
  <c r="V640" i="51"/>
  <c r="P640" i="51"/>
  <c r="O640" i="51"/>
  <c r="W639" i="51"/>
  <c r="V639" i="51"/>
  <c r="P639" i="51"/>
  <c r="O639" i="51"/>
  <c r="W638" i="51"/>
  <c r="V638" i="51"/>
  <c r="P638" i="51"/>
  <c r="O638" i="51"/>
  <c r="W637" i="51"/>
  <c r="V637" i="51"/>
  <c r="P637" i="51"/>
  <c r="O637" i="51"/>
  <c r="W636" i="51"/>
  <c r="V636" i="51"/>
  <c r="P636" i="51"/>
  <c r="O636" i="51"/>
  <c r="W635" i="51"/>
  <c r="V635" i="51"/>
  <c r="P635" i="51"/>
  <c r="O635" i="51"/>
  <c r="W634" i="51"/>
  <c r="V634" i="51"/>
  <c r="P634" i="51"/>
  <c r="O634" i="51"/>
  <c r="W630" i="51"/>
  <c r="V630" i="51"/>
  <c r="T630" i="51"/>
  <c r="P630" i="51"/>
  <c r="O630" i="51"/>
  <c r="W629" i="51"/>
  <c r="V629" i="51"/>
  <c r="T629" i="51"/>
  <c r="P629" i="51"/>
  <c r="O629" i="51"/>
  <c r="W628" i="51"/>
  <c r="V628" i="51"/>
  <c r="T628" i="51"/>
  <c r="P628" i="51"/>
  <c r="O628" i="51"/>
  <c r="W627" i="51"/>
  <c r="V627" i="51"/>
  <c r="T627" i="51"/>
  <c r="P627" i="51"/>
  <c r="O627" i="51"/>
  <c r="W626" i="51"/>
  <c r="V626" i="51"/>
  <c r="T626" i="51"/>
  <c r="P626" i="51"/>
  <c r="O626" i="51"/>
  <c r="W625" i="51"/>
  <c r="V625" i="51"/>
  <c r="T625" i="51"/>
  <c r="P625" i="51"/>
  <c r="O625" i="51"/>
  <c r="W624" i="51"/>
  <c r="V624" i="51"/>
  <c r="T624" i="51"/>
  <c r="P624" i="51"/>
  <c r="O624" i="51"/>
  <c r="W623" i="51"/>
  <c r="V623" i="51"/>
  <c r="T623" i="51"/>
  <c r="P623" i="51"/>
  <c r="O623" i="51"/>
  <c r="W622" i="51"/>
  <c r="V622" i="51"/>
  <c r="T622" i="51"/>
  <c r="P622" i="51"/>
  <c r="O622" i="51"/>
  <c r="W621" i="51"/>
  <c r="V621" i="51"/>
  <c r="T621" i="51"/>
  <c r="P621" i="51"/>
  <c r="O621" i="51"/>
  <c r="W620" i="51"/>
  <c r="V620" i="51"/>
  <c r="T620" i="51"/>
  <c r="P620" i="51"/>
  <c r="O620" i="51"/>
  <c r="W619" i="51"/>
  <c r="V619" i="51"/>
  <c r="T619" i="51"/>
  <c r="P619" i="51"/>
  <c r="O619" i="51"/>
  <c r="W618" i="51"/>
  <c r="V618" i="51"/>
  <c r="T618" i="51"/>
  <c r="P618" i="51"/>
  <c r="O618" i="51"/>
  <c r="W617" i="51"/>
  <c r="V617" i="51"/>
  <c r="T617" i="51"/>
  <c r="P617" i="51"/>
  <c r="O617" i="51"/>
  <c r="W616" i="51"/>
  <c r="V616" i="51"/>
  <c r="T616" i="51"/>
  <c r="P616" i="51"/>
  <c r="O616" i="51"/>
  <c r="W615" i="51"/>
  <c r="V615" i="51"/>
  <c r="T615" i="51"/>
  <c r="P615" i="51"/>
  <c r="O615" i="51"/>
  <c r="W614" i="51"/>
  <c r="V614" i="51"/>
  <c r="T614" i="51"/>
  <c r="P614" i="51"/>
  <c r="O614" i="51"/>
  <c r="W613" i="51"/>
  <c r="V613" i="51"/>
  <c r="T613" i="51"/>
  <c r="P613" i="51"/>
  <c r="O613" i="51"/>
  <c r="W612" i="51"/>
  <c r="V612" i="51"/>
  <c r="T612" i="51"/>
  <c r="P612" i="51"/>
  <c r="O612" i="51"/>
  <c r="W611" i="51"/>
  <c r="V611" i="51"/>
  <c r="T611" i="51"/>
  <c r="P611" i="51"/>
  <c r="O611" i="51"/>
  <c r="W610" i="51"/>
  <c r="V610" i="51"/>
  <c r="T610" i="51"/>
  <c r="P610" i="51"/>
  <c r="O610" i="51"/>
  <c r="W609" i="51"/>
  <c r="V609" i="51"/>
  <c r="T609" i="51"/>
  <c r="P609" i="51"/>
  <c r="O609" i="51"/>
  <c r="W608" i="51"/>
  <c r="V608" i="51"/>
  <c r="T608" i="51"/>
  <c r="P608" i="51"/>
  <c r="O608" i="51"/>
  <c r="W607" i="51"/>
  <c r="V607" i="51"/>
  <c r="T607" i="51"/>
  <c r="P607" i="51"/>
  <c r="O607" i="51"/>
  <c r="W606" i="51"/>
  <c r="V606" i="51"/>
  <c r="T606" i="51"/>
  <c r="P606" i="51"/>
  <c r="O606" i="51"/>
  <c r="T605" i="51"/>
  <c r="P605" i="51"/>
  <c r="O605" i="51"/>
  <c r="W604" i="51"/>
  <c r="V604" i="51"/>
  <c r="T604" i="51"/>
  <c r="P604" i="51"/>
  <c r="O604" i="51"/>
  <c r="W603" i="51"/>
  <c r="V603" i="51"/>
  <c r="T603" i="51"/>
  <c r="P603" i="51"/>
  <c r="W602" i="51"/>
  <c r="V602" i="51"/>
  <c r="T602" i="51"/>
  <c r="P602" i="51"/>
  <c r="O602" i="51"/>
  <c r="W601" i="51"/>
  <c r="V601" i="51"/>
  <c r="T601" i="51"/>
  <c r="P601" i="51"/>
  <c r="O601" i="51"/>
  <c r="W600" i="51"/>
  <c r="V600" i="51"/>
  <c r="T600" i="51"/>
  <c r="P600" i="51"/>
  <c r="O600" i="51"/>
  <c r="W599" i="51"/>
  <c r="V599" i="51"/>
  <c r="T599" i="51"/>
  <c r="P599" i="51"/>
  <c r="O599" i="51"/>
  <c r="W598" i="51"/>
  <c r="V598" i="51"/>
  <c r="T598" i="51"/>
  <c r="P598" i="51"/>
  <c r="O598" i="51"/>
  <c r="W597" i="51"/>
  <c r="V597" i="51"/>
  <c r="T597" i="51"/>
  <c r="P597" i="51"/>
  <c r="O597" i="51"/>
  <c r="W596" i="51"/>
  <c r="V596" i="51"/>
  <c r="T596" i="51"/>
  <c r="P596" i="51"/>
  <c r="O596" i="51"/>
  <c r="W595" i="51"/>
  <c r="V595" i="51"/>
  <c r="T595" i="51"/>
  <c r="P595" i="51"/>
  <c r="O595" i="51"/>
  <c r="W594" i="51"/>
  <c r="V594" i="51"/>
  <c r="T594" i="51"/>
  <c r="P594" i="51"/>
  <c r="O594" i="51"/>
  <c r="W593" i="51"/>
  <c r="V593" i="51"/>
  <c r="T593" i="51"/>
  <c r="P593" i="51"/>
  <c r="O593" i="51"/>
  <c r="W592" i="51"/>
  <c r="V592" i="51"/>
  <c r="T592" i="51"/>
  <c r="P592" i="51"/>
  <c r="O592" i="51"/>
  <c r="W591" i="51"/>
  <c r="V591" i="51"/>
  <c r="T591" i="51"/>
  <c r="P591" i="51"/>
  <c r="O591" i="51"/>
  <c r="W590" i="51"/>
  <c r="V590" i="51"/>
  <c r="T590" i="51"/>
  <c r="P590" i="51"/>
  <c r="O590" i="51"/>
  <c r="W589" i="51"/>
  <c r="V589" i="51"/>
  <c r="T589" i="51"/>
  <c r="P589" i="51"/>
  <c r="O589" i="51"/>
  <c r="W588" i="51"/>
  <c r="V588" i="51"/>
  <c r="T588" i="51"/>
  <c r="P588" i="51"/>
  <c r="O588" i="51"/>
  <c r="W587" i="51"/>
  <c r="V587" i="51"/>
  <c r="T587" i="51"/>
  <c r="P587" i="51"/>
  <c r="O587" i="51"/>
  <c r="W586" i="51"/>
  <c r="V586" i="51"/>
  <c r="T586" i="51"/>
  <c r="P586" i="51"/>
  <c r="O586" i="51"/>
  <c r="W585" i="51"/>
  <c r="V585" i="51"/>
  <c r="T585" i="51"/>
  <c r="P585" i="51"/>
  <c r="O585" i="51"/>
  <c r="W584" i="51"/>
  <c r="V584" i="51"/>
  <c r="T584" i="51"/>
  <c r="P584" i="51"/>
  <c r="O584" i="51"/>
  <c r="W583" i="51"/>
  <c r="V583" i="51"/>
  <c r="T583" i="51"/>
  <c r="P583" i="51"/>
  <c r="O583" i="51"/>
  <c r="W582" i="51"/>
  <c r="V582" i="51"/>
  <c r="T582" i="51"/>
  <c r="P582" i="51"/>
  <c r="O582" i="51"/>
  <c r="W581" i="51"/>
  <c r="V581" i="51"/>
  <c r="T581" i="51"/>
  <c r="P581" i="51"/>
  <c r="O581" i="51"/>
  <c r="W580" i="51"/>
  <c r="V580" i="51"/>
  <c r="T580" i="51"/>
  <c r="P580" i="51"/>
  <c r="O580" i="51"/>
  <c r="W579" i="51"/>
  <c r="V579" i="51"/>
  <c r="T579" i="51"/>
  <c r="P579" i="51"/>
  <c r="O579" i="51"/>
  <c r="W578" i="51"/>
  <c r="V578" i="51"/>
  <c r="T578" i="51"/>
  <c r="P578" i="51"/>
  <c r="O578" i="51"/>
  <c r="W577" i="51"/>
  <c r="V577" i="51"/>
  <c r="T577" i="51"/>
  <c r="P577" i="51"/>
  <c r="O577" i="51"/>
  <c r="W576" i="51"/>
  <c r="V576" i="51"/>
  <c r="T576" i="51"/>
  <c r="P576" i="51"/>
  <c r="O576" i="51"/>
  <c r="W575" i="51"/>
  <c r="V575" i="51"/>
  <c r="T575" i="51"/>
  <c r="P575" i="51"/>
  <c r="O575" i="51"/>
  <c r="W574" i="51"/>
  <c r="V574" i="51"/>
  <c r="T574" i="51"/>
  <c r="P574" i="51"/>
  <c r="O574" i="51"/>
  <c r="W573" i="51"/>
  <c r="V573" i="51"/>
  <c r="T573" i="51"/>
  <c r="P573" i="51"/>
  <c r="O573" i="51"/>
  <c r="W572" i="51"/>
  <c r="V572" i="51"/>
  <c r="T572" i="51"/>
  <c r="P572" i="51"/>
  <c r="O572" i="51"/>
  <c r="W571" i="51"/>
  <c r="V571" i="51"/>
  <c r="T571" i="51"/>
  <c r="P571" i="51"/>
  <c r="O571" i="51"/>
  <c r="W570" i="51"/>
  <c r="V570" i="51"/>
  <c r="T570" i="51"/>
  <c r="P570" i="51"/>
  <c r="O570" i="51"/>
  <c r="W569" i="51"/>
  <c r="V569" i="51"/>
  <c r="T569" i="51"/>
  <c r="P569" i="51"/>
  <c r="O569" i="51"/>
  <c r="W568" i="51"/>
  <c r="V568" i="51"/>
  <c r="T568" i="51"/>
  <c r="P568" i="51"/>
  <c r="O568" i="51"/>
  <c r="W567" i="51"/>
  <c r="V567" i="51"/>
  <c r="T567" i="51"/>
  <c r="P567" i="51"/>
  <c r="O567" i="51"/>
  <c r="W566" i="51"/>
  <c r="V566" i="51"/>
  <c r="T566" i="51"/>
  <c r="P566" i="51"/>
  <c r="O566" i="51"/>
  <c r="W565" i="51"/>
  <c r="V565" i="51"/>
  <c r="T565" i="51"/>
  <c r="P565" i="51"/>
  <c r="O565" i="51"/>
  <c r="W564" i="51"/>
  <c r="V564" i="51"/>
  <c r="T564" i="51"/>
  <c r="P564" i="51"/>
  <c r="O564" i="51"/>
  <c r="W563" i="51"/>
  <c r="V563" i="51"/>
  <c r="T563" i="51"/>
  <c r="P563" i="51"/>
  <c r="O563" i="51"/>
  <c r="W562" i="51"/>
  <c r="V562" i="51"/>
  <c r="T562" i="51"/>
  <c r="P562" i="51"/>
  <c r="O562" i="51"/>
  <c r="W561" i="51"/>
  <c r="V561" i="51"/>
  <c r="T561" i="51"/>
  <c r="P561" i="51"/>
  <c r="O561" i="51"/>
  <c r="W560" i="51"/>
  <c r="V560" i="51"/>
  <c r="T560" i="51"/>
  <c r="P560" i="51"/>
  <c r="O560" i="51"/>
  <c r="W559" i="51"/>
  <c r="V559" i="51"/>
  <c r="T559" i="51"/>
  <c r="P559" i="51"/>
  <c r="O559" i="51"/>
  <c r="W558" i="51"/>
  <c r="V558" i="51"/>
  <c r="T558" i="51"/>
  <c r="P558" i="51"/>
  <c r="O558" i="51"/>
  <c r="W557" i="51"/>
  <c r="V557" i="51"/>
  <c r="T557" i="51"/>
  <c r="P557" i="51"/>
  <c r="O557" i="51"/>
  <c r="W556" i="51"/>
  <c r="V556" i="51"/>
  <c r="T556" i="51"/>
  <c r="P556" i="51"/>
  <c r="O556" i="51"/>
  <c r="W555" i="51"/>
  <c r="V555" i="51"/>
  <c r="T555" i="51"/>
  <c r="P555" i="51"/>
  <c r="O555" i="51"/>
  <c r="W554" i="51"/>
  <c r="V554" i="51"/>
  <c r="T554" i="51"/>
  <c r="P554" i="51"/>
  <c r="O554" i="51"/>
  <c r="W553" i="51"/>
  <c r="V553" i="51"/>
  <c r="T553" i="51"/>
  <c r="P553" i="51"/>
  <c r="O553" i="51"/>
  <c r="W552" i="51"/>
  <c r="V552" i="51"/>
  <c r="P552" i="51"/>
  <c r="O552" i="51"/>
  <c r="W551" i="51"/>
  <c r="V551" i="51"/>
  <c r="P551" i="51"/>
  <c r="O551" i="51"/>
  <c r="W550" i="51"/>
  <c r="V550" i="51"/>
  <c r="P550" i="51"/>
  <c r="O550" i="51"/>
  <c r="W549" i="51"/>
  <c r="V549" i="51"/>
  <c r="P549" i="51"/>
  <c r="O549" i="51"/>
  <c r="W548" i="51"/>
  <c r="V548" i="51"/>
  <c r="P548" i="51"/>
  <c r="O548" i="51"/>
  <c r="W547" i="51"/>
  <c r="V547" i="51"/>
  <c r="P547" i="51"/>
  <c r="O547" i="51"/>
  <c r="W546" i="51"/>
  <c r="V546" i="51"/>
  <c r="P546" i="51"/>
  <c r="O546" i="51"/>
  <c r="W545" i="51"/>
  <c r="V545" i="51"/>
  <c r="P545" i="51"/>
  <c r="O545" i="51"/>
  <c r="W544" i="51"/>
  <c r="V544" i="51"/>
  <c r="P544" i="51"/>
  <c r="O544" i="51"/>
  <c r="W543" i="51"/>
  <c r="V543" i="51"/>
  <c r="P543" i="51"/>
  <c r="O543" i="51"/>
  <c r="W542" i="51"/>
  <c r="V542" i="51"/>
  <c r="P542" i="51"/>
  <c r="O542" i="51"/>
  <c r="W541" i="51"/>
  <c r="V541" i="51"/>
  <c r="P541" i="51"/>
  <c r="O541" i="51"/>
  <c r="W540" i="51"/>
  <c r="V540" i="51"/>
  <c r="P540" i="51"/>
  <c r="O540" i="51"/>
  <c r="W539" i="51"/>
  <c r="V539" i="51"/>
  <c r="P539" i="51"/>
  <c r="O539" i="51"/>
  <c r="W538" i="51"/>
  <c r="V538" i="51"/>
  <c r="P538" i="51"/>
  <c r="O538" i="51"/>
  <c r="W537" i="51"/>
  <c r="V537" i="51"/>
  <c r="P537" i="51"/>
  <c r="O537" i="51"/>
  <c r="W536" i="51"/>
  <c r="V536" i="51"/>
  <c r="P536" i="51"/>
  <c r="O536" i="51"/>
  <c r="W535" i="51"/>
  <c r="V535" i="51"/>
  <c r="P535" i="51"/>
  <c r="O535" i="51"/>
  <c r="W534" i="51"/>
  <c r="V534" i="51"/>
  <c r="P534" i="51"/>
  <c r="O534" i="51"/>
  <c r="W533" i="51"/>
  <c r="V533" i="51"/>
  <c r="P533" i="51"/>
  <c r="O533" i="51"/>
  <c r="W532" i="51"/>
  <c r="V532" i="51"/>
  <c r="P532" i="51"/>
  <c r="O532" i="51"/>
  <c r="W531" i="51"/>
  <c r="V531" i="51"/>
  <c r="P531" i="51"/>
  <c r="O531" i="51"/>
  <c r="W530" i="51"/>
  <c r="V530" i="51"/>
  <c r="P530" i="51"/>
  <c r="O530" i="51"/>
  <c r="W529" i="51"/>
  <c r="V529" i="51"/>
  <c r="P529" i="51"/>
  <c r="O529" i="51"/>
  <c r="W528" i="51"/>
  <c r="V528" i="51"/>
  <c r="P528" i="51"/>
  <c r="O528" i="51"/>
  <c r="W527" i="51"/>
  <c r="V527" i="51"/>
  <c r="P527" i="51"/>
  <c r="O527" i="51"/>
  <c r="W526" i="51"/>
  <c r="V526" i="51"/>
  <c r="P526" i="51"/>
  <c r="O526" i="51"/>
  <c r="W525" i="51"/>
  <c r="V525" i="51"/>
  <c r="P525" i="51"/>
  <c r="O525" i="51"/>
  <c r="W524" i="51"/>
  <c r="V524" i="51"/>
  <c r="P524" i="51"/>
  <c r="O524" i="51"/>
  <c r="W523" i="51"/>
  <c r="V523" i="51"/>
  <c r="P523" i="51"/>
  <c r="O523" i="51"/>
  <c r="W522" i="51"/>
  <c r="V522" i="51"/>
  <c r="P522" i="51"/>
  <c r="O522" i="51"/>
  <c r="W521" i="51"/>
  <c r="V521" i="51"/>
  <c r="P521" i="51"/>
  <c r="O521" i="51"/>
  <c r="W520" i="51"/>
  <c r="V520" i="51"/>
  <c r="P520" i="51"/>
  <c r="O520" i="51"/>
  <c r="W519" i="51"/>
  <c r="V519" i="51"/>
  <c r="P519" i="51"/>
  <c r="O519" i="51"/>
  <c r="W518" i="51"/>
  <c r="V518" i="51"/>
  <c r="P518" i="51"/>
  <c r="O518" i="51"/>
  <c r="W517" i="51"/>
  <c r="V517" i="51"/>
  <c r="P517" i="51"/>
  <c r="O517" i="51"/>
  <c r="W516" i="51"/>
  <c r="V516" i="51"/>
  <c r="P516" i="51"/>
  <c r="O516" i="51"/>
  <c r="W515" i="51"/>
  <c r="V515" i="51"/>
  <c r="P515" i="51"/>
  <c r="O515" i="51"/>
  <c r="W514" i="51"/>
  <c r="V514" i="51"/>
  <c r="P514" i="51"/>
  <c r="O514" i="51"/>
  <c r="W513" i="51"/>
  <c r="V513" i="51"/>
  <c r="P513" i="51"/>
  <c r="O513" i="51"/>
  <c r="W512" i="51"/>
  <c r="V512" i="51"/>
  <c r="P512" i="51"/>
  <c r="O512" i="51"/>
  <c r="W511" i="51"/>
  <c r="V511" i="51"/>
  <c r="P511" i="51"/>
  <c r="O511" i="51"/>
  <c r="W510" i="51"/>
  <c r="V510" i="51"/>
  <c r="P510" i="51"/>
  <c r="O510" i="51"/>
  <c r="W455" i="51"/>
  <c r="V455" i="51"/>
  <c r="T455" i="51"/>
  <c r="P455" i="51"/>
  <c r="O455" i="51"/>
  <c r="W376" i="51"/>
  <c r="V376" i="51"/>
  <c r="T376" i="51"/>
  <c r="P376" i="51"/>
  <c r="O376" i="51"/>
  <c r="W375" i="51"/>
  <c r="V375" i="51"/>
  <c r="T375" i="51"/>
  <c r="P375" i="51"/>
  <c r="O375" i="51"/>
  <c r="W374" i="51"/>
  <c r="V374" i="51"/>
  <c r="T374" i="51"/>
  <c r="P374" i="51"/>
  <c r="O374" i="51"/>
  <c r="T373" i="51"/>
  <c r="P373" i="51"/>
  <c r="O373" i="51"/>
  <c r="W372" i="51"/>
  <c r="V372" i="51"/>
  <c r="T372" i="51"/>
  <c r="P372" i="51"/>
  <c r="O372" i="51"/>
  <c r="W371" i="51"/>
  <c r="V371" i="51"/>
  <c r="T371" i="51"/>
  <c r="P371" i="51"/>
  <c r="O371" i="51"/>
  <c r="W370" i="51"/>
  <c r="V370" i="51"/>
  <c r="T370" i="51"/>
  <c r="P370" i="51"/>
  <c r="O370" i="51"/>
  <c r="F370" i="51"/>
  <c r="W369" i="51"/>
  <c r="V369" i="51"/>
  <c r="T369" i="51"/>
  <c r="P369" i="51"/>
  <c r="O369" i="51"/>
  <c r="W368" i="51"/>
  <c r="V368" i="51"/>
  <c r="T368" i="51"/>
  <c r="P368" i="51"/>
  <c r="O368" i="51"/>
  <c r="W367" i="51"/>
  <c r="V367" i="51"/>
  <c r="T367" i="51"/>
  <c r="P367" i="51"/>
  <c r="O367" i="51"/>
  <c r="W366" i="51"/>
  <c r="V366" i="51"/>
  <c r="T366" i="51"/>
  <c r="P366" i="51"/>
  <c r="O366" i="51"/>
  <c r="W365" i="51"/>
  <c r="V365" i="51"/>
  <c r="T365" i="51"/>
  <c r="P365" i="51"/>
  <c r="O365" i="51"/>
  <c r="W454" i="51"/>
  <c r="V454" i="51"/>
  <c r="T454" i="51"/>
  <c r="P454" i="51"/>
  <c r="O454" i="51"/>
  <c r="W453" i="51"/>
  <c r="V453" i="51"/>
  <c r="T453" i="51"/>
  <c r="P453" i="51"/>
  <c r="O453" i="51"/>
  <c r="W452" i="51"/>
  <c r="V452" i="51"/>
  <c r="T452" i="51"/>
  <c r="P452" i="51"/>
  <c r="O452" i="51"/>
  <c r="W451" i="51"/>
  <c r="V451" i="51"/>
  <c r="T451" i="51"/>
  <c r="P451" i="51"/>
  <c r="O451" i="51"/>
  <c r="F451" i="51"/>
  <c r="W450" i="51"/>
  <c r="V450" i="51"/>
  <c r="T450" i="51"/>
  <c r="P450" i="51"/>
  <c r="O450" i="51"/>
  <c r="F450" i="51"/>
  <c r="W449" i="51"/>
  <c r="T449" i="51"/>
  <c r="P449" i="51"/>
  <c r="O449" i="51"/>
  <c r="W448" i="51"/>
  <c r="V448" i="51"/>
  <c r="T448" i="51"/>
  <c r="P448" i="51"/>
  <c r="O448" i="51"/>
  <c r="W447" i="51"/>
  <c r="V447" i="51"/>
  <c r="T447" i="51"/>
  <c r="P447" i="51"/>
  <c r="O447" i="51"/>
  <c r="E447" i="51"/>
  <c r="Q447" i="51" s="1"/>
  <c r="W446" i="51"/>
  <c r="V446" i="51"/>
  <c r="T446" i="51"/>
  <c r="P446" i="51"/>
  <c r="O446" i="51"/>
  <c r="E446" i="51"/>
  <c r="Q446" i="51" s="1"/>
  <c r="W445" i="51"/>
  <c r="V445" i="51"/>
  <c r="T445" i="51"/>
  <c r="P445" i="51"/>
  <c r="O445" i="51"/>
  <c r="E445" i="51"/>
  <c r="Q445" i="51" s="1"/>
  <c r="W444" i="51"/>
  <c r="V444" i="51"/>
  <c r="T444" i="51"/>
  <c r="P444" i="51"/>
  <c r="O444" i="51"/>
  <c r="W443" i="51"/>
  <c r="V443" i="51"/>
  <c r="T443" i="51"/>
  <c r="P443" i="51"/>
  <c r="O443" i="51"/>
  <c r="W442" i="51"/>
  <c r="V442" i="51"/>
  <c r="T442" i="51"/>
  <c r="P442" i="51"/>
  <c r="O442" i="51"/>
  <c r="W441" i="51"/>
  <c r="V441" i="51"/>
  <c r="T441" i="51"/>
  <c r="P441" i="51"/>
  <c r="O441" i="51"/>
  <c r="W440" i="51"/>
  <c r="V440" i="51"/>
  <c r="T440" i="51"/>
  <c r="P440" i="51"/>
  <c r="O440" i="51"/>
  <c r="W439" i="51"/>
  <c r="V439" i="51"/>
  <c r="T439" i="51"/>
  <c r="P439" i="51"/>
  <c r="O439" i="51"/>
  <c r="W438" i="51"/>
  <c r="V438" i="51"/>
  <c r="T438" i="51"/>
  <c r="P438" i="51"/>
  <c r="O438" i="51"/>
  <c r="W437" i="51"/>
  <c r="V437" i="51"/>
  <c r="T437" i="51"/>
  <c r="P437" i="51"/>
  <c r="O437" i="51"/>
  <c r="W436" i="51"/>
  <c r="V436" i="51"/>
  <c r="T436" i="51"/>
  <c r="P436" i="51"/>
  <c r="O436" i="51"/>
  <c r="F436" i="51"/>
  <c r="W435" i="51"/>
  <c r="V435" i="51"/>
  <c r="T435" i="51"/>
  <c r="P435" i="51"/>
  <c r="O435" i="51"/>
  <c r="W434" i="51"/>
  <c r="V434" i="51"/>
  <c r="T434" i="51"/>
  <c r="P434" i="51"/>
  <c r="O434" i="51"/>
  <c r="W433" i="51"/>
  <c r="V433" i="51"/>
  <c r="T433" i="51"/>
  <c r="P433" i="51"/>
  <c r="O433" i="51"/>
  <c r="T432" i="51"/>
  <c r="P432" i="51"/>
  <c r="O432" i="51"/>
  <c r="F432" i="51"/>
  <c r="T431" i="51"/>
  <c r="P431" i="51"/>
  <c r="O431" i="51"/>
  <c r="F431" i="51"/>
  <c r="W430" i="51"/>
  <c r="V430" i="51"/>
  <c r="T430" i="51"/>
  <c r="P430" i="51"/>
  <c r="O430" i="51"/>
  <c r="W429" i="51"/>
  <c r="V429" i="51"/>
  <c r="T429" i="51"/>
  <c r="P429" i="51"/>
  <c r="O429" i="51"/>
  <c r="W428" i="51"/>
  <c r="V428" i="51"/>
  <c r="T428" i="51"/>
  <c r="P428" i="51"/>
  <c r="O428" i="51"/>
  <c r="W427" i="51"/>
  <c r="V427" i="51"/>
  <c r="T427" i="51"/>
  <c r="P427" i="51"/>
  <c r="O427" i="51"/>
  <c r="W426" i="51"/>
  <c r="V426" i="51"/>
  <c r="T426" i="51"/>
  <c r="P426" i="51"/>
  <c r="O426" i="51"/>
  <c r="W425" i="51"/>
  <c r="V425" i="51"/>
  <c r="T425" i="51"/>
  <c r="P425" i="51"/>
  <c r="O425" i="51"/>
  <c r="W424" i="51"/>
  <c r="V424" i="51"/>
  <c r="T424" i="51"/>
  <c r="P424" i="51"/>
  <c r="O424" i="51"/>
  <c r="W423" i="51"/>
  <c r="V423" i="51"/>
  <c r="T423" i="51"/>
  <c r="P423" i="51"/>
  <c r="O423" i="51"/>
  <c r="W422" i="51"/>
  <c r="V422" i="51"/>
  <c r="T422" i="51"/>
  <c r="P422" i="51"/>
  <c r="O422" i="51"/>
  <c r="W421" i="51"/>
  <c r="V421" i="51"/>
  <c r="T421" i="51"/>
  <c r="P421" i="51"/>
  <c r="O421" i="51"/>
  <c r="W420" i="51"/>
  <c r="V420" i="51"/>
  <c r="T420" i="51"/>
  <c r="P420" i="51"/>
  <c r="O420" i="51"/>
  <c r="W419" i="51"/>
  <c r="V419" i="51"/>
  <c r="T419" i="51"/>
  <c r="P419" i="51"/>
  <c r="O419" i="51"/>
  <c r="W418" i="51"/>
  <c r="V418" i="51"/>
  <c r="T418" i="51"/>
  <c r="P418" i="51"/>
  <c r="O418" i="51"/>
  <c r="W417" i="51"/>
  <c r="V417" i="51"/>
  <c r="T417" i="51"/>
  <c r="P417" i="51"/>
  <c r="O417" i="51"/>
  <c r="W416" i="51"/>
  <c r="V416" i="51"/>
  <c r="T416" i="51"/>
  <c r="P416" i="51"/>
  <c r="O416" i="51"/>
  <c r="F416" i="51"/>
  <c r="W415" i="51"/>
  <c r="V415" i="51"/>
  <c r="T415" i="51"/>
  <c r="P415" i="51"/>
  <c r="O415" i="51"/>
  <c r="W414" i="51"/>
  <c r="V414" i="51"/>
  <c r="T414" i="51"/>
  <c r="P414" i="51"/>
  <c r="O414" i="51"/>
  <c r="W413" i="51"/>
  <c r="V413" i="51"/>
  <c r="T413" i="51"/>
  <c r="P413" i="51"/>
  <c r="O413" i="51"/>
  <c r="W412" i="51"/>
  <c r="V412" i="51"/>
  <c r="T412" i="51"/>
  <c r="P412" i="51"/>
  <c r="O412" i="51"/>
  <c r="W411" i="51"/>
  <c r="V411" i="51"/>
  <c r="T411" i="51"/>
  <c r="P411" i="51"/>
  <c r="O411" i="51"/>
  <c r="W410" i="51"/>
  <c r="V410" i="51"/>
  <c r="T410" i="51"/>
  <c r="P410" i="51"/>
  <c r="O410" i="51"/>
  <c r="W409" i="51"/>
  <c r="V409" i="51"/>
  <c r="T409" i="51"/>
  <c r="P409" i="51"/>
  <c r="O409" i="51"/>
  <c r="W408" i="51"/>
  <c r="V408" i="51"/>
  <c r="T408" i="51"/>
  <c r="P408" i="51"/>
  <c r="O408" i="51"/>
  <c r="W407" i="51"/>
  <c r="V407" i="51"/>
  <c r="T407" i="51"/>
  <c r="P407" i="51"/>
  <c r="O407" i="51"/>
  <c r="W406" i="51"/>
  <c r="V406" i="51"/>
  <c r="T406" i="51"/>
  <c r="P406" i="51"/>
  <c r="O406" i="51"/>
  <c r="W405" i="51"/>
  <c r="V405" i="51"/>
  <c r="T405" i="51"/>
  <c r="P405" i="51"/>
  <c r="O405" i="51"/>
  <c r="W404" i="51"/>
  <c r="V404" i="51"/>
  <c r="T404" i="51"/>
  <c r="P404" i="51"/>
  <c r="O404" i="51"/>
  <c r="W403" i="51"/>
  <c r="V403" i="51"/>
  <c r="T403" i="51"/>
  <c r="P403" i="51"/>
  <c r="O403" i="51"/>
  <c r="W364" i="51"/>
  <c r="V364" i="51"/>
  <c r="T364" i="51"/>
  <c r="P364" i="51"/>
  <c r="O364" i="51"/>
  <c r="W363" i="51"/>
  <c r="V363" i="51"/>
  <c r="T363" i="51"/>
  <c r="P363" i="51"/>
  <c r="O363" i="51"/>
  <c r="W362" i="51"/>
  <c r="V362" i="51"/>
  <c r="T362" i="51"/>
  <c r="P362" i="51"/>
  <c r="O362" i="51"/>
  <c r="W361" i="51"/>
  <c r="V361" i="51"/>
  <c r="T361" i="51"/>
  <c r="P361" i="51"/>
  <c r="O361" i="51"/>
  <c r="W360" i="51"/>
  <c r="V360" i="51"/>
  <c r="T360" i="51"/>
  <c r="P360" i="51"/>
  <c r="O360" i="51"/>
  <c r="W359" i="51"/>
  <c r="V359" i="51"/>
  <c r="T359" i="51"/>
  <c r="P359" i="51"/>
  <c r="O359" i="51"/>
  <c r="W358" i="51"/>
  <c r="V358" i="51"/>
  <c r="T358" i="51"/>
  <c r="P358" i="51"/>
  <c r="O358" i="51"/>
  <c r="W357" i="51"/>
  <c r="V357" i="51"/>
  <c r="T357" i="51"/>
  <c r="P357" i="51"/>
  <c r="O357" i="51"/>
  <c r="W356" i="51"/>
  <c r="V356" i="51"/>
  <c r="T356" i="51"/>
  <c r="P356" i="51"/>
  <c r="O356" i="51"/>
  <c r="W355" i="51"/>
  <c r="V355" i="51"/>
  <c r="T355" i="51"/>
  <c r="P355" i="51"/>
  <c r="O355" i="51"/>
  <c r="W354" i="51"/>
  <c r="V354" i="51"/>
  <c r="T354" i="51"/>
  <c r="P354" i="51"/>
  <c r="O354" i="51"/>
  <c r="W353" i="51"/>
  <c r="V353" i="51"/>
  <c r="T353" i="51"/>
  <c r="P353" i="51"/>
  <c r="O353" i="51"/>
  <c r="W352" i="51"/>
  <c r="V352" i="51"/>
  <c r="T352" i="51"/>
  <c r="P352" i="51"/>
  <c r="O352" i="51"/>
  <c r="W351" i="51"/>
  <c r="V351" i="51"/>
  <c r="T351" i="51"/>
  <c r="P351" i="51"/>
  <c r="O351" i="51"/>
  <c r="W350" i="51"/>
  <c r="V350" i="51"/>
  <c r="T350" i="51"/>
  <c r="P350" i="51"/>
  <c r="O350" i="51"/>
  <c r="W349" i="51"/>
  <c r="V349" i="51"/>
  <c r="T349" i="51"/>
  <c r="P349" i="51"/>
  <c r="O349" i="51"/>
  <c r="W348" i="51"/>
  <c r="V348" i="51"/>
  <c r="T348" i="51"/>
  <c r="P348" i="51"/>
  <c r="O348" i="51"/>
  <c r="W347" i="51"/>
  <c r="V347" i="51"/>
  <c r="T347" i="51"/>
  <c r="P347" i="51"/>
  <c r="W346" i="51"/>
  <c r="V346" i="51"/>
  <c r="T346" i="51"/>
  <c r="P346" i="51"/>
  <c r="O346" i="51"/>
  <c r="W345" i="51"/>
  <c r="V345" i="51"/>
  <c r="T345" i="51"/>
  <c r="P345" i="51"/>
  <c r="W344" i="51"/>
  <c r="V344" i="51"/>
  <c r="T344" i="51"/>
  <c r="P344" i="51"/>
  <c r="O344" i="51"/>
  <c r="W343" i="51"/>
  <c r="V343" i="51"/>
  <c r="T343" i="51"/>
  <c r="P343" i="51"/>
  <c r="O343" i="51"/>
  <c r="W342" i="51"/>
  <c r="V342" i="51"/>
  <c r="T342" i="51"/>
  <c r="P342" i="51"/>
  <c r="O342" i="51"/>
  <c r="W341" i="51"/>
  <c r="V341" i="51"/>
  <c r="T341" i="51"/>
  <c r="P341" i="51"/>
  <c r="O341" i="51"/>
  <c r="W338" i="51"/>
  <c r="V338" i="51"/>
  <c r="T338" i="51"/>
  <c r="P338" i="51"/>
  <c r="O338" i="51"/>
  <c r="W337" i="51"/>
  <c r="V337" i="51"/>
  <c r="T337" i="51"/>
  <c r="P337" i="51"/>
  <c r="W336" i="51"/>
  <c r="V336" i="51"/>
  <c r="T336" i="51"/>
  <c r="P336" i="51"/>
  <c r="O336" i="51"/>
  <c r="W335" i="51"/>
  <c r="V335" i="51"/>
  <c r="T335" i="51"/>
  <c r="P335" i="51"/>
  <c r="W334" i="51"/>
  <c r="V334" i="51"/>
  <c r="T334" i="51"/>
  <c r="P334" i="51"/>
  <c r="O334" i="51"/>
  <c r="W333" i="51"/>
  <c r="V333" i="51"/>
  <c r="T333" i="51"/>
  <c r="P333" i="51"/>
  <c r="O333" i="51"/>
  <c r="W332" i="51"/>
  <c r="V332" i="51"/>
  <c r="T332" i="51"/>
  <c r="P332" i="51"/>
  <c r="W331" i="51"/>
  <c r="V331" i="51"/>
  <c r="T331" i="51"/>
  <c r="P331" i="51"/>
  <c r="O331" i="51"/>
  <c r="W330" i="51"/>
  <c r="V330" i="51"/>
  <c r="T330" i="51"/>
  <c r="P330" i="51"/>
  <c r="O330" i="51"/>
  <c r="F330" i="51"/>
  <c r="W329" i="51"/>
  <c r="V329" i="51"/>
  <c r="T329" i="51"/>
  <c r="P329" i="51"/>
  <c r="O329" i="51"/>
  <c r="W328" i="51"/>
  <c r="V328" i="51"/>
  <c r="T328" i="51"/>
  <c r="P328" i="51"/>
  <c r="O328" i="51"/>
  <c r="W327" i="51"/>
  <c r="V327" i="51"/>
  <c r="T327" i="51"/>
  <c r="P327" i="51"/>
  <c r="O327" i="51"/>
  <c r="W326" i="51"/>
  <c r="V326" i="51"/>
  <c r="T326" i="51"/>
  <c r="P326" i="51"/>
  <c r="O326" i="51"/>
  <c r="W325" i="51"/>
  <c r="V325" i="51"/>
  <c r="T325" i="51"/>
  <c r="P325" i="51"/>
  <c r="O325" i="51"/>
  <c r="W324" i="51"/>
  <c r="V324" i="51"/>
  <c r="T324" i="51"/>
  <c r="P324" i="51"/>
  <c r="O324" i="51"/>
  <c r="W323" i="51"/>
  <c r="V323" i="51"/>
  <c r="T323" i="51"/>
  <c r="P323" i="51"/>
  <c r="O323" i="51"/>
  <c r="W322" i="51"/>
  <c r="V322" i="51"/>
  <c r="T322" i="51"/>
  <c r="P322" i="51"/>
  <c r="W321" i="51"/>
  <c r="V321" i="51"/>
  <c r="T321" i="51"/>
  <c r="P321" i="51"/>
  <c r="O321" i="51"/>
  <c r="W320" i="51"/>
  <c r="V320" i="51"/>
  <c r="T320" i="51"/>
  <c r="P320" i="51"/>
  <c r="O320" i="51"/>
  <c r="W317" i="51"/>
  <c r="V317" i="51"/>
  <c r="O317" i="51"/>
  <c r="W316" i="51"/>
  <c r="V316" i="51"/>
  <c r="O316" i="51"/>
  <c r="W315" i="51"/>
  <c r="V315" i="51"/>
  <c r="O315" i="51"/>
  <c r="W314" i="51"/>
  <c r="V314" i="51"/>
  <c r="O314" i="51"/>
  <c r="W313" i="51"/>
  <c r="V313" i="51"/>
  <c r="O313" i="51"/>
  <c r="W312" i="51"/>
  <c r="V312" i="51"/>
  <c r="O312" i="51"/>
  <c r="W311" i="51"/>
  <c r="V311" i="51"/>
  <c r="O311" i="51"/>
  <c r="W310" i="51"/>
  <c r="V310" i="51"/>
  <c r="O310" i="51"/>
  <c r="W309" i="51"/>
  <c r="V309" i="51"/>
  <c r="O309" i="51"/>
  <c r="W308" i="51"/>
  <c r="V308" i="51"/>
  <c r="O308" i="51"/>
  <c r="W307" i="51"/>
  <c r="V307" i="51"/>
  <c r="O307" i="51"/>
  <c r="W306" i="51"/>
  <c r="V306" i="51"/>
  <c r="O306" i="51"/>
  <c r="W305" i="51"/>
  <c r="V305" i="51"/>
  <c r="O305" i="51"/>
  <c r="W304" i="51"/>
  <c r="V304" i="51"/>
  <c r="O304" i="51"/>
  <c r="W303" i="51"/>
  <c r="V303" i="51"/>
  <c r="O303" i="51"/>
  <c r="W302" i="51"/>
  <c r="V302" i="51"/>
  <c r="W301" i="51"/>
  <c r="V301" i="51"/>
  <c r="O301" i="51"/>
  <c r="W300" i="51"/>
  <c r="V300" i="51"/>
  <c r="W299" i="51"/>
  <c r="V299" i="51"/>
  <c r="W298" i="51"/>
  <c r="V298" i="51"/>
  <c r="W297" i="51"/>
  <c r="V297" i="51"/>
  <c r="O297" i="51"/>
  <c r="W296" i="51"/>
  <c r="V296" i="51"/>
  <c r="O296" i="51"/>
  <c r="W295" i="51"/>
  <c r="V295" i="51"/>
  <c r="W294" i="51"/>
  <c r="V294" i="51"/>
  <c r="T294" i="51"/>
  <c r="P294" i="51"/>
  <c r="O294" i="51"/>
  <c r="W293" i="51"/>
  <c r="V293" i="51"/>
  <c r="O293" i="51"/>
  <c r="W292" i="51"/>
  <c r="V292" i="51"/>
  <c r="O292" i="51"/>
  <c r="W291" i="51"/>
  <c r="V291" i="51"/>
  <c r="O291" i="51"/>
  <c r="W290" i="51"/>
  <c r="V290" i="51"/>
  <c r="W289" i="51"/>
  <c r="V289" i="51"/>
  <c r="W288" i="51"/>
  <c r="V288" i="51"/>
  <c r="O288" i="51"/>
  <c r="W287" i="51"/>
  <c r="V287" i="51"/>
  <c r="O287" i="51"/>
  <c r="W286" i="51"/>
  <c r="V286" i="51"/>
  <c r="O286" i="51"/>
  <c r="W285" i="51"/>
  <c r="V285" i="51"/>
  <c r="W284" i="51"/>
  <c r="V284" i="51"/>
  <c r="T284" i="51"/>
  <c r="P284" i="51"/>
  <c r="O284" i="51"/>
  <c r="W283" i="51"/>
  <c r="V283" i="51"/>
  <c r="O283" i="51"/>
  <c r="W282" i="51"/>
  <c r="V282" i="51"/>
  <c r="O282" i="51"/>
  <c r="W281" i="51"/>
  <c r="V281" i="51"/>
  <c r="O281" i="51"/>
  <c r="W280" i="51"/>
  <c r="V280" i="51"/>
  <c r="O280" i="51"/>
  <c r="W279" i="51"/>
  <c r="V279" i="51"/>
  <c r="W278" i="51"/>
  <c r="V278" i="51"/>
  <c r="T278" i="51"/>
  <c r="P278" i="51"/>
  <c r="O278" i="51"/>
  <c r="W277" i="51"/>
  <c r="V277" i="51"/>
  <c r="O277" i="51"/>
  <c r="W276" i="51"/>
  <c r="V276" i="51"/>
  <c r="O276" i="51"/>
  <c r="W275" i="51"/>
  <c r="V275" i="51"/>
  <c r="O275" i="51"/>
  <c r="W274" i="51"/>
  <c r="V274" i="51"/>
  <c r="O274" i="51"/>
  <c r="W273" i="51"/>
  <c r="V273" i="51"/>
  <c r="W272" i="51"/>
  <c r="V272" i="51"/>
  <c r="T272" i="51"/>
  <c r="P272" i="51"/>
  <c r="O272" i="51"/>
  <c r="W271" i="51"/>
  <c r="V271" i="51"/>
  <c r="O271" i="51"/>
  <c r="W270" i="51"/>
  <c r="V270" i="51"/>
  <c r="O270" i="51"/>
  <c r="W269" i="51"/>
  <c r="V269" i="51"/>
  <c r="O269" i="51"/>
  <c r="W268" i="51"/>
  <c r="V268" i="51"/>
  <c r="O268" i="51"/>
  <c r="W267" i="51"/>
  <c r="V267" i="51"/>
  <c r="W266" i="51"/>
  <c r="V266" i="51"/>
  <c r="T266" i="51"/>
  <c r="P266" i="51"/>
  <c r="O266" i="51"/>
  <c r="W265" i="51"/>
  <c r="V265" i="51"/>
  <c r="O265" i="51"/>
  <c r="W264" i="51"/>
  <c r="V264" i="51"/>
  <c r="O264" i="51"/>
  <c r="W263" i="51"/>
  <c r="V263" i="51"/>
  <c r="O263" i="51"/>
  <c r="W262" i="51"/>
  <c r="V262" i="51"/>
  <c r="O262" i="51"/>
  <c r="W261" i="51"/>
  <c r="V261" i="51"/>
  <c r="O261" i="51"/>
  <c r="W260" i="51"/>
  <c r="V260" i="51"/>
  <c r="O260" i="51"/>
  <c r="W259" i="51"/>
  <c r="V259" i="51"/>
  <c r="W258" i="51"/>
  <c r="V258" i="51"/>
  <c r="W257" i="51"/>
  <c r="V257" i="51"/>
  <c r="O257" i="51"/>
  <c r="W256" i="51"/>
  <c r="V256" i="51"/>
  <c r="O256" i="51"/>
  <c r="W255" i="51"/>
  <c r="V255" i="51"/>
  <c r="O255" i="51"/>
  <c r="W254" i="51"/>
  <c r="V254" i="51"/>
  <c r="W253" i="51"/>
  <c r="V253" i="51"/>
  <c r="T253" i="51"/>
  <c r="P253" i="51"/>
  <c r="O253" i="51"/>
  <c r="W252" i="51"/>
  <c r="V252" i="51"/>
  <c r="O252" i="51"/>
  <c r="W251" i="51"/>
  <c r="V251" i="51"/>
  <c r="W250" i="51"/>
  <c r="V250" i="51"/>
  <c r="T250" i="51"/>
  <c r="P250" i="51"/>
  <c r="O250" i="51"/>
  <c r="W249" i="51"/>
  <c r="V249" i="51"/>
  <c r="O249" i="51"/>
  <c r="W248" i="51"/>
  <c r="V248" i="51"/>
  <c r="O248" i="51"/>
  <c r="W247" i="51"/>
  <c r="V247" i="51"/>
  <c r="O247" i="51"/>
  <c r="W246" i="51"/>
  <c r="V246" i="51"/>
  <c r="O246" i="51"/>
  <c r="W245" i="51"/>
  <c r="V245" i="51"/>
  <c r="O245" i="51"/>
  <c r="W244" i="51"/>
  <c r="V244" i="51"/>
  <c r="W243" i="51"/>
  <c r="V243" i="51"/>
  <c r="T243" i="51"/>
  <c r="P243" i="51"/>
  <c r="O243" i="51"/>
  <c r="W242" i="51"/>
  <c r="V242" i="51"/>
  <c r="O242" i="51"/>
  <c r="W241" i="51"/>
  <c r="V241" i="51"/>
  <c r="O241" i="51"/>
  <c r="W240" i="51"/>
  <c r="V240" i="51"/>
  <c r="W239" i="51"/>
  <c r="V239" i="51"/>
  <c r="T239" i="51"/>
  <c r="P239" i="51"/>
  <c r="O239" i="51"/>
  <c r="W238" i="51"/>
  <c r="V238" i="51"/>
  <c r="T238" i="51"/>
  <c r="P238" i="51"/>
  <c r="O238" i="51"/>
  <c r="W237" i="51"/>
  <c r="V237" i="51"/>
  <c r="O237" i="51"/>
  <c r="W236" i="51"/>
  <c r="V236" i="51"/>
  <c r="W235" i="51"/>
  <c r="V235" i="51"/>
  <c r="O235" i="51"/>
  <c r="W234" i="51"/>
  <c r="V234" i="51"/>
  <c r="O234" i="51"/>
  <c r="W233" i="51"/>
  <c r="V233" i="51"/>
  <c r="W232" i="51"/>
  <c r="V232" i="51"/>
  <c r="T232" i="51"/>
  <c r="P232" i="51"/>
  <c r="O232" i="51"/>
  <c r="W231" i="51"/>
  <c r="V231" i="51"/>
  <c r="O231" i="51"/>
  <c r="W230" i="51"/>
  <c r="V230" i="51"/>
  <c r="W229" i="51"/>
  <c r="V229" i="51"/>
  <c r="O229" i="51"/>
  <c r="W228" i="51"/>
  <c r="V228" i="51"/>
  <c r="T228" i="51"/>
  <c r="P228" i="51"/>
  <c r="O228" i="51"/>
  <c r="W227" i="51"/>
  <c r="V227" i="51"/>
  <c r="T227" i="51"/>
  <c r="P227" i="51"/>
  <c r="O227" i="51"/>
  <c r="W226" i="51"/>
  <c r="V226" i="51"/>
  <c r="T226" i="51"/>
  <c r="P226" i="51"/>
  <c r="O226" i="51"/>
  <c r="W225" i="51"/>
  <c r="V225" i="51"/>
  <c r="T225" i="51"/>
  <c r="P225" i="51"/>
  <c r="O225" i="51"/>
  <c r="W224" i="51"/>
  <c r="V224" i="51"/>
  <c r="T224" i="51"/>
  <c r="P224" i="51"/>
  <c r="O224" i="51"/>
  <c r="W223" i="51"/>
  <c r="V223" i="51"/>
  <c r="T223" i="51"/>
  <c r="P223" i="51"/>
  <c r="O223" i="51"/>
  <c r="W222" i="51"/>
  <c r="V222" i="51"/>
  <c r="T222" i="51"/>
  <c r="P222" i="51"/>
  <c r="O222" i="51"/>
  <c r="W221" i="51"/>
  <c r="V221" i="51"/>
  <c r="T221" i="51"/>
  <c r="P221" i="51"/>
  <c r="O221" i="51"/>
  <c r="W220" i="51"/>
  <c r="V220" i="51"/>
  <c r="T220" i="51"/>
  <c r="P220" i="51"/>
  <c r="O220" i="51"/>
  <c r="W219" i="51"/>
  <c r="V219" i="51"/>
  <c r="T219" i="51"/>
  <c r="P219" i="51"/>
  <c r="O219" i="51"/>
  <c r="W218" i="51"/>
  <c r="V218" i="51"/>
  <c r="T218" i="51"/>
  <c r="P218" i="51"/>
  <c r="O218" i="51"/>
  <c r="W217" i="51"/>
  <c r="V217" i="51"/>
  <c r="T217" i="51"/>
  <c r="P217" i="51"/>
  <c r="O217" i="51"/>
  <c r="W216" i="51"/>
  <c r="V216" i="51"/>
  <c r="T216" i="51"/>
  <c r="P216" i="51"/>
  <c r="O216" i="51"/>
  <c r="W215" i="51"/>
  <c r="V215" i="51"/>
  <c r="T215" i="51"/>
  <c r="P215" i="51"/>
  <c r="O215" i="51"/>
  <c r="W214" i="51"/>
  <c r="V214" i="51"/>
  <c r="T214" i="51"/>
  <c r="P214" i="51"/>
  <c r="O214" i="51"/>
  <c r="W213" i="51"/>
  <c r="V213" i="51"/>
  <c r="T213" i="51"/>
  <c r="P213" i="51"/>
  <c r="O213" i="51"/>
  <c r="W212" i="51"/>
  <c r="V212" i="51"/>
  <c r="T212" i="51"/>
  <c r="P212" i="51"/>
  <c r="O212" i="51"/>
  <c r="W211" i="51"/>
  <c r="V211" i="51"/>
  <c r="T211" i="51"/>
  <c r="P211" i="51"/>
  <c r="O211" i="51"/>
  <c r="W210" i="51"/>
  <c r="V210" i="51"/>
  <c r="T210" i="51"/>
  <c r="P210" i="51"/>
  <c r="O210" i="51"/>
  <c r="W209" i="51"/>
  <c r="V209" i="51"/>
  <c r="T209" i="51"/>
  <c r="P209" i="51"/>
  <c r="O209" i="51"/>
  <c r="W208" i="51"/>
  <c r="V208" i="51"/>
  <c r="T208" i="51"/>
  <c r="P208" i="51"/>
  <c r="O208" i="51"/>
  <c r="W207" i="51"/>
  <c r="V207" i="51"/>
  <c r="T207" i="51"/>
  <c r="P207" i="51"/>
  <c r="O207" i="51"/>
  <c r="W206" i="51"/>
  <c r="V206" i="51"/>
  <c r="T206" i="51"/>
  <c r="P206" i="51"/>
  <c r="O206" i="51"/>
  <c r="W205" i="51"/>
  <c r="V205" i="51"/>
  <c r="T205" i="51"/>
  <c r="P205" i="51"/>
  <c r="O205" i="51"/>
  <c r="W204" i="51"/>
  <c r="V204" i="51"/>
  <c r="T204" i="51"/>
  <c r="P204" i="51"/>
  <c r="O204" i="51"/>
  <c r="W203" i="51"/>
  <c r="V203" i="51"/>
  <c r="T203" i="51"/>
  <c r="P203" i="51"/>
  <c r="O203" i="51"/>
  <c r="W202" i="51"/>
  <c r="V202" i="51"/>
  <c r="T202" i="51"/>
  <c r="P202" i="51"/>
  <c r="O202" i="51"/>
  <c r="W201" i="51"/>
  <c r="V201" i="51"/>
  <c r="T201" i="51"/>
  <c r="P201" i="51"/>
  <c r="O201" i="51"/>
  <c r="W200" i="51"/>
  <c r="V200" i="51"/>
  <c r="T200" i="51"/>
  <c r="P200" i="51"/>
  <c r="O200" i="51"/>
  <c r="W199" i="51"/>
  <c r="V199" i="51"/>
  <c r="T199" i="51"/>
  <c r="P199" i="51"/>
  <c r="W198" i="51"/>
  <c r="V198" i="51"/>
  <c r="T198" i="51"/>
  <c r="P198" i="51"/>
  <c r="O198" i="51"/>
  <c r="W197" i="51"/>
  <c r="V197" i="51"/>
  <c r="T197" i="51"/>
  <c r="P197" i="51"/>
  <c r="O197" i="51"/>
  <c r="W196" i="51"/>
  <c r="V196" i="51"/>
  <c r="T196" i="51"/>
  <c r="P196" i="51"/>
  <c r="O196" i="51"/>
  <c r="W195" i="51"/>
  <c r="V195" i="51"/>
  <c r="T195" i="51"/>
  <c r="P195" i="51"/>
  <c r="O195" i="51"/>
  <c r="W194" i="51"/>
  <c r="V194" i="51"/>
  <c r="T194" i="51"/>
  <c r="P194" i="51"/>
  <c r="O194" i="51"/>
  <c r="W193" i="51"/>
  <c r="V193" i="51"/>
  <c r="T193" i="51"/>
  <c r="P193" i="51"/>
  <c r="O193" i="51"/>
  <c r="W192" i="51"/>
  <c r="V192" i="51"/>
  <c r="T192" i="51"/>
  <c r="P192" i="51"/>
  <c r="O192" i="51"/>
  <c r="W191" i="51"/>
  <c r="V191" i="51"/>
  <c r="T191" i="51"/>
  <c r="P191" i="51"/>
  <c r="O191" i="51"/>
  <c r="W190" i="51"/>
  <c r="V190" i="51"/>
  <c r="T190" i="51"/>
  <c r="P190" i="51"/>
  <c r="O190" i="51"/>
  <c r="W189" i="51"/>
  <c r="V189" i="51"/>
  <c r="T189" i="51"/>
  <c r="P189" i="51"/>
  <c r="O189" i="51"/>
  <c r="W188" i="51"/>
  <c r="V188" i="51"/>
  <c r="T188" i="51"/>
  <c r="P188" i="51"/>
  <c r="O188" i="51"/>
  <c r="W187" i="51"/>
  <c r="V187" i="51"/>
  <c r="T187" i="51"/>
  <c r="P187" i="51"/>
  <c r="O187" i="51"/>
  <c r="W186" i="51"/>
  <c r="V186" i="51"/>
  <c r="T186" i="51"/>
  <c r="P186" i="51"/>
  <c r="O186" i="51"/>
  <c r="W185" i="51"/>
  <c r="V185" i="51"/>
  <c r="T185" i="51"/>
  <c r="P185" i="51"/>
  <c r="O185" i="51"/>
  <c r="W184" i="51"/>
  <c r="V184" i="51"/>
  <c r="T184" i="51"/>
  <c r="P184" i="51"/>
  <c r="O184" i="51"/>
  <c r="W183" i="51"/>
  <c r="V183" i="51"/>
  <c r="T183" i="51"/>
  <c r="P183" i="51"/>
  <c r="O183" i="51"/>
  <c r="W182" i="51"/>
  <c r="V182" i="51"/>
  <c r="T182" i="51"/>
  <c r="P182" i="51"/>
  <c r="O182" i="51"/>
  <c r="W181" i="51"/>
  <c r="V181" i="51"/>
  <c r="T181" i="51"/>
  <c r="P181" i="51"/>
  <c r="O181" i="51"/>
  <c r="W180" i="51"/>
  <c r="V180" i="51"/>
  <c r="T180" i="51"/>
  <c r="P180" i="51"/>
  <c r="O180" i="51"/>
  <c r="W179" i="51"/>
  <c r="V179" i="51"/>
  <c r="T179" i="51"/>
  <c r="P179" i="51"/>
  <c r="O179" i="51"/>
  <c r="W178" i="51"/>
  <c r="V178" i="51"/>
  <c r="T178" i="51"/>
  <c r="P178" i="51"/>
  <c r="O178" i="51"/>
  <c r="W177" i="51"/>
  <c r="V177" i="51"/>
  <c r="T177" i="51"/>
  <c r="P177" i="51"/>
  <c r="O177" i="51"/>
  <c r="W176" i="51"/>
  <c r="V176" i="51"/>
  <c r="T176" i="51"/>
  <c r="P176" i="51"/>
  <c r="O176" i="51"/>
  <c r="W175" i="51"/>
  <c r="V175" i="51"/>
  <c r="T175" i="51"/>
  <c r="P175" i="51"/>
  <c r="O175" i="51"/>
  <c r="W174" i="51"/>
  <c r="V174" i="51"/>
  <c r="T174" i="51"/>
  <c r="P174" i="51"/>
  <c r="O174" i="51"/>
  <c r="W173" i="51"/>
  <c r="V173" i="51"/>
  <c r="T173" i="51"/>
  <c r="P173" i="51"/>
  <c r="O173" i="51"/>
  <c r="W172" i="51"/>
  <c r="V172" i="51"/>
  <c r="T172" i="51"/>
  <c r="P172" i="51"/>
  <c r="O172" i="51"/>
  <c r="W171" i="51"/>
  <c r="V171" i="51"/>
  <c r="T171" i="51"/>
  <c r="P171" i="51"/>
  <c r="O171" i="51"/>
  <c r="W170" i="51"/>
  <c r="V170" i="51"/>
  <c r="T170" i="51"/>
  <c r="P170" i="51"/>
  <c r="O170" i="51"/>
  <c r="W169" i="51"/>
  <c r="V169" i="51"/>
  <c r="T169" i="51"/>
  <c r="P169" i="51"/>
  <c r="O169" i="51"/>
  <c r="W168" i="51"/>
  <c r="V168" i="51"/>
  <c r="T168" i="51"/>
  <c r="P168" i="51"/>
  <c r="O168" i="51"/>
  <c r="W167" i="51"/>
  <c r="V167" i="51"/>
  <c r="T167" i="51"/>
  <c r="P167" i="51"/>
  <c r="O167" i="51"/>
  <c r="W166" i="51"/>
  <c r="V166" i="51"/>
  <c r="T166" i="51"/>
  <c r="P166" i="51"/>
  <c r="O166" i="51"/>
  <c r="W165" i="51"/>
  <c r="V165" i="51"/>
  <c r="T165" i="51"/>
  <c r="P165" i="51"/>
  <c r="O165" i="51"/>
  <c r="W164" i="51"/>
  <c r="V164" i="51"/>
  <c r="T164" i="51"/>
  <c r="P164" i="51"/>
  <c r="O164" i="51"/>
  <c r="W163" i="51"/>
  <c r="V163" i="51"/>
  <c r="T163" i="51"/>
  <c r="P163" i="51"/>
  <c r="O163" i="51"/>
  <c r="W162" i="51"/>
  <c r="V162" i="51"/>
  <c r="T162" i="51"/>
  <c r="P162" i="51"/>
  <c r="O162" i="51"/>
  <c r="W161" i="51"/>
  <c r="V161" i="51"/>
  <c r="T161" i="51"/>
  <c r="P161" i="51"/>
  <c r="O161" i="51"/>
  <c r="B161" i="51"/>
  <c r="B162" i="51" s="1"/>
  <c r="B163" i="51" s="1"/>
  <c r="B164" i="51" s="1"/>
  <c r="B165" i="51" s="1"/>
  <c r="B166" i="51" s="1"/>
  <c r="B167" i="51" s="1"/>
  <c r="B168" i="51" s="1"/>
  <c r="B169" i="51" s="1"/>
  <c r="B170" i="51" s="1"/>
  <c r="B171" i="51" s="1"/>
  <c r="B172" i="51" s="1"/>
  <c r="B173" i="51" s="1"/>
  <c r="B174" i="51" s="1"/>
  <c r="B175" i="51" s="1"/>
  <c r="B176" i="51" s="1"/>
  <c r="B177" i="51" s="1"/>
  <c r="B178" i="51" s="1"/>
  <c r="B179" i="51" s="1"/>
  <c r="B180" i="51" s="1"/>
  <c r="B181" i="51" s="1"/>
  <c r="B182" i="51" s="1"/>
  <c r="B183" i="51" s="1"/>
  <c r="B184" i="51" s="1"/>
  <c r="B185" i="51" s="1"/>
  <c r="B186" i="51" s="1"/>
  <c r="B187" i="51" s="1"/>
  <c r="B188" i="51" s="1"/>
  <c r="B189" i="51" s="1"/>
  <c r="B190" i="51" s="1"/>
  <c r="B191" i="51" s="1"/>
  <c r="B192" i="51" s="1"/>
  <c r="B193" i="51" s="1"/>
  <c r="B194" i="51" s="1"/>
  <c r="B195" i="51" s="1"/>
  <c r="B196" i="51" s="1"/>
  <c r="B197" i="51" s="1"/>
  <c r="B198" i="51" s="1"/>
  <c r="B199" i="51" s="1"/>
  <c r="B200" i="51" s="1"/>
  <c r="B201" i="51" s="1"/>
  <c r="B202" i="51" s="1"/>
  <c r="B203" i="51" s="1"/>
  <c r="B204" i="51" s="1"/>
  <c r="B205" i="51" s="1"/>
  <c r="B206" i="51" s="1"/>
  <c r="B207" i="51" s="1"/>
  <c r="B208" i="51" s="1"/>
  <c r="B209" i="51" s="1"/>
  <c r="B210" i="51" s="1"/>
  <c r="B211" i="51" s="1"/>
  <c r="B212" i="51" s="1"/>
  <c r="B213" i="51" s="1"/>
  <c r="B214" i="51" s="1"/>
  <c r="B215" i="51" s="1"/>
  <c r="B216" i="51" s="1"/>
  <c r="B217" i="51" s="1"/>
  <c r="B218" i="51" s="1"/>
  <c r="B219" i="51" s="1"/>
  <c r="B220" i="51" s="1"/>
  <c r="B221" i="51" s="1"/>
  <c r="B222" i="51" s="1"/>
  <c r="B223" i="51" s="1"/>
  <c r="B224" i="51" s="1"/>
  <c r="B225" i="51" s="1"/>
  <c r="B226" i="51" s="1"/>
  <c r="B227" i="51" s="1"/>
  <c r="W160" i="51"/>
  <c r="V160" i="51"/>
  <c r="T160" i="51"/>
  <c r="P160" i="51"/>
  <c r="O160" i="51"/>
  <c r="W159" i="51"/>
  <c r="V159" i="51"/>
  <c r="T159" i="51"/>
  <c r="P159" i="51"/>
  <c r="O159" i="51"/>
  <c r="W158" i="51"/>
  <c r="V158" i="51"/>
  <c r="T158" i="51"/>
  <c r="P158" i="51"/>
  <c r="O158" i="51"/>
  <c r="W156" i="51"/>
  <c r="V156" i="51"/>
  <c r="T156" i="51"/>
  <c r="P156" i="51"/>
  <c r="O156" i="51"/>
  <c r="F156" i="51"/>
  <c r="W155" i="51"/>
  <c r="V155" i="51"/>
  <c r="T155" i="51"/>
  <c r="P155" i="51"/>
  <c r="O155" i="51"/>
  <c r="W154" i="51"/>
  <c r="V154" i="51"/>
  <c r="T154" i="51"/>
  <c r="P154" i="51"/>
  <c r="O154" i="51"/>
  <c r="W153" i="51"/>
  <c r="V153" i="51"/>
  <c r="T153" i="51"/>
  <c r="P153" i="51"/>
  <c r="O153" i="51"/>
  <c r="W152" i="51"/>
  <c r="V152" i="51"/>
  <c r="T152" i="51"/>
  <c r="P152" i="51"/>
  <c r="O152" i="51"/>
  <c r="W151" i="51"/>
  <c r="V151" i="51"/>
  <c r="T151" i="51"/>
  <c r="P151" i="51"/>
  <c r="O151" i="51"/>
  <c r="W150" i="51"/>
  <c r="V150" i="51"/>
  <c r="T150" i="51"/>
  <c r="P150" i="51"/>
  <c r="O150" i="51"/>
  <c r="F150" i="51"/>
  <c r="W149" i="51"/>
  <c r="V149" i="51"/>
  <c r="T149" i="51"/>
  <c r="P149" i="51"/>
  <c r="O149" i="51"/>
  <c r="W148" i="51"/>
  <c r="V148" i="51"/>
  <c r="T148" i="51"/>
  <c r="P148" i="51"/>
  <c r="O148" i="51"/>
  <c r="W147" i="51"/>
  <c r="V147" i="51"/>
  <c r="T147" i="51"/>
  <c r="P147" i="51"/>
  <c r="O147" i="51"/>
  <c r="W146" i="51"/>
  <c r="V146" i="51"/>
  <c r="T146" i="51"/>
  <c r="P146" i="51"/>
  <c r="O146" i="51"/>
  <c r="W145" i="51"/>
  <c r="V145" i="51"/>
  <c r="T145" i="51"/>
  <c r="P145" i="51"/>
  <c r="O145" i="51"/>
  <c r="F145" i="51"/>
  <c r="W144" i="51"/>
  <c r="V144" i="51"/>
  <c r="T144" i="51"/>
  <c r="P144" i="51"/>
  <c r="O144" i="51"/>
  <c r="W143" i="51"/>
  <c r="V143" i="51"/>
  <c r="T143" i="51"/>
  <c r="P143" i="51"/>
  <c r="O143" i="51"/>
  <c r="F143" i="51"/>
  <c r="W142" i="51"/>
  <c r="V142" i="51"/>
  <c r="T142" i="51"/>
  <c r="P142" i="51"/>
  <c r="O142" i="51"/>
  <c r="W141" i="51"/>
  <c r="V141" i="51"/>
  <c r="T141" i="51"/>
  <c r="P141" i="51"/>
  <c r="W140" i="51"/>
  <c r="V140" i="51"/>
  <c r="T140" i="51"/>
  <c r="P140" i="51"/>
  <c r="O140" i="51"/>
  <c r="W139" i="51"/>
  <c r="V139" i="51"/>
  <c r="T139" i="51"/>
  <c r="P139" i="51"/>
  <c r="O139" i="51"/>
  <c r="W138" i="51"/>
  <c r="V138" i="51"/>
  <c r="T138" i="51"/>
  <c r="P138" i="51"/>
  <c r="O138" i="51"/>
  <c r="W137" i="51"/>
  <c r="V137" i="51"/>
  <c r="T137" i="51"/>
  <c r="P137" i="51"/>
  <c r="O137" i="51"/>
  <c r="W136" i="51"/>
  <c r="V136" i="51"/>
  <c r="T136" i="51"/>
  <c r="P136" i="51"/>
  <c r="O136" i="51"/>
  <c r="W135" i="51"/>
  <c r="V135" i="51"/>
  <c r="T135" i="51"/>
  <c r="P135" i="51"/>
  <c r="O135" i="51"/>
  <c r="W134" i="51"/>
  <c r="V134" i="51"/>
  <c r="T134" i="51"/>
  <c r="P134" i="51"/>
  <c r="O134" i="51"/>
  <c r="W133" i="51"/>
  <c r="V133" i="51"/>
  <c r="T133" i="51"/>
  <c r="P133" i="51"/>
  <c r="O133" i="51"/>
  <c r="W132" i="51"/>
  <c r="V132" i="51"/>
  <c r="T132" i="51"/>
  <c r="P132" i="51"/>
  <c r="O132" i="51"/>
  <c r="W131" i="51"/>
  <c r="V131" i="51"/>
  <c r="T131" i="51"/>
  <c r="P131" i="51"/>
  <c r="O131" i="51"/>
  <c r="W130" i="51"/>
  <c r="V130" i="51"/>
  <c r="T130" i="51"/>
  <c r="P130" i="51"/>
  <c r="O130" i="51"/>
  <c r="W129" i="51"/>
  <c r="V129" i="51"/>
  <c r="T129" i="51"/>
  <c r="P129" i="51"/>
  <c r="O129" i="51"/>
  <c r="W128" i="51"/>
  <c r="V128" i="51"/>
  <c r="T128" i="51"/>
  <c r="P128" i="51"/>
  <c r="O128" i="51"/>
  <c r="W127" i="51"/>
  <c r="V127" i="51"/>
  <c r="T127" i="51"/>
  <c r="P127" i="51"/>
  <c r="O127" i="51"/>
  <c r="W123" i="51"/>
  <c r="V123" i="51"/>
  <c r="T123" i="51"/>
  <c r="P123" i="51"/>
  <c r="O123" i="51"/>
  <c r="F123" i="51"/>
  <c r="W122" i="51"/>
  <c r="V122" i="51"/>
  <c r="T122" i="51"/>
  <c r="P122" i="51"/>
  <c r="O122" i="51"/>
  <c r="W121" i="51"/>
  <c r="V121" i="51"/>
  <c r="T121" i="51"/>
  <c r="P121" i="51"/>
  <c r="O121" i="51"/>
  <c r="W120" i="51"/>
  <c r="V120" i="51"/>
  <c r="T120" i="51"/>
  <c r="P120" i="51"/>
  <c r="O120" i="51"/>
  <c r="W119" i="51"/>
  <c r="V119" i="51"/>
  <c r="T119" i="51"/>
  <c r="P119" i="51"/>
  <c r="O119" i="51"/>
  <c r="W118" i="51"/>
  <c r="V118" i="51"/>
  <c r="T118" i="51"/>
  <c r="P118" i="51"/>
  <c r="W117" i="51"/>
  <c r="V117" i="51"/>
  <c r="T117" i="51"/>
  <c r="P117" i="51"/>
  <c r="O117" i="51"/>
  <c r="W116" i="51"/>
  <c r="V116" i="51"/>
  <c r="T116" i="51"/>
  <c r="P116" i="51"/>
  <c r="O116" i="51"/>
  <c r="W115" i="51"/>
  <c r="V115" i="51"/>
  <c r="T115" i="51"/>
  <c r="P115" i="51"/>
  <c r="O115" i="51"/>
  <c r="W114" i="51"/>
  <c r="V114" i="51"/>
  <c r="T114" i="51"/>
  <c r="P114" i="51"/>
  <c r="O114" i="51"/>
  <c r="W113" i="51"/>
  <c r="V113" i="51"/>
  <c r="T113" i="51"/>
  <c r="P113" i="51"/>
  <c r="O113" i="51"/>
  <c r="W112" i="51"/>
  <c r="V112" i="51"/>
  <c r="T112" i="51"/>
  <c r="P112" i="51"/>
  <c r="O112" i="51"/>
  <c r="W111" i="51"/>
  <c r="V111" i="51"/>
  <c r="T111" i="51"/>
  <c r="P111" i="51"/>
  <c r="O111" i="51"/>
  <c r="W110" i="51"/>
  <c r="V110" i="51"/>
  <c r="T110" i="51"/>
  <c r="P110" i="51"/>
  <c r="O110" i="51"/>
  <c r="W109" i="51"/>
  <c r="V109" i="51"/>
  <c r="T109" i="51"/>
  <c r="P109" i="51"/>
  <c r="O109" i="51"/>
  <c r="W108" i="51"/>
  <c r="V108" i="51"/>
  <c r="T108" i="51"/>
  <c r="P108" i="51"/>
  <c r="O108" i="51"/>
  <c r="W107" i="51"/>
  <c r="V107" i="51"/>
  <c r="T107" i="51"/>
  <c r="P107" i="51"/>
  <c r="O107" i="51"/>
  <c r="W106" i="51"/>
  <c r="V106" i="51"/>
  <c r="T106" i="51"/>
  <c r="P106" i="51"/>
  <c r="W105" i="51"/>
  <c r="V105" i="51"/>
  <c r="T105" i="51"/>
  <c r="P105" i="51"/>
  <c r="O105" i="51"/>
  <c r="W104" i="51"/>
  <c r="V104" i="51"/>
  <c r="T104" i="51"/>
  <c r="P104" i="51"/>
  <c r="O104" i="51"/>
  <c r="W103" i="51"/>
  <c r="V103" i="51"/>
  <c r="T103" i="51"/>
  <c r="P103" i="51"/>
  <c r="O103" i="51"/>
  <c r="W102" i="51"/>
  <c r="V102" i="51"/>
  <c r="T102" i="51"/>
  <c r="P102" i="51"/>
  <c r="O102" i="51"/>
  <c r="W101" i="51"/>
  <c r="V101" i="51"/>
  <c r="T101" i="51"/>
  <c r="P101" i="51"/>
  <c r="O101" i="51"/>
  <c r="W100" i="51"/>
  <c r="V100" i="51"/>
  <c r="T100" i="51"/>
  <c r="P100" i="51"/>
  <c r="O100" i="51"/>
  <c r="W99" i="51"/>
  <c r="V99" i="51"/>
  <c r="T99" i="51"/>
  <c r="P99" i="51"/>
  <c r="O99" i="51"/>
  <c r="W98" i="51"/>
  <c r="V98" i="51"/>
  <c r="T98" i="51"/>
  <c r="P98" i="51"/>
  <c r="O98" i="51"/>
  <c r="Q436" i="51" l="1"/>
  <c r="R436" i="51"/>
  <c r="R123" i="51"/>
  <c r="Q123" i="51"/>
  <c r="R150" i="51"/>
  <c r="Q150" i="51"/>
  <c r="R416" i="51"/>
  <c r="Q416" i="51"/>
  <c r="R432" i="51"/>
  <c r="Q432" i="51"/>
  <c r="R450" i="51"/>
  <c r="Q450" i="51"/>
  <c r="Q370" i="51"/>
  <c r="R370" i="51"/>
  <c r="Q156" i="51"/>
  <c r="R156" i="51"/>
  <c r="R330" i="51"/>
  <c r="Q330" i="51"/>
  <c r="Q143" i="51"/>
  <c r="R143" i="51"/>
  <c r="Q153" i="51"/>
  <c r="R153" i="51"/>
  <c r="R431" i="51"/>
  <c r="Q431" i="51"/>
  <c r="R451" i="51"/>
  <c r="Q451" i="51"/>
  <c r="R205" i="51"/>
  <c r="Q205" i="51"/>
  <c r="R145" i="51"/>
  <c r="Q145" i="51"/>
  <c r="O96" i="51"/>
  <c r="W95" i="51"/>
  <c r="V95" i="51"/>
  <c r="T95" i="51"/>
  <c r="P95" i="51"/>
  <c r="O95" i="51"/>
  <c r="W94" i="51"/>
  <c r="V94" i="51"/>
  <c r="T94" i="51"/>
  <c r="P94" i="51"/>
  <c r="O94" i="51"/>
  <c r="W93" i="51"/>
  <c r="V93" i="51"/>
  <c r="T93" i="51"/>
  <c r="P93" i="51"/>
  <c r="O93" i="51"/>
  <c r="W92" i="51"/>
  <c r="V92" i="51"/>
  <c r="T92" i="51"/>
  <c r="P92" i="51"/>
  <c r="O92" i="51"/>
  <c r="W91" i="51"/>
  <c r="V91" i="51"/>
  <c r="T91" i="51"/>
  <c r="P91" i="51"/>
  <c r="O91" i="51"/>
  <c r="W90" i="51"/>
  <c r="V90" i="51"/>
  <c r="T90" i="51"/>
  <c r="P90" i="51"/>
  <c r="O90" i="51"/>
  <c r="W89" i="51"/>
  <c r="V89" i="51"/>
  <c r="T89" i="51"/>
  <c r="P89" i="51"/>
  <c r="O89" i="51"/>
  <c r="W88" i="51"/>
  <c r="V88" i="51"/>
  <c r="T88" i="51"/>
  <c r="P88" i="51"/>
  <c r="W87" i="51"/>
  <c r="V87" i="51"/>
  <c r="T87" i="51"/>
  <c r="P87" i="51"/>
  <c r="O87" i="51"/>
  <c r="F87" i="51"/>
  <c r="W86" i="51"/>
  <c r="V86" i="51"/>
  <c r="T86" i="51"/>
  <c r="P86" i="51"/>
  <c r="O86" i="51"/>
  <c r="W85" i="51"/>
  <c r="V85" i="51"/>
  <c r="T85" i="51"/>
  <c r="P85" i="51"/>
  <c r="O85" i="51"/>
  <c r="W84" i="51"/>
  <c r="V84" i="51"/>
  <c r="T84" i="51"/>
  <c r="P84" i="51"/>
  <c r="O84" i="51"/>
  <c r="W83" i="51"/>
  <c r="V83" i="51"/>
  <c r="T83" i="51"/>
  <c r="P83" i="51"/>
  <c r="O83" i="51"/>
  <c r="W82" i="51"/>
  <c r="V82" i="51"/>
  <c r="T82" i="51"/>
  <c r="P82" i="51"/>
  <c r="O82" i="51"/>
  <c r="W81" i="51"/>
  <c r="V81" i="51"/>
  <c r="T81" i="51"/>
  <c r="P81" i="51"/>
  <c r="O81" i="51"/>
  <c r="W80" i="51"/>
  <c r="V80" i="51"/>
  <c r="T80" i="51"/>
  <c r="P80" i="51"/>
  <c r="O80" i="51"/>
  <c r="W79" i="51"/>
  <c r="V79" i="51"/>
  <c r="T79" i="51"/>
  <c r="P79" i="51"/>
  <c r="O79" i="51"/>
  <c r="W78" i="51"/>
  <c r="V78" i="51"/>
  <c r="T78" i="51"/>
  <c r="P78" i="51"/>
  <c r="O78" i="51"/>
  <c r="W77" i="51"/>
  <c r="V77" i="51"/>
  <c r="T77" i="51"/>
  <c r="P77" i="51"/>
  <c r="O77" i="51"/>
  <c r="W76" i="51"/>
  <c r="V76" i="51"/>
  <c r="T76" i="51"/>
  <c r="P76" i="51"/>
  <c r="O76" i="51"/>
  <c r="W75" i="51"/>
  <c r="V75" i="51"/>
  <c r="T75" i="51"/>
  <c r="P75" i="51"/>
  <c r="O75" i="51"/>
  <c r="W74" i="51"/>
  <c r="V74" i="51"/>
  <c r="T74" i="51"/>
  <c r="P74" i="51"/>
  <c r="O74" i="51"/>
  <c r="W73" i="51"/>
  <c r="V73" i="51"/>
  <c r="T73" i="51"/>
  <c r="P73" i="51"/>
  <c r="O73" i="51"/>
  <c r="W72" i="51"/>
  <c r="V72" i="51"/>
  <c r="T72" i="51"/>
  <c r="P72" i="51"/>
  <c r="O72" i="51"/>
  <c r="W71" i="51"/>
  <c r="V71" i="51"/>
  <c r="T71" i="51"/>
  <c r="P71" i="51"/>
  <c r="O71" i="51"/>
  <c r="W70" i="51"/>
  <c r="V70" i="51"/>
  <c r="T70" i="51"/>
  <c r="P70" i="51"/>
  <c r="O70" i="51"/>
  <c r="W69" i="51"/>
  <c r="V69" i="51"/>
  <c r="T69" i="51"/>
  <c r="P69" i="51"/>
  <c r="O69" i="51"/>
  <c r="W68" i="51"/>
  <c r="V68" i="51"/>
  <c r="T68" i="51"/>
  <c r="P68" i="51"/>
  <c r="O68" i="51"/>
  <c r="W67" i="51"/>
  <c r="V67" i="51"/>
  <c r="T67" i="51"/>
  <c r="P67" i="51"/>
  <c r="O67" i="51"/>
  <c r="W66" i="51"/>
  <c r="V66" i="51"/>
  <c r="T66" i="51"/>
  <c r="P66" i="51"/>
  <c r="O66" i="51"/>
  <c r="W65" i="51"/>
  <c r="V65" i="51"/>
  <c r="T65" i="51"/>
  <c r="P65" i="51"/>
  <c r="O65" i="51"/>
  <c r="W64" i="51"/>
  <c r="V64" i="51"/>
  <c r="T64" i="51"/>
  <c r="P64" i="51"/>
  <c r="O64" i="51"/>
  <c r="W63" i="51"/>
  <c r="V63" i="51"/>
  <c r="T63" i="51"/>
  <c r="P63" i="51"/>
  <c r="O63" i="51"/>
  <c r="W62" i="51"/>
  <c r="V62" i="51"/>
  <c r="T62" i="51"/>
  <c r="P62" i="51"/>
  <c r="O62" i="51"/>
  <c r="F62" i="51"/>
  <c r="W61" i="51"/>
  <c r="V61" i="51"/>
  <c r="T61" i="51"/>
  <c r="P61" i="51"/>
  <c r="O61" i="51"/>
  <c r="W60" i="51"/>
  <c r="V60" i="51"/>
  <c r="T60" i="51"/>
  <c r="P60" i="51"/>
  <c r="O60" i="51"/>
  <c r="W59" i="51"/>
  <c r="V59" i="51"/>
  <c r="T59" i="51"/>
  <c r="P59" i="51"/>
  <c r="O59" i="51"/>
  <c r="W58" i="51"/>
  <c r="V58" i="51"/>
  <c r="T58" i="51"/>
  <c r="P58" i="51"/>
  <c r="O58" i="51"/>
  <c r="W57" i="51"/>
  <c r="V57" i="51"/>
  <c r="T57" i="51"/>
  <c r="P57" i="51"/>
  <c r="O57" i="51"/>
  <c r="W56" i="51"/>
  <c r="V56" i="51"/>
  <c r="T56" i="51"/>
  <c r="P56" i="51"/>
  <c r="O56" i="51"/>
  <c r="W55" i="51"/>
  <c r="V55" i="51"/>
  <c r="T55" i="51"/>
  <c r="P55" i="51"/>
  <c r="W54" i="51"/>
  <c r="V54" i="51"/>
  <c r="T54" i="51"/>
  <c r="P54" i="51"/>
  <c r="O54" i="51"/>
  <c r="W53" i="51"/>
  <c r="V53" i="51"/>
  <c r="T53" i="51"/>
  <c r="P53" i="51"/>
  <c r="O53" i="51"/>
  <c r="W52" i="51"/>
  <c r="V52" i="51"/>
  <c r="T52" i="51"/>
  <c r="P52" i="51"/>
  <c r="O52" i="51"/>
  <c r="W45" i="51"/>
  <c r="V45" i="51"/>
  <c r="T45" i="51"/>
  <c r="P45" i="51"/>
  <c r="O45" i="51"/>
  <c r="W44" i="51"/>
  <c r="V44" i="51"/>
  <c r="U44" i="51"/>
  <c r="T44" i="51"/>
  <c r="P44" i="51"/>
  <c r="O44" i="51"/>
  <c r="W43" i="51"/>
  <c r="V43" i="51"/>
  <c r="T43" i="51"/>
  <c r="P43" i="51"/>
  <c r="O43" i="51"/>
  <c r="W42" i="51"/>
  <c r="V42" i="51"/>
  <c r="T42" i="51"/>
  <c r="P42" i="51"/>
  <c r="O42" i="51"/>
  <c r="W41" i="51"/>
  <c r="V41" i="51"/>
  <c r="T41" i="51"/>
  <c r="P41" i="51"/>
  <c r="W40" i="51"/>
  <c r="V40" i="51"/>
  <c r="T40" i="51"/>
  <c r="P40" i="51"/>
  <c r="O40" i="51"/>
  <c r="W39" i="51"/>
  <c r="V39" i="51"/>
  <c r="T39" i="51"/>
  <c r="P39" i="51"/>
  <c r="O39" i="51"/>
  <c r="W38" i="51"/>
  <c r="V38" i="51"/>
  <c r="T38" i="51"/>
  <c r="P38" i="51"/>
  <c r="O38" i="51"/>
  <c r="E38" i="51"/>
  <c r="Q38" i="51" s="1"/>
  <c r="W37" i="51"/>
  <c r="V37" i="51"/>
  <c r="T37" i="51"/>
  <c r="P37" i="51"/>
  <c r="W36" i="51"/>
  <c r="V36" i="51"/>
  <c r="T36" i="51"/>
  <c r="P36" i="51"/>
  <c r="O36" i="51"/>
  <c r="W35" i="51"/>
  <c r="V35" i="51"/>
  <c r="T35" i="51"/>
  <c r="P35" i="51"/>
  <c r="O35" i="51"/>
  <c r="W34" i="51"/>
  <c r="V34" i="51"/>
  <c r="T34" i="51"/>
  <c r="P34" i="51"/>
  <c r="O34" i="51"/>
  <c r="W33" i="51"/>
  <c r="V33" i="51"/>
  <c r="T33" i="51"/>
  <c r="P33" i="51"/>
  <c r="O33" i="51"/>
  <c r="W32" i="51"/>
  <c r="V32" i="51"/>
  <c r="T32" i="51"/>
  <c r="P32" i="51"/>
  <c r="O32" i="51"/>
  <c r="W31" i="51"/>
  <c r="V31" i="51"/>
  <c r="T31" i="51"/>
  <c r="P31" i="51"/>
  <c r="O31" i="51"/>
  <c r="W30" i="51"/>
  <c r="V30" i="51"/>
  <c r="T30" i="51"/>
  <c r="P30" i="51"/>
  <c r="O30" i="51"/>
  <c r="W29" i="51"/>
  <c r="V29" i="51"/>
  <c r="T29" i="51"/>
  <c r="P29" i="51"/>
  <c r="O29" i="51"/>
  <c r="W28" i="51"/>
  <c r="V28" i="51"/>
  <c r="T28" i="51"/>
  <c r="P28" i="51"/>
  <c r="O28" i="51"/>
  <c r="W27" i="51"/>
  <c r="V27" i="51"/>
  <c r="T27" i="51"/>
  <c r="P27" i="51"/>
  <c r="O27" i="51"/>
  <c r="W26" i="51"/>
  <c r="V26" i="51"/>
  <c r="T26" i="51"/>
  <c r="P26" i="51"/>
  <c r="O26" i="51"/>
  <c r="W25" i="51"/>
  <c r="V25" i="51"/>
  <c r="T25" i="51"/>
  <c r="P25" i="51"/>
  <c r="O25" i="51"/>
  <c r="W24" i="51"/>
  <c r="V24" i="51"/>
  <c r="T24" i="51"/>
  <c r="P24" i="51"/>
  <c r="O24" i="51"/>
  <c r="W22" i="51"/>
  <c r="V22" i="51"/>
  <c r="T22" i="51"/>
  <c r="P22" i="51"/>
  <c r="O22" i="51"/>
  <c r="W21" i="51"/>
  <c r="V21" i="51"/>
  <c r="T21" i="51"/>
  <c r="P21" i="51"/>
  <c r="O21" i="51"/>
  <c r="W20" i="51"/>
  <c r="V20" i="51"/>
  <c r="T20" i="51"/>
  <c r="P20" i="51"/>
  <c r="O20" i="51"/>
  <c r="W19" i="51"/>
  <c r="V19" i="51"/>
  <c r="T19" i="51"/>
  <c r="P19" i="51"/>
  <c r="O19" i="51"/>
  <c r="W18" i="51"/>
  <c r="V18" i="51"/>
  <c r="T18" i="51"/>
  <c r="P18" i="51"/>
  <c r="O18" i="51"/>
  <c r="W17" i="51"/>
  <c r="V17" i="51"/>
  <c r="T17" i="51"/>
  <c r="P17" i="51"/>
  <c r="O17" i="51"/>
  <c r="W15" i="51"/>
  <c r="V15" i="51"/>
  <c r="T15" i="51"/>
  <c r="P15" i="51"/>
  <c r="O15" i="51"/>
  <c r="W14" i="51"/>
  <c r="V14" i="51"/>
  <c r="T14" i="51"/>
  <c r="P14" i="51"/>
  <c r="O14" i="51"/>
  <c r="W13" i="51"/>
  <c r="V13" i="51"/>
  <c r="T13" i="51"/>
  <c r="P13" i="51"/>
  <c r="O13" i="51"/>
  <c r="W12" i="51"/>
  <c r="V12" i="51"/>
  <c r="T12" i="51"/>
  <c r="P12" i="51"/>
  <c r="O12" i="51"/>
  <c r="W11" i="51"/>
  <c r="V11" i="51"/>
  <c r="T11" i="51"/>
  <c r="P11" i="51"/>
  <c r="O11" i="51"/>
  <c r="W10" i="51"/>
  <c r="V10" i="51"/>
  <c r="T10" i="51"/>
  <c r="P10" i="51"/>
  <c r="O10" i="51"/>
  <c r="W9" i="51"/>
  <c r="V9" i="51"/>
  <c r="T9" i="51"/>
  <c r="P9" i="51"/>
  <c r="O9" i="51"/>
  <c r="W8" i="51"/>
  <c r="V8" i="51"/>
  <c r="T8" i="51"/>
  <c r="P8" i="51"/>
  <c r="O8" i="51"/>
  <c r="W7" i="51"/>
  <c r="V7" i="51"/>
  <c r="T7" i="51"/>
  <c r="P7" i="51"/>
  <c r="O7" i="51"/>
  <c r="M7" i="51"/>
  <c r="R87" i="51" l="1"/>
  <c r="Q87" i="51"/>
  <c r="R62" i="51"/>
  <c r="Q62" i="51"/>
  <c r="V8" i="50"/>
  <c r="Q8" i="50"/>
  <c r="P8" i="50"/>
  <c r="N8" i="50"/>
  <c r="F9" i="50"/>
  <c r="D9" i="50"/>
  <c r="E9" i="50"/>
</calcChain>
</file>

<file path=xl/sharedStrings.xml><?xml version="1.0" encoding="utf-8"?>
<sst xmlns="http://schemas.openxmlformats.org/spreadsheetml/2006/main" count="6259" uniqueCount="882">
  <si>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</si>
  <si>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</si>
  <si>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</si>
  <si>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</si>
  <si>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</si>
  <si>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</si>
  <si>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</si>
  <si>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</si>
  <si>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</si>
  <si>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</si>
  <si>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</si>
  <si>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</si>
  <si>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</si>
  <si>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</si>
  <si>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</si>
  <si>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</si>
  <si>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</si>
  <si>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Límite de contratación menor cuantía</t>
  </si>
  <si>
    <t>Fecha de última actualización del PAA</t>
  </si>
  <si>
    <t>AREA</t>
  </si>
  <si>
    <t>No.</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</si>
  <si>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</si>
  <si>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</si>
  <si>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</si>
  <si>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</si>
  <si>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</si>
  <si>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</si>
  <si>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¿Se requieren vigencias futuras?</t>
  </si>
  <si>
    <t>Estado de solicitud de vigencias futuras</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</si>
  <si>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</si>
  <si>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</si>
  <si>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</si>
  <si>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</si>
  <si>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</si>
  <si>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</si>
  <si>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Contratación de Servicios Profesionales, Asistenciales y Técnicos como apoyo a la gestión del Ministerio del Interior.</t>
  </si>
  <si>
    <t>CCE-05</t>
  </si>
  <si>
    <t>SUBDIRECCION DE GESTION CONTRACTUAL</t>
  </si>
  <si>
    <t>Distrito Capital de Bogotá</t>
  </si>
  <si>
    <t>CO-DC</t>
  </si>
  <si>
    <t xml:space="preserve">Álvaro Echeverry </t>
  </si>
  <si>
    <t>alvaro.echeverry@mininterior.gov.co</t>
  </si>
  <si>
    <t>78111502;90121502</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</si>
  <si>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</si>
  <si>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</si>
  <si>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</si>
  <si>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NO APLICA</t>
  </si>
  <si>
    <t>A-02-01-01-004-005</t>
  </si>
  <si>
    <t>CCE-10</t>
  </si>
  <si>
    <t>Mínima cuantía</t>
  </si>
  <si>
    <t>A-02-02-01-003-002</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</si>
  <si>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</si>
  <si>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A-02-02-01-003-003</t>
  </si>
  <si>
    <t>CCE-99</t>
  </si>
  <si>
    <t>Seléccion abreviada - acuerdo marco</t>
  </si>
  <si>
    <t>A-02-02-02-006-003</t>
  </si>
  <si>
    <t>A-02-02-02-007-001</t>
  </si>
  <si>
    <t>A-02-02-02-007-002</t>
  </si>
  <si>
    <t>A-02-02-02-008-003</t>
  </si>
  <si>
    <t>A-02-02-02-008-004</t>
  </si>
  <si>
    <t>A-02-02-02-008-005</t>
  </si>
  <si>
    <t>CCE-11||01</t>
  </si>
  <si>
    <t>81112200;81111508;81112210;43231505</t>
  </si>
  <si>
    <t>A-02-02-02-008-007</t>
  </si>
  <si>
    <t>A-02-02-02-009-003</t>
  </si>
  <si>
    <t>A-02-02-02-006-004</t>
  </si>
  <si>
    <t>93141706;93141700;93141702</t>
  </si>
  <si>
    <t>DAIRM</t>
  </si>
  <si>
    <t>94131805;93141706</t>
  </si>
  <si>
    <t>German Bernardo Carlosama Lopez</t>
  </si>
  <si>
    <t>german.carlosama@mininterior.gov.co</t>
  </si>
  <si>
    <t xml:space="preserve">A-03-06-01-013 </t>
  </si>
  <si>
    <t>94131805;93141706;80101600</t>
  </si>
  <si>
    <t>Esperanza Moreno Arevalo</t>
  </si>
  <si>
    <t>esperanza.moreno@mininterior.gov.co</t>
  </si>
  <si>
    <t>diana.vivas@mininterior.gov.co</t>
  </si>
  <si>
    <t>Generar espacios de diálogo y concertación de acuerdo a usos y costumbres de los Pueblos indígenas , previa solicitud de intervención.</t>
  </si>
  <si>
    <t>Jorge Armando Serrano</t>
  </si>
  <si>
    <t>jarmando.serrano@mininterior.gov.co</t>
  </si>
  <si>
    <t>C-3701-1000-32</t>
  </si>
  <si>
    <t>81112006;
43211501;
43201835;
43201803</t>
  </si>
  <si>
    <t>A-02-02-02-008-003-01-9</t>
  </si>
  <si>
    <t xml:space="preserve">Kevin Fernando Henao </t>
  </si>
  <si>
    <t>kevin.henao@mininterior.gov.co</t>
  </si>
  <si>
    <t>DDH</t>
  </si>
  <si>
    <t xml:space="preserve">Fortalecer el  Programa de protección a personas que se encuentran en situación de riesgo contra su vida, integridad, seguridad o libertad, por causas relacionadas con la violencia en Colombia </t>
  </si>
  <si>
    <t>A-03-03-01-009</t>
  </si>
  <si>
    <t>franklin.castaneda@mininterior.gov.co</t>
  </si>
  <si>
    <t>A-03-04-01-012</t>
  </si>
  <si>
    <t>C-3701-1000-30</t>
  </si>
  <si>
    <t xml:space="preserve">Apoyar al avance del auto 373 a través del seguimiento a la implementación de la ruta de protección colectiva en el marco de las garantías de los Derechos Humanos. </t>
  </si>
  <si>
    <t>Fortalecer la política pública de prevención de violaciones a los Derechos a la vida, integridad, libertad y seguridad de personas, grupos y comunidades.</t>
  </si>
  <si>
    <t>94131503;94131504;93121607;80101600;93141900;94132000;94131805;93141706</t>
  </si>
  <si>
    <t>14111500;82101800;82121500;82121800</t>
  </si>
  <si>
    <t>sandra.contreras@mininterior.gov.co</t>
  </si>
  <si>
    <t>Bogotá</t>
  </si>
  <si>
    <t>DAR</t>
  </si>
  <si>
    <t>A-03-11-08-001</t>
  </si>
  <si>
    <t>amelia.cotes@mininterior.gov.co</t>
  </si>
  <si>
    <t>DDPCAC</t>
  </si>
  <si>
    <t>A-03-03-04-035</t>
  </si>
  <si>
    <t>93121607;
7710164;
80101500;
8010164;
80141902;
80101600;
86141501;
93140000
93141501;
93141506;
9314190;
9413185</t>
  </si>
  <si>
    <t>A-03-03-01-065</t>
  </si>
  <si>
    <t>78111500;78111503</t>
  </si>
  <si>
    <t>C-3704-1000-6</t>
  </si>
  <si>
    <t>83121701;82101601;82111902</t>
  </si>
  <si>
    <t>Alejandro Ramírez Roa</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</si>
  <si>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</si>
  <si>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</si>
  <si>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C-3703-1000-3</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</si>
  <si>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</si>
  <si>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Mejorar la capacidad institucional de las alcaldías focalizadas a través de la implementación de Proyectos de Fortalecimiento Institucional</t>
  </si>
  <si>
    <t>OAP</t>
  </si>
  <si>
    <t>Sergio Mauricio Arciniegas Roman</t>
  </si>
  <si>
    <t>sergio.arciniegas@mininterior.gov.co</t>
  </si>
  <si>
    <t>Fortalecimiento de competencias y capacidades en programación y gestión presupuestal de las dependencias del Ministerio del Interior y entidades del sector.</t>
  </si>
  <si>
    <t>astrid.sandoval@mininterior.gov.co</t>
  </si>
  <si>
    <t>OIP</t>
  </si>
  <si>
    <t>Gestionar los recursos tecnológicos del Ministerio para el soporte de los procesos, garantizando la integridad, disponibilidad y confidencialidad de la Información de la entidad.</t>
  </si>
  <si>
    <t>43233200;43222500;43222600</t>
  </si>
  <si>
    <t>43222825;43221501;81161707;81161708;81161709</t>
  </si>
  <si>
    <t>43231513;43232201;43232312;43233701</t>
  </si>
  <si>
    <t>81111801;81112100</t>
  </si>
  <si>
    <t xml:space="preserve">A-02-02-01-003-005 </t>
  </si>
  <si>
    <t>82111903;82111901;82111902</t>
  </si>
  <si>
    <t>A-02-02-01-004-007</t>
  </si>
  <si>
    <t>SAF</t>
  </si>
  <si>
    <t>C-3799-1000-12</t>
  </si>
  <si>
    <t>sandra.galeano@mininterior.gov.co</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</si>
  <si>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</si>
  <si>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</si>
  <si>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manuel.segura@mininterior.gov.co</t>
  </si>
  <si>
    <t>15101500;15101505;15101506</t>
  </si>
  <si>
    <t>A-02-02-01-003-005</t>
  </si>
  <si>
    <t>46191601;72101509</t>
  </si>
  <si>
    <t>A-02-02-01-004-003</t>
  </si>
  <si>
    <t>A-02-02-01-001-005</t>
  </si>
  <si>
    <t>31162800;39121700</t>
  </si>
  <si>
    <t>A-02-02-01-003-006</t>
  </si>
  <si>
    <t>A-02-02-01-003-007</t>
  </si>
  <si>
    <t>A-02-02-01-004-002</t>
  </si>
  <si>
    <t>A-02-02-01-004-006</t>
  </si>
  <si>
    <t>A-02-02-02-006-008</t>
  </si>
  <si>
    <t>carmen.lancheros@mininterior.gov.co</t>
  </si>
  <si>
    <t>A-02-02-02-007-003</t>
  </si>
  <si>
    <t>helmut.hernandez@mininterior.gov.co</t>
  </si>
  <si>
    <t>A-03-03-01-53</t>
  </si>
  <si>
    <t>N/A</t>
  </si>
  <si>
    <t>CCE-11||03</t>
  </si>
  <si>
    <t>SGGT</t>
  </si>
  <si>
    <t>93141501;93141506;93141600;94132000;93131501;93131502</t>
  </si>
  <si>
    <t>Sonia Shirley Bernal Sánchez</t>
  </si>
  <si>
    <t>sonia.bernal@mininterior.gov.co</t>
  </si>
  <si>
    <t xml:space="preserve">A-03-03-01-039 </t>
  </si>
  <si>
    <t>Consolidar instrumentos de la Política Pública de Lucha Contra la Trata de Personas, para una vida libre de violencia.</t>
  </si>
  <si>
    <t>Consolidar la gobernanza y la gestión territorial como instrumentos para la paz total.</t>
  </si>
  <si>
    <t>Fortalecer el ordenamiento y la gobernanza territorial a través de la asociatividad para la paz.</t>
  </si>
  <si>
    <t>Diseñar e implementar una estrategia para el ordenamiento territorial diferencial para la convergencia regional.</t>
  </si>
  <si>
    <t>SPSCC</t>
  </si>
  <si>
    <t>A-03-03-01-032</t>
  </si>
  <si>
    <t>edgar.gonzalez@mininterior.gov.co</t>
  </si>
  <si>
    <t>C-3702-1000-8</t>
  </si>
  <si>
    <t>SGH</t>
  </si>
  <si>
    <t>Dar cumplimiento oportuno a la entrega de dotación de vestuario y calzado de labor.</t>
  </si>
  <si>
    <t>A-02-02-01-002-08</t>
  </si>
  <si>
    <t>Implementar las acciones generadas para la ejecución del 100% de los planes y programas de gestión humana en el marco de MIPG</t>
  </si>
  <si>
    <t>A-02-02-02-009-002</t>
  </si>
  <si>
    <t>A-02-02-02-009-006</t>
  </si>
  <si>
    <t>carolina.prada@mininterior.gov.co</t>
  </si>
  <si>
    <t>DSCCG</t>
  </si>
  <si>
    <t>Yuly Paola Manosalva Caro</t>
  </si>
  <si>
    <t>yuly.manosalva@mininterior.gov.co</t>
  </si>
  <si>
    <t>Atender y hacer seguimiento al 100% de las alertas emitidas por la defensoría del pueblo y mejorar el proceso.</t>
  </si>
  <si>
    <t>A-03-03-04-062</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</si>
  <si>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</si>
  <si>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</si>
  <si>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DACNARP</t>
  </si>
  <si>
    <t>Victor Hugo Moreno Mina</t>
  </si>
  <si>
    <t>victor.moreno@mininterior.gov.co</t>
  </si>
  <si>
    <t>A-03-06-01-012</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</si>
  <si>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</si>
  <si>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</si>
  <si>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</si>
  <si>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</si>
  <si>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</si>
  <si>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</si>
  <si>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</si>
  <si>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</si>
  <si>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</si>
  <si>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</si>
  <si>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</si>
  <si>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</si>
  <si>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</si>
  <si>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</si>
  <si>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</si>
  <si>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</si>
  <si>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</si>
  <si>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</si>
  <si>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</si>
  <si>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</si>
  <si>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</si>
  <si>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</si>
  <si>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</si>
  <si>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</si>
  <si>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</si>
  <si>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</si>
  <si>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</si>
  <si>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</si>
  <si>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</si>
  <si>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</si>
  <si>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</si>
  <si>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</si>
  <si>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</si>
  <si>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</si>
  <si>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</si>
  <si>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</si>
  <si>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CCE-16</t>
  </si>
  <si>
    <t>PLAN ANUAL DE ADQUISICIONES 2024</t>
  </si>
  <si>
    <t>Cupo de VF aprobadas 2023, comprometidas 2023</t>
  </si>
  <si>
    <t>Vigencia 2024</t>
  </si>
  <si>
    <t>Cupo de VF aprobadas 2024, por comprometer 2025</t>
  </si>
  <si>
    <t>FIJO</t>
  </si>
  <si>
    <t>CP-Contratación de Servicios Profesionales, Asistenciales y Técnicos como apoyo a la gestión del Ministerio del Interior.</t>
  </si>
  <si>
    <t>0</t>
  </si>
  <si>
    <t>80101509;81111503;81111504</t>
  </si>
  <si>
    <t>CP-Aunar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</si>
  <si>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1</t>
  </si>
  <si>
    <t>CP-Prestar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</si>
  <si>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CP-Contratar los servicios técnicos y administrativos para el desarrollo del plan de trabajo para pueblos indígenas Arhuaco, Kogui, Wiwa y Kankuamo de la Sierra Nevada de Santa Marta en el marco del cumplimiento de la sentencia SU-121 de 2022"</t>
  </si>
  <si>
    <t>86111500;86132000;93131503;94131805;93141706;93141700;93141702</t>
  </si>
  <si>
    <t>CP-Contratar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</si>
  <si>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CP-Contratar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</si>
  <si>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CP-Contratar los servicios técnicos y administrativos para garantizar el diálogo genuino de la nueva política de drogas con enfoque de género diferencial y territorial para las comunidades Rrom en el marco del proceso de consulta previa.</t>
  </si>
  <si>
    <t>CCE-02</t>
  </si>
  <si>
    <t>Diseñar, implementar y evaluar la estrategia de fomento y sensibilización en materia de Consulta Previa.</t>
  </si>
  <si>
    <t>86111500;86132000;93131503;94131805;93141706</t>
  </si>
  <si>
    <t>CP-Contratar los servicios técnicos y administrativos para estructurar e implementar programas de formación y capacitación en materia de consulta previa, dirigidos a los miembros de los grupos étnicos</t>
  </si>
  <si>
    <t xml:space="preserve">CP-Contratar los servicios técnicos y administrativos para garantizar el proceso territorial de consolidación y fortalecimiento de la divulgación y comunicación en lengua Wayuunaiki de la Sentencia T 302 de 2017, con las autoridades y/o comunidades indígenas Wayuu de los municipios de Riohacha, Manaure, Maicao y Uribia  </t>
  </si>
  <si>
    <t>Articular y consolidar la gestión operacional de la Dirección de la Autoridad Nacional de Consulta Previa.</t>
  </si>
  <si>
    <t>81112006;43211501;43201835;43201803</t>
  </si>
  <si>
    <t>CP-Adquisición de infraestructura tecnológica para el ministerio del interior</t>
  </si>
  <si>
    <t>81111503;81111504</t>
  </si>
  <si>
    <t xml:space="preserve">CP-Desarrollo, mantenimiento, sostenibilidad y actualización del sistema de información que soporte los procedimientos misionales de la Dirección de la Autoridad Nacional de Consulta Previa </t>
  </si>
  <si>
    <t>43212110;44103100;44103125;43211507</t>
  </si>
  <si>
    <t>CP-Adquisición se impresoras, computadores y consumibles de impresión para el Ministerio del Interior</t>
  </si>
  <si>
    <t>CP-Compra de Útiles de Escritorio y derivados del cartón para todas las Dependencias del Ministerio del Interior.</t>
  </si>
  <si>
    <t>CP-Suministro de combustible (gasolina corriente, gasolina extra y ACPM/Diésel) para los diferentes vehículos que conforman el parque automotor activo del Ministerio del Interior y los que le sean asignados por necesidades del servicio.</t>
  </si>
  <si>
    <t>84131500;84131600;84131503;84131506;84131512</t>
  </si>
  <si>
    <t>CP-El ARRENDADOR se compromete a dar en arrendamiento a la Dirección de la Autoridad de Consulta Previa, el bien inmueble localizado en la dirección acordada de la ciudad de Bogotá,  para el funcionamiento de la Dirección de la Autoridad Nacional de Consulta Previa.</t>
  </si>
  <si>
    <t>43233501;81112102</t>
  </si>
  <si>
    <t>76111501;90101700</t>
  </si>
  <si>
    <t>78181600;25171700;25171900;25172000</t>
  </si>
  <si>
    <t>CP-Realización de Exámenes Médicos Ocupacionales Periódicos, Exámenes Médicos de Ingreso y Exámenes Médicos de Retiro, para los funcionarios del Ministerio del Interior para el año 2024, de acuerdo al profesiograma de la entidad</t>
  </si>
  <si>
    <t xml:space="preserve">Apoyar los procesos de formación, conocimiento, difusión, protección y defensa de los derechos fundamentales, el reconocimiento, salvaguarda de la integridad, diversidad étnica y cultural de los Pueblos y Comunidades Negras, Afrocolombianas, Raizales y Palenqueras. </t>
  </si>
  <si>
    <t>DACNARP Contratación de Servicios Profesionales, Asistenciales y Técnicos como apoyo a la gestión del Ministerio del Interior.</t>
  </si>
  <si>
    <t>DACNARP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</si>
  <si>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DACNARP Aunar esfuerzos técnicos, administrativos y financieros con el fin de desarrollar las actividades y/o proyectos para la elaboraciòn de los documentos " planes de caracterizaciòn" de los territorios colectivos y ancestrales de las Comunidades &lt;negras, Afrocolombianas, Raizales y Palenqueras, en el marco de la Sentencias T-025 de 2004 y la orden 4 del auto 005 de 2019 de la Corte Constitucional.</t>
  </si>
  <si>
    <t xml:space="preserve">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</si>
  <si>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DACNARP Desarrollar actividades encaminadas a la creacion del marco normativo y propuestas legislstivas que promuevan los derechos de las Comunidades Negras, Afrocolombianas, Raizales y Pâlenqueras</t>
  </si>
  <si>
    <t>DACNARP Desarrollar actividades encaminadas a la implementaciòn del acuerdo final, a travès de asistencia tènica en relaciòn con las leyes y normas que afecten a los pueblos ètnicos que participan de manera real y efectiva en la construcciòn y ajustes normativos.</t>
  </si>
  <si>
    <t>DACNARP Aunar esfuerzos financieros, tècnicos y administrativos con el fin de Desarrollar actividades para la implementaciòn de acciones tendientes al fortalecimiento de los reglamentos internos y al levantamiento del censo poblacional de los Consejos Comunitarios.</t>
  </si>
  <si>
    <t xml:space="preserve">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</si>
  <si>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DACNARP Aunar esfuerzos tècnicos, administrativos y financieros con el fin de desarrollar las actividades y/oproyectos orientados a dar cumplimiento al capìtulo ètrnico del acuerdo de paz y el desarrollo del fortalecimiento de la poblacion LGTBIQ*, mujere, adulto mayor y jòvenes de las Comunidades Negras, Afrocolombianas, Raizales y Palenqueras</t>
  </si>
  <si>
    <t>DACNARP aunar esfuerzos tècnicos, administrativos y financieos con el fin de desarrollar actividades y / o proyectos orientados a dar cumplimiento a lo relacionado con la implementaciòn de las normas relacionadas con la consuta previa, reglamentación de la ley 70 y la aplicación de  sentencias diferente a la sentencia t 025</t>
  </si>
  <si>
    <t>DACNARP Aunar esfuerzos, tècnicos, Administrativos y financieros con las organizaciones de base del archipielago de San Andrès, Providencia y Santa Catalina, y el Raizal Council, con el fin de esarrollar actividades encaminadas al cumplimiento de la consulta previa del Estatuto Raizal y curul raizal en el marco del decreto 1211 de 2018.</t>
  </si>
  <si>
    <t xml:space="preserve">DACNARP Aunar esfuerzos, tècnicos, Administrativos y financieros para la realizaciòn de un diplomado dirigido a lìderes de consejos comunitarios y organizaciones de base en resoluciòn de conflictos, paz, derechos humanos y cultura democràtica </t>
  </si>
  <si>
    <t>DACNARP Desarrollar actividades y/o proyectos encaminados a la asistencia tècnica y a la articulaciòn con las diferentes autoridades ambientales para la formaulaciòn de planes de manejo ambiental y agenda ambiental de las Comunidades Negras, Afrocolombianas, Raizales y Palenqueras y el cumplimiento de l sentencia STC 4360 de 2018 deforestaciòn de la amazonìa</t>
  </si>
  <si>
    <t>Adelantar todas Las acciones para el cumplimiento de los compromisos del Plan Nacional de Desarrollo pueblos y comunidades ètnicas</t>
  </si>
  <si>
    <t>DACNARP Aunar esfuerzos técnicos, operativos, administrativos y financieros orientados al seguimiento y monitoreo de la ejecución de los proyectos priorizados para el fortalecimiento organizativo, y la garantía de derechos de las comunidades Negras, Afrodescendientes, Raizales y Palenqueras, y la gestión de las inversiones que apoyan la paz en Colombia.</t>
  </si>
  <si>
    <t xml:space="preserve">DACNARP Contratar la automatización de los procesos relacionados con el registro Público ünico de Comunidades Negras, Afrocolombianas, Raizales y Palenqueras, </t>
  </si>
  <si>
    <t>DACNARP Aunar esfuerzos, tècnicos, Administrativos y financieros con las organizaciones de base del archipielago de San Andrès, Providencia y Santa Catalina, y el Raizal Council, con el fin de desarrollar actividades encaminadas al cumplimiento de la consulta previa del Estatuto Raizal y curul raizal en el marco del decreto 1211 de 2018.</t>
  </si>
  <si>
    <t>DACNARP Desarrollar actividades con el fin de dar cumplimiento a lo estipulado en la sentencia T - 622 de 2018</t>
  </si>
  <si>
    <t>DACNARP Adelantar actividades encaminadas al diseño e implentaciòn del protocolo de anàlisis de riesgo individual de las Comunidades Negras en articulaciòn con la UNP y comisiòn VI y I del ENCP</t>
  </si>
  <si>
    <t>DACNARP Aunar esfuerzos tecnicos administrativos y financieros, con el fin de brindar asistencia tecnica en la estruturacion de la asociatividad territorial entre consejos comunitarios.</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</si>
  <si>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</si>
  <si>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DACNARP Aunar esfuerzos, tècnicos, Administrativos y financieros con el fin de promover proyectos productivos de las Comunidades Negras, en articulaciòn con entidades del nivel central</t>
  </si>
  <si>
    <t>DACNARP Compra de Utiles de Escritorio y derivados del carton para todas las Dependencias del Ministerio del Interior.</t>
  </si>
  <si>
    <t>DACNARP Adquisición de un sistema de infraestructura hiperconvergente (HCI), en cumplimiento de las especificaciones técnicas determinadas en el anexo dispuesto por la Entidad</t>
  </si>
  <si>
    <t>DACNARP Suministrar el transporte aéreo en vuelos Nacionales e Internacionales para los funcionarios, contratistas del Ministerio del Interior y funcionarios de la Policía Nacional que prestan sus servicios de protección y seguridad en el Ministerio del Interior.</t>
  </si>
  <si>
    <t>43212110;44103100;44103103;44103125;44103105;44103116</t>
  </si>
  <si>
    <t>DACNARP Adquisición de consumibles de impresión para el Ministerio del Interior</t>
  </si>
  <si>
    <t>jarmandoserrano@mininterior.gov.co</t>
  </si>
  <si>
    <t>DACNARP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</si>
  <si>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El Ministerio del Interior en el marco de la sentencia T-025 y los autos de seguimiento, brindará atención integral a la población desplazada.</t>
  </si>
  <si>
    <t xml:space="preserve">Contratación directa (con ofertas) </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</si>
  <si>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</si>
  <si>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</si>
  <si>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</si>
  <si>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El Ministerio del Interior garantizará y promoverá  espacios de diálogo y concertación entre las autoridades de los Pueblos Indígenas y las Instituciones, en el orden nacional, regional y local.</t>
  </si>
  <si>
    <t xml:space="preserve">Generar espacios de diálogo y concertación de acuerdo a usos y costumbres de los Pueblos indígenas , previa solicitud de intervención. </t>
  </si>
  <si>
    <t>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</si>
  <si>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</si>
  <si>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Contratación directa.</t>
  </si>
  <si>
    <t>El Ministerio del Interior garantizará el funcionamiento del Sistema Indígena de Colombia.</t>
  </si>
  <si>
    <t>El Ministerio del Interior garantizará el registro de las comunidades indígenas, según requerimiento de las autoridades indígenas.</t>
  </si>
  <si>
    <t>El Ministerio del Interior garantizará el cumplimiento de las órdenes judiciales emanadas por las altas cortes y la atención a los requerimientos realizados por los entes de control.</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</si>
  <si>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</si>
  <si>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</si>
  <si>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El Ministerio del Interior desarrollará en el marco de su misionalidad los Programas de Desarrollo con Enfoque Territorial (PDET) que reconocen la diversidad étnica, así como los derechos fundamentales de los Pueblos Indígenas de Colombia. </t>
  </si>
  <si>
    <t>A-03-06-01-014</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</si>
  <si>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</si>
  <si>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A-03-03-02-014</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</si>
  <si>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</si>
  <si>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Garantizar el cumplimiento, desarrollo y seguimiento de los acuerdos adquiridos por el Gobierno Nacional con el Consejo Regional Indígena del Cauca (CRIC) en el marco del Decreto No. 1811 de 2017.</t>
  </si>
  <si>
    <t>El Ministerio del Interior garantizará el desarrollo Integral de los Pueblos Pastos y Quillacingas.</t>
  </si>
  <si>
    <t>DAIRM - Suscribir los diferentes convenios con las Organizaciones,  Asociaciones y/o Resguardos Indígenas, para el desarrollo de los Programas que tengan por objeto dar Cumplimiento a autos emitidos por la H. Corte Constitucional entorno al cumplimiento de la Sentencia T-025 de 2004.</t>
  </si>
  <si>
    <t>DAIRM - Suscribir los diferentes convenios con las Organizaciones,  Asociaciones y/o Resguardos Indígenas, para el desarrollo de los Programas y Proyectos que tengan por objeto Fortalecer el diálogo político y social con los Grupos étnicos y minorías del país, Promover la gestión a los casos de violación individual y colectiva de los Derechos Humanos que se radiquen en esta Dirección para la población indígena, Rom, en el Marco del cumplimiento de los acuerdos del PND con la MPC, MRA y Comisión Nacional de Dialogo con el Pueblo Rom.</t>
  </si>
  <si>
    <t>DAIRM - Contratación de servicios profesionales, asistenciales y técnicos como apoyo a la gestión del ministerio del interior.</t>
  </si>
  <si>
    <t>DAIRM - Suscribir un Convenio, para la Formulación e implementación de proyectos productivos para el  pueblo Nukak Maku.</t>
  </si>
  <si>
    <t>C-3701-1000-35</t>
  </si>
  <si>
    <t>C-3701-1000-36</t>
  </si>
  <si>
    <t xml:space="preserve">DAIRM - Suscribir un Convenio, para el cumplimiento del acuerdo, en la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</si>
  <si>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DAIRM - Suscribir un Convenio, para el cumplimiento de los acuerdos con el Consejo Regional Indigenas del Cauca - CRIC</t>
  </si>
  <si>
    <t>C-3701-1000-37</t>
  </si>
  <si>
    <t>DAIRM - Suscribir un Convenio, para el cumplimiento de los acuerdos con el Pueblo de Pastos y Quillasingas</t>
  </si>
  <si>
    <t>DAL</t>
  </si>
  <si>
    <t>Mejorar capacidad técnica institucional para responder a las necesidades del Ministerio del Interior en el relacionamiento con el Congreso de la República</t>
  </si>
  <si>
    <t>C-3799-1000-18</t>
  </si>
  <si>
    <t>DAL Contratación de Servicios Profesionales, Asistenciales y Técnicos como apoyo a la gestión del Ministerio del Interior.</t>
  </si>
  <si>
    <t>DAL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</si>
  <si>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DAL Suministrar el transporte aéreo en vuelos Nacionales e Internacionales para los funcionarios, contratistas del Ministerio del Interior y funcionarios de la Policía Nacional que prestan sus servicios de protección y seguridad en el Ministerio del Interior.</t>
  </si>
  <si>
    <t>82101800;82121500;82121800</t>
  </si>
  <si>
    <t>DAL Contratar la prestación de los servicios al Ministerio del Interior para la producción, impresión y distribución en sitio a nivel nacional del periódico de asuntos legislativos del Ministerio del Interior.</t>
  </si>
  <si>
    <t xml:space="preserve">86132000;86101705;86101714
</t>
  </si>
  <si>
    <t>DAL Contratar el diseño, la implementación, elaboración de contenidos académicos, garantizar la inscripción y desarrollo del diplomado en derecho parlamentario y trámite legislativo, de conformidad con las características descritas en el alcance del objeto del presente proceso de selección.</t>
  </si>
  <si>
    <t>Optimizar los procesos administrativos de la Dirección de Asuntos Legislativos en el tratamiento de flujos de información y respuesta a solicitudes.</t>
  </si>
  <si>
    <t>43232107;80101507;81161501;81111503;81111500;43232200;43232408</t>
  </si>
  <si>
    <t>DAL Contratar la prestación de servicios para realizar el análisis, estructuración, rediseño, desarrollo, implementación y puesta en funcionamiento del portal web legislapp 2.0 del ministerio del interior.</t>
  </si>
  <si>
    <t>CCE-06</t>
  </si>
  <si>
    <t xml:space="preserve">43201800;43211500;43211600 </t>
  </si>
  <si>
    <t>DAL Compra de equipos de cómputo y periféricos para el fortalecimiento de las áreas asistenciales y administrativas de la Dirección de Asuntos Legislativos del Ministerio del Interior.</t>
  </si>
  <si>
    <t>Sandra Patricia Contreras Soto</t>
  </si>
  <si>
    <t>Sandra.Contreras@mininterior.gov.co</t>
  </si>
  <si>
    <t>56101500;56112104;56101719</t>
  </si>
  <si>
    <t>DAL Adecuación, adquisición e instalacion de mobiliario para la restructuración de la oficina de la Dirección de Asuntos Legislativos del Ministerio del interior.</t>
  </si>
  <si>
    <t>DAL Adquisición de un sistema de infraestructura hiperconvergente (HCI), en cumplimiento de las especificaciones técnicas determinadas en el anexo dispuesto por la Entidad</t>
  </si>
  <si>
    <t xml:space="preserve">Fortalecimiento del Ministerio del Interior en lo relacionado con el derecho de libertad religiosa y de cultos de manera integral (Fortalecimiento institucional Actualización de formatos y protocolos en asuntos religiosos </t>
  </si>
  <si>
    <t>DAR Prestación de servicios profesionales o de apoyo en la Dirección de Asuntos Religiosos para promover la garantía y respeto de la Libertad Religiosa y Consolidar el Sistema Nacional de Libertad Religiosa y de Cultos, Diálogo Social, Paz Total, Igualdad y No Estigmatización – SINALIBREC</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</si>
  <si>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</si>
  <si>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 xml:space="preserve">Fortalecimiento de la articulación intersectorial interinstitucional y territorial en el marco de la garantía del derecho de libertad religiosa y de cultos </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</si>
  <si>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</si>
  <si>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DAR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</si>
  <si>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</si>
  <si>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80101600;81131500;86132000;92111504;93121607;93121700;93131503;93131703;93141706;93141900;94131503; 94131504;94131805;94132000</t>
  </si>
  <si>
    <t>DAR Aunar esfuerzos técnicos y administrativos para Apoyar económicamente iniciativas sociales interreligiosas, que contengan proyectos de impacto social, ambiental , humanitario y de emprendimiento.</t>
  </si>
  <si>
    <t>DAR Aunar esfuerzos técnicos y administrativos para la Identificación de los programas y proyectos de las entidades religiosas y sus organizaciones en el alcance de los Objetivos de Desarrollo Sostenible. BIIR</t>
  </si>
  <si>
    <t xml:space="preserve">Divulgación y promoción del conocimiento de la normatividad el hecho y la cultura religiosa en Colombia </t>
  </si>
  <si>
    <t>DAR Aunar esfuerzos técnicos y administrativos para Construir los instrumentos de transmisión y profundización de Conocimiento en las entidades nacionales, territoriales y religiosas en materia de asuntos religiosos</t>
  </si>
  <si>
    <t>Promoción en la sociedad civil las entidades públicas y privadas y los medios de comunicación de la no discriminación la tolerancia y la no estigmatización por motivos religiosos</t>
  </si>
  <si>
    <t>Puesta en común de los avances en la implementación de la política pública</t>
  </si>
  <si>
    <t>DAR Adquisición de un sistema de infraestructura hiperconvergente (HCI), en cumplimiento de las especificaciones técnicas determinadas en el anexo dispuesto por la Entidad</t>
  </si>
  <si>
    <t>DAR Compra de Utiles de Escritorio y derivados del carton para todas las Dependencias del Ministerio del Interior.</t>
  </si>
  <si>
    <t>DAR Aunar esfuerzos técnicos y administrativos para Fortalecer los procesos de coordinación, articulación y seguimiento interinstitucional , intersectorial y nación -territorio en los planes, instrumentos y procesos para la implementación la política de libertad religiosa y de cultos.</t>
  </si>
  <si>
    <t>DDH - 
Contratación de Servicios Profesionales, Asistenciales y Técnicos como apoyo a la gestión del Ministerio del Interior.</t>
  </si>
  <si>
    <t>Fortalecer el Programa Integral de Seguridad y Protección para Comunidades y Organizaciones en los Territorios</t>
  </si>
  <si>
    <t>Fortalecer e implementar la Política de Convivencia, Reconciliación, Tolerancia, y No Estigmatización.</t>
  </si>
  <si>
    <t>DDH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</si>
  <si>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DDH - Suministrar el transporte aereo en vuelos nacionales e internacionales para funcionarios contratistas del ministerio del interior  y funcionarios de la Policia Nacional que prestan sus servicios de proteccion y seguridad en el Ministerio del Interior</t>
  </si>
  <si>
    <t>Diana Vitalia Vivas Perez</t>
  </si>
  <si>
    <t>93121700;93131503</t>
  </si>
  <si>
    <t>DDH - Realizar diplomados de 120 horas académicas en una institución de educación superior acreditada en alta calidad con presencia nacional, para fomentar la generación de conocimiento en materia de derechos humanos y seguridad humana a través del fortalecimiento de las capacidades de líderes, lideresas, defensores y defensoras de derechos humanos en todo el territorio nacional, promoviendo mecanismos y herramientas para salvaguardar los derechos de la población, el derecho internacional humanitario, la construcción de paz total, la implementación integral del acuerdo de paz, la justicia transicional, la atención integral a víctimas y garantías de no repetición</t>
  </si>
  <si>
    <t>DDH - 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</si>
  <si>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DDH - Contratar los servicios de central de publicaciones para el desarrollo de acciones, iniciativas y políticas de la Dirección de Derechos Humanos del Ministerio del Interior</t>
  </si>
  <si>
    <t>Fortalecer la Política de Garantía y Respeto a la labor de defensa de los Derechos Humanos</t>
  </si>
  <si>
    <t>C-3701-1000-39</t>
  </si>
  <si>
    <t>Fortalecer la gestión de los cementerios como acción de apoyo al proceso de búsqueda de personas desaparecidas en Colombia.</t>
  </si>
  <si>
    <t>C-3701-1000-42</t>
  </si>
  <si>
    <t>Fortalecer la adopción en territorio del enfoque basado en Derechos Humanos</t>
  </si>
  <si>
    <t>C-3701-1000-38</t>
  </si>
  <si>
    <t>Impulsar la garantía del ejercicio efectivo de los derechos de los integrantes de los sectores sociales LGBTIQ+ en los territorios.</t>
  </si>
  <si>
    <t>Fortalecer las capacidades territoriales para la garantía y protección efectiva de los derechos humanos y las libertades en contextos de manifestación pública y protesta social pacífica.</t>
  </si>
  <si>
    <t>C-3701-1000-41</t>
  </si>
  <si>
    <t>DDH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</si>
  <si>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Realizar seguimiento de los autos y órdenes a cargo de la Dirección de Derechos Humanos que conforman la sentencia T-025, para avanzar en su cumplimiento</t>
  </si>
  <si>
    <t>Apoyar la implementación del Plan de Acción Nacional del Programa Integral de Garantías para Lideresas y Defensoras de DDHH, en el marco del auto 737, sentencia T-025</t>
  </si>
  <si>
    <t>Impulsar el mejoramiento de las capacidades de las entidades territoriales para transversalizar el enfoque de género en la gestión de la convivencia y la seguridad humana a nivel nacional.</t>
  </si>
  <si>
    <t>C-3702-1000-14</t>
  </si>
  <si>
    <t>DDH - Adquisición de un sistema de infraestructura hiperconvergente (HCI), en cumplimiento de las especificaciones técnicas determinadas en el anexo dispuesto por la Entidad</t>
  </si>
  <si>
    <t>Propender por la transparencia electoral por medio de la herramienta URIEL</t>
  </si>
  <si>
    <t>DDPCAC Contratación de Servicios Profesionales, Asistenciales y Técnicos como apoyo a la gestión del Ministerio del Interior.</t>
  </si>
  <si>
    <t xml:space="preserve"> alejandro.ramirez@mininterior.gov.co</t>
  </si>
  <si>
    <t>DDPCAC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</si>
  <si>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81111504;81111509;43232300</t>
  </si>
  <si>
    <t>DDPCAC Contratar la actualización de la APP URIEL, con el propósito de satisfacer las necesidades informativas y de gestión, garantizando el acceso y disponibilidad pública de la información</t>
  </si>
  <si>
    <t>Coordinar las elecciones y mecanismos de participación ciudadana y promover la transparencia electoral por medio de procesos pedagógicos</t>
  </si>
  <si>
    <t>DDPCAC Suministrar el transporte aéreo en vuelos Nacionales e Internacionales para los funcionarios, contratistas del Ministerio del Interior y funcionarios de la Policía Nacional que prestan sus servicios de protección y seguridad en el Ministerio del Interior.</t>
  </si>
  <si>
    <t>DDPCAC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</si>
  <si>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86101705;82101802;82100000;82101600;82101802;93141500</t>
  </si>
  <si>
    <t>DDPCAC Aunar esfuerzos administrativos, técnicos y financieros para la realización de una estrategia de divulgación y difusión de la normativa electoral que incluya material pedagógico, encuentros con la ciudadanía y foros.</t>
  </si>
  <si>
    <t>Tramitar todas las solicitudes recibidas por medio de la VUEP (Ventanilla Única Electoral Permanente)</t>
  </si>
  <si>
    <t>Brindar acompañamiento a las comisiones departamentales y nacionales para la coordinación y seguimiento a los procesos electorales y mecanismos de participación</t>
  </si>
  <si>
    <t xml:space="preserve">Fortalecer a las organizaciones de personas con discapacidad en materia de participación ciudadana y en normatividad sobre discapacidad e inclusión social. </t>
  </si>
  <si>
    <t>DDPCAC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2024 de la Dirección de Democracia, la Participación Ciudadana y la Acción Comunal del Ministerio del Interior 2024</t>
  </si>
  <si>
    <t>93141906;93141512;93121608;93141501</t>
  </si>
  <si>
    <t>DDPCAC Aunar esfuerzos administrativos, técnicos y financieros para el fortalecimiento y promoción de la participación de las organizaciones y demás población objeto de la Dirección para la Democracia, la Participación Ciudadana y la Acción Comunal.</t>
  </si>
  <si>
    <t>Implementar estrategias de sensibilización en materia de derechos humanos, de promoción de la no discriminación y de equiparación de oportunidades.</t>
  </si>
  <si>
    <t>Desarrollar acciones que promuevan la implementacion de la Ley de Participación ciudadana</t>
  </si>
  <si>
    <t>DDPCAC Contratar los servicios de preproducción, producción, postproducción y emisión de los productos audiovisuales que requiera la Dirección para la Democracia, la Participación Ciudadana y la Acción Comunal del Ministerio del Interior, para llevar a cabo los “Premios Colombia Participa 2023” en cumplimiento del artículo 101 de la Ley 1757 de 2015</t>
  </si>
  <si>
    <t>DDPCAC 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</si>
  <si>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DDPCAC Aunar esfuerzos técnicos, administrativos y financieros para llevar a cabo las actividades relacionadas con la estructuración, diseño e implementación de sistemas de información requeridos para los consejos territoriales de participación, así como para los procesos de educación continuada enmarcados dentro del desarrollo de la Escuela de Formación de la población objeto del Ministerio del Interior.</t>
  </si>
  <si>
    <t>DDPCAC Aunar esfuerzos técnicos, administrativos y financieros para apoyar a la Dirección para la Democracia, la Participación Ciudadana y la Acción Comunal en la consolidación de información, perfeccionamiento y difusión para la actualización de la normativa para la promoción de la participación ciudadana.</t>
  </si>
  <si>
    <t>Fortalecer la participación política, social y ciudadana juvenil</t>
  </si>
  <si>
    <t>8010150;8010160;8614151;9314151;9314156;93140000;80141902</t>
  </si>
  <si>
    <t>DDPCAC Aunar esfuerzos técnicos, administrativos y financieros entre el Ministerio del Interior para adelantar acciones que promuevan el fortalecimiento de la participación política, social y ciudadana juvenil como estrategia pedagógica, participativa para construir caminos hacia la paz total y la  seguridad humana.</t>
  </si>
  <si>
    <t>Fortalecer la participación política, social y ciudadana de las mujeres</t>
  </si>
  <si>
    <t>Fortalecer el Control Social</t>
  </si>
  <si>
    <t xml:space="preserve">Realizar fortalecimiento y reconocimiento del campesinado y sus organizaciones como sujetos de derechos. </t>
  </si>
  <si>
    <t>86101708;86111500;86111501;86111600</t>
  </si>
  <si>
    <t xml:space="preserve">DDPCAC Aunar esfuerzos técnicos, administrativos y financieros  para fortalecer la participación del campesinado a través del acceso a programas de educación formal como base integral para la construcción de conocimiento en la formulación de políticas, programas y proyectos a nivel nacional.  </t>
  </si>
  <si>
    <t xml:space="preserve">Fortalecer a las organizaciones de Acción Comunal del territorio nacional  en su capacidad administrativa, juridica, técnica y sistematizacion de procesos. </t>
  </si>
  <si>
    <t>DDPCAC Contratar los estudios de formalización laboral y dignificación del empleo público con el propósito de ajustar o modernizar la planta de personal, a través de la aplicación de instrumentos, herramientas y orientaciones técnicas, a partir de las cuales se ponga en marcha una transición objetiva del talento humano al servicio del Ministerio del Interior</t>
  </si>
  <si>
    <t>DDPCAC Contratar el desarrollo de las fases 1 -Análisis, diseño conceptual, levantamiento de requerimiento; fase 2 -Definición de la arquitectura e infraestructura tecnológica para la implementación; fase 3- Desarrollo e implementación, parametrización e implementación de módulos y la fase 4-Mejoras e implementación, parametrización e implementación de módulos del Sistema de Información del Grupo de Acción Comunal, con el propósito de satisfacer las necesidades informativas y de gestión, garantizando el acceso y disponibilidad pública de la información.</t>
  </si>
  <si>
    <t xml:space="preserve">DDPCAC Contratar el desarrollo de actividades  enfocadas al fortalecimiento de organismos de acción comunal en el marco de la Ley 2166 y  el decreto reglamentario 1501 de 2023.  </t>
  </si>
  <si>
    <t>DDPCAC Contratar los servicios de preproducción, producción, postproducción, emisión  y transmisión de los productos audiovisuales que requiera la Dirección para la Democracia, la Participación Ciudadana y la Acción Comunal del Ministerio del Interior, que permitan exaltar  y resaltar la gestrión adelantada por parte de los organismos de acción comunal</t>
  </si>
  <si>
    <t>Fortalecer las capacidades de los organismos de acción comunal para el desarrollo de sus propósitos y atención de sus necesidades en el marco de la ley 2166 de 2021 a partir del ejercicio de la democracia participativa a nivel Nacional.</t>
  </si>
  <si>
    <t>86141501;86111602;86132000;86111500</t>
  </si>
  <si>
    <t>DDPCAC Convenio de Cooperación Internacional para la   implementación, desarrollo y puesta en marcha  de la estrategia formador  de formadores y socialización de la Política Pública de Acción Comunal  con el fin de fortalecer las capacidades de gestión, formación  comunal integral , desarrollo social, político y productivo de los organismo de acción comunal a nivel nacional .</t>
  </si>
  <si>
    <t>DDPCAC Aunar esfuerzos técnicos, administrativos y financieros  para que los jóvenes, mujeres y dignatarios de las organizaciones de acción comunal accedan a programas de educación formal como base integral para la construcción de conocimiento  comunal en atención a lo establecido en la lay 2166 de 2021.</t>
  </si>
  <si>
    <t>86101708;86111500;86111501;86111600;86111600;86111600</t>
  </si>
  <si>
    <t>DDPCAC Aunar esfuerzos técnicos, administrativos y financieros  para que los jóvenes, mujeres y dignatarios de las 
Organizaciones de Acción Comunal accedan a programas de Educación Superior.</t>
  </si>
  <si>
    <t>DDPCAC Aunar esfuerzos técnicos, administrativos y financieros para promover el liderazgo social  y fortalecimiento integral de mujeres y jóves ntegrantes de los organismos de acción comunal a nivel nacional en la vigencia 2024.</t>
  </si>
  <si>
    <t>77101700;77101705;93142009;60105424;93111600</t>
  </si>
  <si>
    <t>DDPCAC Aunar esfuerzos técnicos, administrativos y financieros entre la nación - Ministerio del Interior xxx para la gestión e implementación de perogramas enfocados a la restauración ecologica para  mejorar la gestión ambiental en todo el territorio nacional de acuerdo al articulo 94 de la  Ley  2166 de 2023.</t>
  </si>
  <si>
    <t>Mejorar la participación del campesinado en la formulación de políticas, programas y proyectos en el territorio nacional.</t>
  </si>
  <si>
    <t xml:space="preserve">DDPCAC Aunar esfuerzos técnicos, administrativos y financieros para el desarrollo de estrategias de investigación y gestión del conocimiento de las realidades territoriales de las comunidades campesinas que oriente la formulación e implementación de políticas públicas para su fortalecimiento.  </t>
  </si>
  <si>
    <t xml:space="preserve">FORMULACIÓN E IMPLEMENTACIÓN DE LA POLÍTICA PÚBLICA DE CONVIVENCIA Y SEGURIDAD PARA LA VIDA </t>
  </si>
  <si>
    <t xml:space="preserve">DSCCG 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</si>
  <si>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</si>
  <si>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Suministrar el transporte aéreo en vuelos Nacionales e Internacionales para los funcionarios, contratistas del Ministerio del Interior y funcionarios de la Policía Nacional que prestan sus servicios de protección y seguridad en el Ministerio del Interior.</t>
  </si>
  <si>
    <t>DSCCG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</si>
  <si>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DSCCG Convenio para fortalecimiento de los instrumentos de política normativos y técnicos que permitan la articulación de la gestión para la convivencia y seguridad en el territorio Nacional.</t>
  </si>
  <si>
    <t>DSCCG Adquisición de un sistema de infraestructura hiperconvergente (HCI), en cumplimiento de las especificaciones técnicas determinadas en el anexo dispuesto por la Entidad</t>
  </si>
  <si>
    <t>DSCCG Compra de Utiles de Escritorio y derivados del carton para todas las Dependencias del Ministerio del Interior.</t>
  </si>
  <si>
    <t xml:space="preserve">CREACIÓN DEL SISTEMA NACIONAL DE CONVIVENCIA PARA LA VIDA </t>
  </si>
  <si>
    <t>DSCCG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</si>
  <si>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</si>
  <si>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</si>
  <si>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14121503;14111506;44122003</t>
  </si>
  <si>
    <t>DSCCG Adquisición de consumibles de impresión para el Ministerio</t>
  </si>
  <si>
    <t>GAPV Asistir a los subcomités técnicos nacionales del SNARIV y a las sesiones del equipo técnico interinstitucional de asistencia técnica</t>
  </si>
  <si>
    <t>GAPV Elaboración de documentos técnicos en el marco del cumplimiento de la Sentencia T-025 de 2004 y sus autos de seguimiento</t>
  </si>
  <si>
    <t>GAPV Coordinar las acciones requeridas con entidades del orden nacional y territorial para el cumplimiento a las órdenes proferidas por la Corte Constitucional</t>
  </si>
  <si>
    <t>GAPV Contratación de Servicios Profesionales, Asistenciales y Técnicos como apoyo a la gestión del Ministerio del Interior.</t>
  </si>
  <si>
    <t>GAPV Suministrar el transporte aéreo en vuelos Nacionales e Internacionales para los funcionarios, contratistas del Ministerio del Interior y funcionarios de la Policía Nacional que prestan sus servicios de protección y seguridad en el Ministerio del Interior.</t>
  </si>
  <si>
    <t>GAPV Compra de Utiles de Escritorio y derivados del carton para todas las Dependencias del Ministerio del Interior.</t>
  </si>
  <si>
    <t>GAPV Adquisición de un sistema de infraestructura hiperconvergente (HCI), en cumplimiento de las especificaciones técnicas determinadas en el anexo dispuesto por la Entidad</t>
  </si>
  <si>
    <t>GAPV Apoyar la implementación del mecanismo de corresponsabilidad con los diferentes niveles de Gobierno.</t>
  </si>
  <si>
    <t>GAPV Apoyar a las entidades territoriales en la planeación, gestión e implementación de la política de víctimas</t>
  </si>
  <si>
    <t>GAPV Brindar acompañamiento técnico al DAPRE para fortalecer las capacidades institucionales de las entidades territoriales para la atención de población migrante víctima del conflicto.</t>
  </si>
  <si>
    <t>GAPV Prestar asistencia técnica a entidades territoriales en la articulación de la política de víctimas y el Acuerdo de Paz.</t>
  </si>
  <si>
    <t xml:space="preserve">GAPV Generar espacios de concertación y articulación para la implementación de las iniciativas PDET-PATR focalizadas en conjunto con las entidades territoriales, esquemas asociativos territoriales en el marco de la estrategia de asociatividad territorial para la paz facilitando la ejecución de la PPV. </t>
  </si>
  <si>
    <t>GAPV Promover la gobernanza territorial propiciando condiciones habilitantes para la planeación, implementación y seguimiento de la política pública de víctimas y en situaciones que se requiera poder brindar atención para la subsistencia mínima de las víctimas.</t>
  </si>
  <si>
    <t>GAPV Identificar las necesidades de fortalecimiento en las administraciones locales</t>
  </si>
  <si>
    <t>GAPV Formular los proyectos de fortalecimiento institucional en las administraciones priorizadas.</t>
  </si>
  <si>
    <t>GAPV Apoyar espacios de coordinación interinstitucional para la participación e implementación de iniciativas en conjunto con las entidades territoriales</t>
  </si>
  <si>
    <t>GAPV Implementar proyectos de fortalecimiento en los municipios priorizados</t>
  </si>
  <si>
    <t>GAPV Asistir e implementar  los proyectos de fortalecimiento institucional en las entidades territoriales.</t>
  </si>
  <si>
    <t>Garantizar la estabilidad e implementación de los sistemas de información para  fortalecer la cultura de paz y el seguimiento a la implementación de la política pública de víctimas a nivel territorial.</t>
  </si>
  <si>
    <t>GAPV Generar desarrollos tecnológicos</t>
  </si>
  <si>
    <t>GAPV Brindar soporte técnico a los usuarios de los sistemas de información de fortalecimiento de la cultura de paz y  seguimiento  territorial.</t>
  </si>
  <si>
    <t>GAPV Realizar seguimiento a la información reportada en los sistemas de información de fortalecimiento de la cultura de paz y  seguimiento  territorial.</t>
  </si>
  <si>
    <t>GAPV Disponer de almacenamiento para el funcionamiento de las herramientas de seguimiento a las entidades territoriales y fortalecimiento de la cultura de paz.</t>
  </si>
  <si>
    <t>C-3799-1000-17</t>
  </si>
  <si>
    <t>OIP. Prestar servicios para apoyar al Grupo de Sistemas para administrar, brindar soporte y mantener adecuadamente desde lo técnico, los sistemas de información, portales web y las bases de datos institucionales, para brindar permanentemente los servicios a los usuarios internos y externos</t>
  </si>
  <si>
    <t>43233205;43211501;81112208;81112006;43201835;43233200;43222500;43222600;81112300;81111800;81111500;81112200;80111600;81111811;81112200;43233200;81102702</t>
  </si>
  <si>
    <t>OIP. Contratar la prestación de servicios tecnológicos integrales para el Ministerio del Interior en cumplimiento al anexo técnico dispuesto por la entidad.</t>
  </si>
  <si>
    <t>OIP. Adquisición de licenciamiento y soporte de fábrica para los firewall nueva generación del ministerio del interior en cumplimiento al anexo técnico dispuesto por la entidad.</t>
  </si>
  <si>
    <t>43222600;43221700;43222628;43223300</t>
  </si>
  <si>
    <t>OIP. Renovación de licenciamiento de puntos de acceso inalámbricos para interiores - WIFI</t>
  </si>
  <si>
    <t>81111500;81111700;81111800</t>
  </si>
  <si>
    <t>OIP. Contratación de servicios para el diseño, desarrollo y puesta en marcha de una nueva sede electrónica  en cumplimiento al anexo técnico dispuesto por la entidad.</t>
  </si>
  <si>
    <t>OIP. Adquisición licenciamiento suite adobe en cumplimiento al anexo técnico dispuesto por la entidad.</t>
  </si>
  <si>
    <t>43201834;43201835;43212201</t>
  </si>
  <si>
    <t>OIP. Adquirir librería de Backup para el Ministerio de Interior en cumplimiento al anexo técnico dispuesto por la entidad.</t>
  </si>
  <si>
    <t>OIP. Adquisición de licenciamiento Microsoft Office 365, como plataforma de productividad y colaboración para el Ministerio del  en cumplimiento al anexo técnico dispuesto por la entidad.</t>
  </si>
  <si>
    <t>80101506;80101507;81111500</t>
  </si>
  <si>
    <t>OIP. Prestar servicios para el diagnóstico y diseño de la arquitectura empresarial del Ministerio del Interior  y el desarrollo de un sistema de automatización y seguimiento de esta.</t>
  </si>
  <si>
    <t>CCE-20</t>
  </si>
  <si>
    <t>OIP. Prestar servicios para el desarrollo de buenas prácticas de desarrollo en el Ministerio del Interior  en cumplimiento al anexo técnico dispuesto por la entidad.</t>
  </si>
  <si>
    <t>Gestionar la Comunicación Institucional, garantizando el adecuado flujo de información interna y externa de la entidad; así como el cubrimiento periodístico de la gestión del Ministerio y su relacionamiento con la prensa</t>
  </si>
  <si>
    <t>C-3799-1000-20</t>
  </si>
  <si>
    <t xml:space="preserve">OIP. Prestar servicios para apoyar al Grupo de Comunicaciones en la desarrollo, diseño y ejecución de estrategias de comunicación internas y externas, así como la implementación de los estándares para la gestión de la comunicación institucional. </t>
  </si>
  <si>
    <t>81111811;81112200</t>
  </si>
  <si>
    <t>OIP. Prestar servicios para el monitoreo de noticias y actividad a  través redes sociales de los diferentes medios de comunicación nacional, regional y local (radio, prensa, televisión, revistas, redes sociales y portales de internet) reportando y emitiendo alertas en tiempo real sobre la información de noticias y eventos relacionados con la misionalidad y funciones del Ministerio del Interior. </t>
  </si>
  <si>
    <t>Fortalecer el relacionamiento entre el Ministerio del Interior y los grupos de interés a través de los diferentes canales de atención para que los ciudadanos puedan acceder a la Oferta Institucional de forma oportuna</t>
  </si>
  <si>
    <t>C-3799-1000-15</t>
  </si>
  <si>
    <t>OIP. Prestar servicios para apoyar al Grupo de Servicio al Ciudadano en la atención efectiva a los ciudadanos, a través de los canales de atención dispuestos, de coordinar acciones para la presentación de oferta institucional y hacer seguimiento a las dependencias para que respondan oportunamente las peticiones, quejas, reclamos, sugerencias y denuncias de los ciudadanos.</t>
  </si>
  <si>
    <t>OIP. Prestación de servicios para la operación y soporte de un sistema telefónico eficiente destinado a atender consultas ciudadanas, asegurando la confidencialidad de la información para el Grupo de Atención al Ciudadano (GAC) del Ministerio del Interior.</t>
  </si>
  <si>
    <t>OIP. Renovación del servicio de actualización de versiones y soporte técnico denominado SOFTWARE UPDATE LICENCE &amp; SUPPORT", para los productos ORACLE ya licenciados por el Ministerio del Interior.</t>
  </si>
  <si>
    <t>OIP. Prestar los servicios de Mantenimiento a Distancia del Sistema de Información Administrativo y Financiero PCT-ENTERPRISE .NET, para el Ministerio del Interior en la vigencia 2024 en cumplimiento al anexo técnico dispuesto por la entidad.</t>
  </si>
  <si>
    <t xml:space="preserve">OIP. La prestación de servicios de acceso a internet y trasmisión de datos entre sedes a través de enlaces locales dedicados para el Ministerio del Interior </t>
  </si>
  <si>
    <t>OIP. Contratar la prestación el servicio de nube privada (housing / collocation), para las plataformas LAN y WEB propiedad del Ministerio del Interior en cumplimiento al anexo técnico dispuesto por la entidad.</t>
  </si>
  <si>
    <t xml:space="preserve">SAF: Contratación de Servicios Profesionales, Asistenciales y Técnicos como apoyo a la gestión del Grupo de Conservación Documental. </t>
  </si>
  <si>
    <t>Sandra Marcela Galeano Cajica</t>
  </si>
  <si>
    <t>SAF: Adquisición e instalación de estantería metálica rodante y escritorios modulares para el Archivo central y correspondencia del ministerio del interior.</t>
  </si>
  <si>
    <t>SAF: Prestar los servicios de soporte, actualización, mantenimiento y desarrollo, según solicitud de la entidad, para la solución del Sistema de Gestión de Documentos Electrónicos de Archivo (SGDEA) Control Doc.</t>
  </si>
  <si>
    <t>C-3799-1000-16</t>
  </si>
  <si>
    <t xml:space="preserve">SAF: Contratar la adquisiciòn de equipos de computo que contribuyan a la implementaciòn  de la solución del Sistema de Gestión de Documentos Electrónicos de Archivo (SGDEA) </t>
  </si>
  <si>
    <t>SAF: Prestar los servicios archivísticos en la organización técnica de archivo y limpieza del Ministerio del Interior conforme a la normatividad vigente.</t>
  </si>
  <si>
    <t>SAF: Adquisición de elementos de ferretería eléctricos, hidráulicos, sanitarios y herramientas para el mantenimiento preventivo, correctivo y/o adecuaciones que contribuya en la atención oportuna de las reparaciones locativas de las sedes del Ministerio del Interior</t>
  </si>
  <si>
    <t>Manuel Guillermo Segura Sierra</t>
  </si>
  <si>
    <t>SAF: Compra de utiles de escritorio y derivados de carton para todas las dependencias del Ministerio del Interior</t>
  </si>
  <si>
    <t>SAF: EN EJECUCION - Contrato 2679/23 OC120049 / AMP N° CCE-326-AMP-2022 suministro de combustible (gasolina corriente, gasolina extra y ACPM/Diésel) para los diferentes vehículos que conforman el parque automotor activo del Ministerio del Interior y los que le sean asignados por necesidades del servicio.</t>
  </si>
  <si>
    <t>SAF: Suministro de combustible (gasolina corriente, gasolina extra y ACPM/Diésel) para los diferentes vehículos que conforman el parque automotor activo del Ministerio del Interior y los que le sean asignados por necesidades del servicio.</t>
  </si>
  <si>
    <t>SAF: Suministro de vales de combustible para el abastecimiento de Gasolina y ACPM a los vehículos que conforman el parque automotor del Ministerio del Interior</t>
  </si>
  <si>
    <t>SAF: Contratar el servicio de mantenimiento preventivo, recarga de extintores y adquisición de extintores de propiedad del Ministerio del Interior, bajo el Acuerdo Marco de Precios  para la adquisición de Elementos para la Atención, Prevención y Mitigación del Riesgo y de Emergencias.</t>
  </si>
  <si>
    <t>SAF: Sistema para Capturar Identificador de Inventario Integrado con el Sistema PCT Enterprise</t>
  </si>
  <si>
    <t>SAF:  EN EJECUCION - Contrato Interadministrativo 465/2023  Servicio de admisión, curso y entrega de correspondencia en las modalidades de correo certificado y correo certificado internacional</t>
  </si>
  <si>
    <t>Carmen Lancheros</t>
  </si>
  <si>
    <t>SAF: Servicio de admisión, curso y entrega de correspondencia en las modalidades de correo certificado nacional y correo certificado internacional</t>
  </si>
  <si>
    <t xml:space="preserve">SAF: Seleccionar  un corredor de seguros, para que atienda todos los asuntos relacionados con el programa de seguros de la Entidad. </t>
  </si>
  <si>
    <t>Yury Heltmhur Garcia Torres</t>
  </si>
  <si>
    <t>yury.garcia@mininterior.gov.co</t>
  </si>
  <si>
    <t>SAF: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</si>
  <si>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SAF: Adquirir certificados digitales almacenados en token para el Ministerio del Interior</t>
  </si>
  <si>
    <t>Helmut Hernández</t>
  </si>
  <si>
    <t>SAF:  EN EJECUCION -  Contrato 2701-2023 / Servicio de radio frecuencia en UHF para los radios de comunicación que hacen parte de los bienes que conforman el esquema de seguridad de la Ministra del Interior, para el cubrimiento de las comunicaciones en la ciudad de Bogotá y la Sabana de Bogotá</t>
  </si>
  <si>
    <t>SAF: 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</si>
  <si>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SAF: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</si>
  <si>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</si>
  <si>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</si>
  <si>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SAF: Contratar el Servicio Integral de Aseo y Cafetería, para las diferentes sedes donde funcionan las dependencias del Ministerio del Interior.</t>
  </si>
  <si>
    <t>SAF:  EN EJECUCION - Contrato 2699 de 2023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</si>
  <si>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</si>
  <si>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Prestar el servicio de mantenimiento incluyendo repuestos al ascensor privado marca OTIS Nº 211358 del Ministerio del Interior, ubicado en el inmueble de la Calle 12 B No. 8 – 38, Sede Camargo</t>
  </si>
  <si>
    <t xml:space="preserve">SAF:  EN EJECUCION - Contrato 2693 de 2023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t>
  </si>
  <si>
    <t>SAF: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t>
  </si>
  <si>
    <t>SAF:  EN EJECUCION - Orden de Compra 121450 de 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</si>
  <si>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121451 - MOTOMUNDIAL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</si>
  <si>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122381 - C2730/2023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</si>
  <si>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</si>
  <si>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122383 C2733/2023 -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</si>
  <si>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122384 C2731/2023 -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</si>
  <si>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123316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</si>
  <si>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123317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</si>
  <si>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</si>
  <si>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Servicio de outsourcing de fotocopiado y escaneo(digitalización) para las dependencias del Ministerio del Interior</t>
  </si>
  <si>
    <t>SAF: Adquisición de consumibles de impresión para el Ministerio del Interior</t>
  </si>
  <si>
    <t xml:space="preserve">SAF:   EN EJECUCION - Convenio Interadministrtivo 2752 -UNP:  Aunar esfuerzos, recursos, tecnología, capacidades y métodos, entre la UNP y el MI que permitan ejercer la adecuada protección del Ministro(a) del Interior quien en razón a su cargo y funciones tiene un mayor riesgo para su vida e integridad física. </t>
  </si>
  <si>
    <t xml:space="preserve">SAF: Aunar esfuerzos, recursos, tecnología, capacidades y métodos, entre la UNP y el MI que permitan ejercer la adecuada protección del Ministro(a) del Interior quien en razón a su cargo y funciones tiene un mayor riesgo para su vida e integridad física. </t>
  </si>
  <si>
    <t>SAF: Realizar la separación, clasificación, recolección y entrega de los residuos sólidos aprovechables de carácter no peligroso, generados en las sedes donde funciona el Ministerio del Interior”.</t>
  </si>
  <si>
    <t xml:space="preserve">Afianzar la gestión institucional como motor del cambio para mejorar la eficacia organizacional en el marco del Modelo Integrado de Planeación y Gestión del Ministerio del Interior.
</t>
  </si>
  <si>
    <t>OAP Contratación de Servicios Profesionales, Asistenciales y Técnicos como apoyo a la gestión del Ministerio del Interior.</t>
  </si>
  <si>
    <t xml:space="preserve">Afianzar la gestión institucional como motor del cambio para mejorar la eficacia organizacional en el marco del Modelo Integrado de Planeación y Gestión del Ministerio del Interior. 
</t>
  </si>
  <si>
    <t>OAP Capacitar y evaluar a funcionarios del Ministerio del Interior en Auditoría de Sistemas de Gestión (Norma ISO 19011), con enfoque en la ISO 9001:2015 en el marco del Modelo Integrado de Planeación y Gestión MIPG y el proyecto de inversión “Fortalecimiento del Sistema Integrado de Gestión del Ministerio del interior en el territorio nacional".</t>
  </si>
  <si>
    <t xml:space="preserve">Fortalecimiento de competencias y capacidades en programación y gestión presupuestal de las dependencias del Ministerio del Interior y entidades del sector. </t>
  </si>
  <si>
    <t>Asegurar el seguimiento a los objetivos, metas y compromisos contemplados en los diferentes instrumentos de planeación sectorial e institucional con el fin de contribuir al impacto eficiente de la gestión de la entidad.</t>
  </si>
  <si>
    <t>Aplicar una estrategia integral para mejorar la implementación de la política de gestión del conocimiento y la innovación en el marco del MIPG del Ministerio del Interior, para la atención de los grupos de valor a nivel nacional</t>
  </si>
  <si>
    <t>C-3799-1000-19</t>
  </si>
  <si>
    <t>OAP Adquisición de elementos accesorios, equipos tecnológicos y periféricos e impresos para el Ministerio del Interior</t>
  </si>
  <si>
    <t xml:space="preserve">OAP  Adquisición de mobiliario y muebles para la adecuación del espacio para el centro de innovación para la paz de la Oficina Asesora de Planeación. </t>
  </si>
  <si>
    <t>OAP Compra de Utiles de Escritorio y derivados del carton para todas las Dependencias del Ministerio del Interior.</t>
  </si>
  <si>
    <t>OAP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</si>
  <si>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OAP Adquisición de un sistema de infraestructura hiperconvergente (HCI), en cumplimiento de las especificaciones técnicas determinadas en el anexo dispuesto por la Entidad</t>
  </si>
  <si>
    <t>SG Contratación de Servicios Profesionales, Asistenciales y Técnicos como apoyo a la gestión del Ministerio del Interior.</t>
  </si>
  <si>
    <t>yamel.ruiz@mininterior.gov.co</t>
  </si>
  <si>
    <t>Fortalecimiento de las capacidades de las entidades, cooperantes y ciudadanía en general para prevenir, proteger y asistir a las víctimas del delito de trata de personas.</t>
  </si>
  <si>
    <t>A-03-03-01-033</t>
  </si>
  <si>
    <t>A-03-03-01-039</t>
  </si>
  <si>
    <t>Fortalecer los mecanismos de prevención, protección y asistencia para la lucha contra la trata de personas, en el marco de la defensa de la dignidad humana.</t>
  </si>
  <si>
    <t>Mejorar las acciones de divulgación en prevención, protección y  asistencia en la lucha contra el delito de trata de personas a nivel nacional.</t>
  </si>
  <si>
    <t>Apoyar la articulación institucional e interinstitucional en la prevención, protección y asistencia en la lucha contra el delito de trata de personas a nivel nacional.</t>
  </si>
  <si>
    <t>Fortalecer la capacidad institucional en la prevención, protección y asistencia en la lucha contra el delito de trata de personas a nivel nacional.</t>
  </si>
  <si>
    <t>43211508;43211509</t>
  </si>
  <si>
    <t>Mejorar la articulación del ordenamiento territorial en competencias institucionales (orgánico) con enfoque alrededor del agua.</t>
  </si>
  <si>
    <t>Desarrollar Herramientas tecnológicas encaminadas a la transferencia del conocimiento a las entidades territoriales, corporaciones públicas y líderes locales.</t>
  </si>
  <si>
    <t>Fortalecer el conocimiento de las autoridades territoriales y líderes locales en descentralización y ordenamiento territorial alrededor del agua.</t>
  </si>
  <si>
    <t>Fortalecer los esquemas asociativos en el marco de la consolidación de la Paz.</t>
  </si>
  <si>
    <t>SGH Adquirir dotación de vestuario de labor para los funcionarios del Ministerio del Interior, conforme a lo indicado en el acuerdo marco durante la vigencia 2024, en cumplimiento de la Ley 70 de 1988 y el Decreto 1978 de 1989.</t>
  </si>
  <si>
    <t>Luz Dary Velásquez Romero</t>
  </si>
  <si>
    <t>luz.velasquez@mininterior.gov.co</t>
  </si>
  <si>
    <t>SGH  Adquirir dotación de vestuario de labor para caballero  para los funcionarios del Ministerio del Interior, conforme a lo indicado en el acuerdo marco durante la vigencia 2023, en cumplimiento de la Ley 70 de 1988 y el Decreto 1978 de 1989.</t>
  </si>
  <si>
    <t xml:space="preserve">A-02-02-02-009-003 </t>
  </si>
  <si>
    <t>SGH Realización de Exámenes Médicos Ocupacionales Periódicos, Exámenes Médicos de Ingreso y Exámenes Médicos de Retiro, para los funcionarios del Ministerio del Interior para el año 2024, de acuerdo al profesiograma de la entidad</t>
  </si>
  <si>
    <t>SGH Realizar la Intervención en el marco de los resultados obtenidos de la aplicación de la colaboradores del Ministerio del Interior, en Batería de Riesgo Psicosocial a todos los cumplimiento a la normativa vigente mediante evaluación de ambiente laboral y cultura de la innovación por medio de la metodologia Grace Place to Word</t>
  </si>
  <si>
    <t>SGH Adquirir elementos, insumos para la dotación de botiquines de las sedes del Ministerio</t>
  </si>
  <si>
    <t>SGH Adquirir elementos de oficina para confort ergonómico de los Contratistas del Ministerio del Interior, descansa pies, eleva pantallas y escaleras.</t>
  </si>
  <si>
    <t>SGH Realizar la Auditoria de mantenimiento de la certificación otorgada al Ministerio del Interior bajo la norma ISO 45001:2018</t>
  </si>
  <si>
    <t>SGH Realizar mantenimiento de los Desfibriladores Externos Automaticos propiedad de la entidad para la atencion de emergencia</t>
  </si>
  <si>
    <t>SGH Realizar aplicación de batería para la evaluación de riesgo psicosocial laboral para los colaboradores del ministerio del interior durante la vigencia 2023 en cumplimiento de la normatividad vigente.</t>
  </si>
  <si>
    <t>SGH Ejecución Programa de Aprendizaje Individual</t>
  </si>
  <si>
    <t xml:space="preserve">SGH Suscribir contrato para la Ejecución de los Programas de Capacitación, dirigidos a los funcionarios del Ministerio del Interior </t>
  </si>
  <si>
    <t>SGH Apoyo en la ejecución de las actividades del Programa de Bienestar Social de la vigencia 2024, para los servidores públicos del Ministerio del Interior</t>
  </si>
  <si>
    <t>Fortalecer al Ministerio en la gestión oportuna de comisiones de servicio y autorización de desplazamiento  para asegurar la presencia institucional en territorio</t>
  </si>
  <si>
    <t>SGH Suministrar el transporte aéreo en vuelos Nacionales e Internacionales para los funcionarios, contratistas del Ministerio del Interior y funcionarios de la Policía Nacional que prestan sus servicios de protección y seguridad en el Ministerio del Interior.</t>
  </si>
  <si>
    <t>SPSCC CONV 1313-23 FONSECON REALIZAR ACCIONES, ACTIVIDADES Y COMPROMISOS CONJUNTOS, TENDIENTES A LA CONSTRUCCIÓN DE UN CENTRO ADMINISTRATIVO MUNICIPAL, POR PARTE DEL ENTE TERRITORIAL ARGELIA - CAUCA Y, PARA LO CUAL, OBTENDRÁ APORTES FINANCIEROS DEL FONDO FONSECON</t>
  </si>
  <si>
    <t>Edgar Ricardo Gonzalez Patiño</t>
  </si>
  <si>
    <t>SPSCC CONV 1340-23 FONSECON LETICIA – AMAZONAS REALIZAR ACCIONES, ACTIVIDADES Y COMPROMISOS CONJUNTOS, TENDIENTES AL ESTUDIO, DISEÑO, IMPLEMENTACIÓN E INSTALACIÓN DEL NÚMERO ÚNICO DE EMERGENCIA NUSE 123 Y EL CIRCUITO CERRADO DE TELEVISIÓN (CCTV)</t>
  </si>
  <si>
    <t>SPSCC 1315-23 REALIZAR ACCIONES, ACTIVIDADES Y COMPROMISOS CONJUNTOS, TENDIENTES A LA CONSTRUCCIÓN DE LA ESTACIÓN DISTRITO DE POLICÍA TIPO A, POR PARTE DEL ENTE TERRITORIAL MUNICIPIO DE SOGAMOSO – DPTO DE BOYACÁ Y PARA LO CUAL OBTENDRÁ APORTES FINANCIERO</t>
  </si>
  <si>
    <t>SPSCC 1327-23 REALIZAR ACCIONES, ACTIVIDADES Y COMPROMISOS CONJUNTOS, TENDIENTES AL ESTUDIO, DISEÑO, IMPLEMENTACIÓN E INSTALACIÓN DEL FORTALECIMIENTO DEL CIRCUITO CERRADO DE TELEVISIÓN CCTV EN MARCO DEL PLAN INTEGRAL DE SEGURIDAD Y CONV CIUDADANA DEL</t>
  </si>
  <si>
    <t>SPSCC CONV 1610-23 VF AUNAR ESFUERZOS TÉCNICOS, ADMINISTRATIVOS ENTRE LAS PARTES PARA LA EJECUCIÓN DEL PROYECTO DE INFRAESTRUCTURA PARA LA CONVIVENCIA-TIPO 1B, EN EL MUNICIPIO DE CERTEGUI-CHOCÓ.</t>
  </si>
  <si>
    <t>SPSCC CTO 1608-23 FONSECON AUNAR ESFUERZOS TÉCNICOS Y ADMINISTRATIVOS ENTRE LAS PARTES PARA LA EJECUCION DEL PROYECTO DE INFRAESTRUCTURA PARA LA CONVIVENCIA - TIPO 2A, EN EL MUNICIPIO DE VERSALLES - VALLE DEL CAUCA</t>
  </si>
  <si>
    <t>SPSCC CONV 1618-23 AUNAR ESFUERZOS TÉCNICOS Y ADMINISTRATIVOS ENTRE LAS PARTES PARA LA EJECUCION DEL PROYECTO DE INFRAESTRUCTURA PARA LA CONVIVENCIA - TIPO 1B, EN EL MUNICIPIO DE MARIPI-BOYACA.</t>
  </si>
  <si>
    <t>SPSCC CONV 1617-23 FONSECON AUNAR ESFUERZOS TÉCNICOS Y ADMINISTRATIVOS ENTRE LAS PARTES PARA LA EJECUCIÓN DEL PROYECTO DE INFRAESTRUCTURA PARA LA CONVIVENCIA - TIPO 2A, EN EL MUNICIPIO DE VILLA RICA – CAUCA</t>
  </si>
  <si>
    <t>SPSCC CONV 1606-23 REALIZAR ACCIONES, ACTIVIDADES Y COMPROMISOS CONJUNTOS, TENDIENTES A LA CONSTRUCCION DE UN CENTRO ADMINISTRATIVO MUNICIPAL, POR PARTE DEL ENTE TERRITORIAL RIO QUITO - CHOCO Y PARA LO CUAL OBTENDRÁ APORTES FINANCIEROS DEL FONDO NACIONAL D</t>
  </si>
  <si>
    <t>SPSCC CONV 1602-23 AUNAR ESFUERZOS TÉCNICOS Y ADMINISTRATIVOS ENTRE LAS PARTES PARA LA EJECUCION DEL PROYECTO DE INFRAESTRUCTURA PARA LA CONVIVENCIA - TIPO 1B, EN EL MUNICIPIO DE RAGONVALIA- NORTE DE SANTANDER</t>
  </si>
  <si>
    <t>SPSCC CONV 1603-23 REALIZAR ACCIONES, ACTIVIDADES Y COMPROMISOS CONJUNTOS, TENDIENTES A LA CONSTRUCCION DE UN CENTRO ADMINISTRATIVO MUNICIPAL, POR PARTE DEL ENTE TERRITORIAL LA UNIÓN- NARIÑO, Y PARA LO CUAL OBTENDRÁ APORTES FINANCIEROS DEL FONDO NACIONAL D</t>
  </si>
  <si>
    <t>SPSCC 1619-23 AUNAR ESFUERZOS TÉCNICOS Y ADMINISTRATIVOS ENTRE LAS PARTES PARA LA EJECUCION DEL PROYECTO DE INFRAESTRUCTURA PARA LA CONVIVENCIA - TIPO 2B, EN EL MUNICIPIO DE EL DOVIO- VALLE DEL CAUCA</t>
  </si>
  <si>
    <t>SPSCC 1615-23 AUNAR ESFUERZOS TÉCNICOS Y ADMINISTRATIVOS ENTRE LAS PARTES PARA LA EJECUCIÓN DEL PROYECTO DE INFRAESTRUCTURA PARA LA CONVIVENCIA - TIPO 2A, EN EL MUNICIPIO DE EL TAMBO, NARIÑO.</t>
  </si>
  <si>
    <t>SPSCC CONV 1621-23 AUNAR ESFUERZOS TÉCNICOS Y ADMINISTRATIVOS ENTRE LAS PARTES PARA LA EJECUCION DEL PROYECTO DE INFRAESTRUCTURA PARA LA CONVIVENCIA - TIPO 1B, EN EL MUNICIPIO DE TURMEQUÉ-BOYACA</t>
  </si>
  <si>
    <t>C-3702-1000-13</t>
  </si>
  <si>
    <t>VDG</t>
  </si>
  <si>
    <t>Aumentar las capacidades de diálogo social de las comunidades e instituciones.</t>
  </si>
  <si>
    <t>C-3701-1000-40</t>
  </si>
  <si>
    <t>VDG Contratación de Servicios Profesionales, asistenciales y técnicos como apoyo a la gestión del Ministerio del Interior</t>
  </si>
  <si>
    <t>Lilia Clemencia Solano ramirez</t>
  </si>
  <si>
    <t>lilia.solano@mininterior.gov.co</t>
  </si>
  <si>
    <t>VDG Implementar iniciativas comunitarias para el fortalecimiento Diálogo Social</t>
  </si>
  <si>
    <t xml:space="preserve">VDG Implementar una plataforma digital para el cargue de información de los compromisos de los escenarios de Diálogo Social </t>
  </si>
  <si>
    <t>VDG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</si>
  <si>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VDG Impresiones litrograficas para socializar el Dialogo Social</t>
  </si>
  <si>
    <t>VDG Curso de Formación en Dialogo Social</t>
  </si>
  <si>
    <t xml:space="preserve">VDG Implementar una estrategia de comunicación </t>
  </si>
  <si>
    <t>VDG Transporte  para asistencia técnica a comunidades - equipo dialogo social</t>
  </si>
  <si>
    <t>Garantizar la conservación, archivo y disponibilidad de los documentos generados para evidenciar el cumplimiento de la gestión del Ministerio del Interior, fortaleciendo el sistema de gestión documental</t>
  </si>
  <si>
    <t>Implementar soluciones tecnológicas innovadoras que den respuesta a las necesidades de la misionalidad de la entidad, promoviendo la estrategia de transformación digital en el marco de la política de Gobierno Digital</t>
  </si>
  <si>
    <t>Formular, actualizar y realizar seguimiento al marco normativo y lineamientos en materia de gobernanza y ordenamiento territorial.</t>
  </si>
  <si>
    <t>Fortalecer las Entidades Territoriales con nuevas obras de infraestructura y movilidad ejecutadas para la convivencia y la seguridad ciudadana</t>
  </si>
  <si>
    <t>SPSCC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</si>
  <si>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SGGT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</si>
  <si>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</si>
  <si>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CP Suministrar el transporte aéreo en vuelos Nacionales e Internacionales para los funcionarios, contratistas del Ministerio del Interior y funcionarios de la Policía Nacional que prestan sus servicios de protección y seguridad en el Ministerio del Interior.</t>
  </si>
  <si>
    <t>SGGT Suministrar el transporte aéreo en vuelos Nacionales e Internacionales para los funcionarios, contratistas del Ministerio del Interior y funcionarios de la Policía Nacional que prestan sus servicios de protección y seguridad en el Ministerio del Interior.</t>
  </si>
  <si>
    <t>SPSCC Suministrar el transporte aéreo en vuelos Nacionales e Internacionales para los funcionarios, contratistas del Ministerio del Interior y funcionarios de la Policía Nacional que prestan sus servicios de protección y seguridad en el Ministerio del Interior.</t>
  </si>
  <si>
    <t>OIP Suministrar el transporte aéreo en vuelos Nacionales e Internacionales para los funcionarios, contratistas del Ministerio del Interior y funcionarios de la Policía Nacional que prestan sus servicios de protección y seguridad en el Ministerio del Interior.</t>
  </si>
  <si>
    <t>DAIRM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</si>
  <si>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CP-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 </t>
  </si>
  <si>
    <t>DACNARP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</si>
  <si>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DAIRM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</si>
  <si>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DAR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</si>
  <si>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</si>
  <si>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</si>
  <si>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</si>
  <si>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SGGT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</si>
  <si>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SPSCC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</si>
  <si>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Compra de Utiles de Escritorio y derivados del carton para todas las Dependencias del Ministerio del Interior.</t>
  </si>
  <si>
    <t>CP-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</si>
  <si>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CP-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</si>
  <si>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CP-EN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</si>
  <si>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CP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</si>
  <si>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CP-Prestar los servicios de mantenimiento y soporte a distancia y bolsa de horas de consultoría del sistema de información de recursos humanos KACTUS-HCM- para el Ministerio del Interior en cumplimiento al anexo técnico dispuesto por la entidad.</t>
  </si>
  <si>
    <t>OIP. Prestar los servicios de mantenimiento y soporte a distancia y bolsa de horas de consultoría del sistema de información de recursos humanos KACTUS-HCM- para el Ministerio del Interior en cumplimiento al anexo técnico dispuesto por la entidad.</t>
  </si>
  <si>
    <t>GAPV Adquisición de licenciamiento Microsoft Office 365, como plataforma de productividad y colaboración para el Ministerio del  en cumplimiento al anexo técnico dispuesto por la entidad.</t>
  </si>
  <si>
    <t>SGGT Adquisición de licenciamiento Microsoft Office 365, como Plataforma de Productividad y Colaboración para el Ministerio del Interior y la Dirección de la Autoridad Nacional de Consulta Previa</t>
  </si>
  <si>
    <t xml:space="preserve">82141504;82101801;82101601; 82101603;82101905 </t>
  </si>
  <si>
    <t>DAR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</si>
  <si>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DDH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</si>
  <si>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SGGT Suministro de equipos tecnologicos para el fortalecimiento de la Subdirecion de Gobierno, Gestion Territorial y Lucha contra la Trata.</t>
  </si>
  <si>
    <t>SGGT Contratación de Servicios Profesionales, Asistenciales y Técnicos como apoyo a la gestión del Ministerio del Interior.</t>
  </si>
  <si>
    <t>SGGT Diseño e implementación de herramientas tecnológicas digitales para el fortalecimiento de la Subdirección de Gobierno, Gestión Territorial y Lucha contra la Trata.</t>
  </si>
  <si>
    <t>SGGT 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</si>
  <si>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SGGT Aunar esfuerzos administrativos, técnicos y financieros para el diseño e implementación de acciones de prevención contra el delito de trata de personas bajo los lineamientos de la Estrategia Nacional para la Lucha Contra la Trata de Personas.</t>
  </si>
  <si>
    <t>SGGT Contratación de servicios profesionales, asistenciales y técnicos como apoyo a la gestión del Ministerio del Interior.</t>
  </si>
  <si>
    <t>SGGT Adquisición de un sistema de infraestructura hiperconvergente (HCI), en cumplimiento de las especificaciones técnicas determinadas en el anexo dispuesto por la Entidad</t>
  </si>
  <si>
    <t xml:space="preserve">SGGT Fortalecer los Esquemas Asociativos Territoriales mediante el desarrollo e implementación de proyectos de ordenamiento y gobernanza territorial; y el diseño de instrumentos de planificación de ordenamiento regional para la convergencia regional.
</t>
  </si>
  <si>
    <t>SGGT Aunar esfuerzos técnicos, administrativos y financieros para la formulación y ejecución de proyectos comunales en articulación con los actores democráticos para el fortalecimiento del ordenamiento y gobernanza territorial.</t>
  </si>
  <si>
    <t xml:space="preserve">SGGT Desarrollar e implementar un programa de transferencia de conocimiento sobre el ordenamiento y gestión territorial mediante creación contenidos digitales que contribuyan al cierre de brechas y potencialice la gobernanza en Colombia.
</t>
  </si>
  <si>
    <t>SGGT Elaborar, actualizar y/o revisar la estructura administrativa, procesos e instrumentos de gestión de las Entidades Territoriales y corporaciones publicas de elección popular para contribuir en la modernización de la gestión publica.</t>
  </si>
  <si>
    <t>SGGTDiseño e implementación de herramientas tecnológicas digitales para el fortalecimiento de la Subdirección de Gobierno, Gestión Territorial y Lucha contra la Trata.</t>
  </si>
  <si>
    <t>SGGT Compra de Útiles de Escritorio y derivados del cartón para todas las Dependencias del Ministerio del Interior</t>
  </si>
  <si>
    <t>SGGT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</si>
  <si>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6</t>
  </si>
  <si>
    <t>CP Adquisición de un sistema de infraestructura hiperconvergente (HCI), en cumplimiento de las especificaciones técnicas determinadas en el anexo dispuesto por la Entidad</t>
  </si>
  <si>
    <t>VDG Adquisición de un sistema de infraestructura hiperconvergente (HCI), en cumplimiento de las especificaciones técnicas determinadas en el anexo dispuesto por la Entidad</t>
  </si>
  <si>
    <t>81112209;80111600</t>
  </si>
  <si>
    <t>OIP.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</si>
  <si>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Hasta: $1,105,000,000</t>
  </si>
  <si>
    <t>yeisson.cajamarca@mininterior.gov.co</t>
  </si>
  <si>
    <t>Amelia Rocio Cotes Cortes</t>
  </si>
  <si>
    <t>Astrid Elena Sandoval Perez</t>
  </si>
  <si>
    <t>Carolina del Pilar Prada Granados</t>
  </si>
  <si>
    <t>Franklin castañeda</t>
  </si>
  <si>
    <t>Yamel Ruiz</t>
  </si>
  <si>
    <t xml:space="preserve">Yeisson Cajamarca Zapata </t>
  </si>
  <si>
    <t>Hasta $ 110,500,00</t>
  </si>
  <si>
    <t>SPSCC 1645-23 REALIZAR ACCIONES, ACTIVIDADES Y COMPROMISOS CONJUNTOS, TENDIENTES A LA CONSTRUCCIÓN DE UN CAM POR PARTE DEL ENTE TERRITORIAL TANGUA - NARIÑO, PARA LO CUAL OBTENDRÁ APORTES FINANCIEROS DEL FONDO NACIONAL DE SEGURIDAD Y CONVIVENCIA</t>
  </si>
  <si>
    <t>SPSCC 1622-23 AUNAR ESFUERZOS TÉCNICOS Y ADMINISTRATIVOS ENTRE LAS PARTES PARA LA EJECUCION DEL PROYECTO DE INFRAESTRUCTURA PARA LA CONVIVENCIA - TIPO 2B , EN EL MUNICIPIO DE ROLDANILLO - VALLE</t>
  </si>
  <si>
    <t>SPSCC CONV 1620-23 AUNAR ESFUERZOS TÉCNICOS Y ADMINISTRATIVOS ENTRE LAS PARTES PARA LA EJECUCION DEL PROYECTO DE INFRAESTRUCTURA PARA LA CONVIVENCIA - TIPO1B, EN EL MUNICIPIO DE COLOSÓ-SUCRE</t>
  </si>
  <si>
    <t>SPSCC 3 PRORR 2 MODIF CONVENIO 1981-21 CUYO OBJETO ES AUNAR ESFUERZOS TÉCNICOS, ADTIVOS  Y FINANCIEROS ENTRE LAS PARTES PARA PROMOVER LA CONVIVENCIA CIUDADANA, A TRAVÉS DE LA EJECUCIÓN DE UN PROYECTO SACUDETE AL PARQUE TIPO 2 EN EL MPIO DE BELEN DE UMBRIA</t>
  </si>
  <si>
    <t>SPSCC CTO 2301-22 1 PRORR 2 MOD AUNAR ESFUERZOS TÉCNICOS, ADMINISTRATIVOS Y FINANCIEROS ENTRE LAS PARTES PARA LLEVAR A CABO ESTUDIOS, DISEÑOS Y CONSTRUCCIÓN DE LA SUBESTACIÓN DE POLICIA DEL CORREGIMIENTO DE SAN LUIS DEL MUNICIPIO DE NEIVA-HUILA</t>
  </si>
  <si>
    <t>SPSCC 5 PRORR Y 2 MODIF AL CONV 1628-21 AUNAR ESFUERZOS TÉCNICOS, ADTIVOS Y FINANCIEROS ENTRE LAS PARTES PARA PROMOVER LA CONV CIUDADANA, A TRAVÉS DE LA EJECUCIÓN DE UN PROYECTO SACUDETE AL PARQUE TIPO 1 EN EL MPIO DE CALAMAR - BOLÍVAR</t>
  </si>
  <si>
    <t>SPSCC 5 PRORR Y 3 MODIF AL CONVENIO 1649-21 CUYO OBJETO ES AUNAR ESFUERZOS TÉCNICOS, ADTIVOS Y FINANCIEROS ENTRE LAS PARTES PARA PROMOVER LA CONV CIUDADANA, A TRAVÉS DE LA EJECUCIÓN DE UN PROYECTO SACÚDETE AL PARQUE TIPO 1 EN EL MPIO DE MARQUETALIA - CALDA</t>
  </si>
  <si>
    <t>SPSCC 5 PRORRO Y 4 MODIF AL CONVENIO 1411-20 CUYO OBJETO ES CUYO OBJETO ES AUNAR ESFUERZOS TÉCNICOS, ADTIVOS Y FINANCIEROS ENTRE LAS PARTES PARA PROMOVER LA CONV CIUDADANA, A TRAVÉS DE LA EJECUCIÓN DE UN PROYECTO SACÚDETE AL PARQUE TIPO 2 OPCIÓN</t>
  </si>
  <si>
    <t>SPSCC 4 PRORR 3 MOD CONV 2014-21 AUNAR ESFUERZOS TÉCNICOS, ADMINISTRATIVOS Y FINANCIEROS ENTRE LAS PARTES PARA PROMOVER LA CONVIVENCIA CIUDADANA, A TRAVÉS DE LA EJECUCIÓN DE UN PROYECTO SACUDETE AL PARQUE TIPO 1 EN EL M/PIO DE PUERTO PARRA 2 SANTANDER</t>
  </si>
  <si>
    <t>SPSCC CONV-2020-21 FONSECON 3ª PRÓRROGA, 1ª ADICIÓN Y 2ª MODIFICACIÓN, AUNAR ESFUERZOS TÉCNICOS, ADMINISTRATIVOS Y FINANCIEROS ENTRE LAS PARTES PARA PROMOVER LA CONVIVENCIA CIUDADANA, A TRAVÉS DE LA EJECUCIÓN DE UN PROYECTO SACUDETE AL PARQUE TIPO 1 EN EL</t>
  </si>
  <si>
    <t>SPSCC 5 PRORR 3 MOD CONV 1592-21 ANUAR ESFUERZOS TÉCNICO, ADMIN Y FINAN ENTRE LAS PARTES PARA PROMOVER LA CONVIVENCIA CIUDADANA, A TRAVÉS DE LA EJECUCIÓN DE UN PROYECTO SACÚDETE AL PARQUE TIPO 1 EN EL M/PIO DE CURUMANÍ – CESAR</t>
  </si>
  <si>
    <t>SPSCC 3 PRORR 2 MOD 1 ADIC CONV 2047-21 AUNAR ESFUERZOS TÉCNICOS, ADTIVOS Y FINANCIEROS ENTRE LAS PARTES PARA PROMOVER LOS ESTUDIOS, DISEÑOS Y CONSTRUCCIÓN DE LA SEDE ADMINISTRATIVA DE LA ALCALDIA MUNICIPAL DE LA PLATA HUILA</t>
  </si>
  <si>
    <t>SPSCC Realizar seguimiento a proyectos de Sistemas Integrados de emergencia y seguridad - SIES</t>
  </si>
  <si>
    <t>SPSCC CTO 2665-23 FONSECON REALIZAR LA ASISTENCIA TÉCNICA, ADMINISTRATIVA Y OPERACIÓN LOGÍSTICA PARA LA EJECUCIÓN DE PROYECTOS FINANCIADOS POR EL FONDO FONSECON Y POR EL SISTEMA INTEGRADO DE EMERGENCIAS Y SEGURIDAD - SIES.</t>
  </si>
  <si>
    <t>SPSCC 1612-23 REALIZAR ACCIONES, ACTIVIDADES Y COMPROMISOS CONJUNTOS, TENDIENTES AL ESTUDIO, DISEÑO, IMPLEMENTACIÓN E INSTALACIÓN DEL CIRCUITO CERRADO DE TELEVISIÓN CCTV PARA SEGURIDAD Y CONVIVENCIA, POR PARTE DEL MPIO DE BOCHALEMA, DPTO DE NORTE</t>
  </si>
  <si>
    <t>SPSCC 1611-23 REALIZAR ACCIONES, ACTIVIDADES Y COMPROMISOS CONJUNTOS, TENDIENTES AL ESTUDIO, DISEÑO, IMPLEMENTACIÓN E INSTALACIÓN DEL CIRCUITO CERRADO DE TELEVISIÓN CCTV PARA SEGURIDAD Y CONVIVENCIA, POR PARTE DEL MPIO DE COVEÑAS, DPTO DE SUCRE, PARA LO CU</t>
  </si>
  <si>
    <t>SPSCC CONV 1607-23 REALIZAR ACCIONES, ACTIVIDADES Y COMPROMISOS CONJUNTOS, TENDIENTES AL ESTUDIO, DISEÑO, IMPLEMENTACIÓN E INSTALACIÓN DEL CIRCUITO CERRADO DE TELEVISIÓN CCTV PARA SEGURIDAD Y CONVIVENCIA, POR PARTE DEL MUNICIPIO DE PAIPA, DEPARTAMENTO DE B</t>
  </si>
  <si>
    <t>SPSCC 2326-22 ACTUALIZACIÓN DE ESTUDIOS Y DISENOS, Y AMPLIACIÓN DE LA INFRAESTRUCUTRA DE LASUBESTACIÓN DE POLICÍA LLORENTE - MUNICIPIO DE TUMACO NARIÑO</t>
  </si>
  <si>
    <t>SPSCC 2327-22 AUNAR ESFUERZOS TÉCNICOS, ADTIVOS Y FINANCIEROS ENTRE LAS PARTES PARA LLEVAR A CABO LOS ESTUDIOS, DISEÑOS Y CONSTRUCCION DEL DISTRITO I Y ESTACIÓN DE POLICIA UBATE, MUNICIPIO DE UBATE CUNDINAMARCA</t>
  </si>
  <si>
    <t>SPSCC 2328-22 AUNAR ESFUERZOS TÉCNICOS, ADTIVOS Y FINANCIEROS ENTRE LAS PARTES PARA LLEVAR A CABO LOS ESTUDIOS, DISEÑO Y CONSTRUCCION DEL DISTRITO I Y ESTACIÓN DE POLICIA MOCOA,DPTO DE PUTUMAYO</t>
  </si>
  <si>
    <t>SPSCC 1901-22 AUNAR ESFUERZOS TÉCNICOS, ADMINISTRATIVOS Y FINANCIEROS ENTRE LAS PARTES PARA LLEVAR A CABO LOS ESTUDIOS, DISEÑO Y CONSTRUCCIÓN ESTACIÓN DE POLICÍA EN EL MUNICIPIO DE ACACIAS - DEPARTAMENTO DE META.</t>
  </si>
  <si>
    <t>SPSCC 1916-22 AUNAR ESFUERZOS TÉCNICOS, ADMINISTRATIVOS Y FINANCIEROS ENTRE LAS PARTES PARA LLEVAR A CABO LOS ESTUDIOS, DISEÑOS Y CONSTRUCCION DE LA ESTACION DE POLICIA DEL MUNICIPIO DE ARBOLEDAS NORTE DE SANTANDER.</t>
  </si>
  <si>
    <t>SPSCC CONV 1908-22 AUNAR ESFUERZOS TÉCNICOS, ADMINISTRATIVOS Y FINANCIEROS ENTRE LAS PARTES PARA LLEVAR A CABO LOS ESTUDIOS, DISEÑO Y CONSTRUCCION DE ESTACIÓN DE POLICIA EN ZONA URBANA DEL MPIO DE FLANDES DEL DPTO DE TOLIMA</t>
  </si>
  <si>
    <t>SPSCC convenio 1918-22 AUNAR ESFUERZOS TÉCNICOS, ADMINISTRATIVOS Y FINANCIEROSENTRE LAS PARTES PARA LLEVAR A CABO LOS ESTUDIOS, DISEÑO Y CONSTRUCCION DE ESTACIÓNDE POLICIA EN EL MUNICIPIO DE IPIALES, DEPARTAMENTO DE NARIÑO</t>
  </si>
  <si>
    <t>SPSCC CONV 1912-22 AUNAR ESFUERZOS TÉCNICOS, ADMINISTRATIVOS Y FINANCIEROS ENTRE LAS PARTES PARA LLEVAR A CABO ESTUDIOS, DISEÑOS Y CONSTRUCCION DE INFRAESTRUCTURA FISICA PARA ESTACION DE POLICIA DEL MPIO DE PUEBLO NUEVO-DPTO DE CÓRDOBA</t>
  </si>
  <si>
    <t>SPSCC 1892-22 AUNAR ESFUERZOS TECNICOS, ADTIVOS Y FINANCIEROS ENTRE LAS PARTES PARA LLEVAR A CABO LOS ESTUDIOS DISEÑOS Y CONSTRUCCION DE LA FASE 1 DEL COMANDO DE POLICIA EN EL DPTO DE BOLIVAR</t>
  </si>
  <si>
    <t>SPSCC 1910-22 AUNAR ESFUERZOS TÉCNICOS, ADMINISTRATIVOS Y FINANCIEROS ENTRE LAS PARTES PARA LLEVAR A CABO LOS ESTUDIOS DISEÑOS Y CONSTRUCCION DE ESTACION DE POLICIA MARGEN IZQUIERDA DEL MUNICIPIO DE MONTERIA  DPTO  CORDOBA.</t>
  </si>
  <si>
    <t>SPSCC CONV 1897-22 AUNAR ESFUERZOS TÉCNICOS, ADMIN Y FINAN ENTRE LAS PARTES PARA LLEVAR A CABO ESTUDIOS, DISEÑOSY CONSTRUCCIÓN DEL PROYECTO SUBESTACIÓN DE POLICIA TIPO A NIVEL DE SEGURIDAD 3 DEL CORREGIMIENTO LA CHAPA DEL MPIO DE EL CARMEN DEL VIBORAL DEL</t>
  </si>
  <si>
    <t>SPSCC CONV 1914-22 AUNAR ESFUERZOS TÉCNICOS, ADMINISTRATIVOS Y FINANCIEROS ENTRE LAS PARTES PARA LLEVAR A CABO LOS ESTUDIOS, DISEÑO Y CONSTRUCCION DE ESTACION BASE DE DISTRITO TIPO A EN EL MPIO DE COROZAL – DPTO DE SUCRE</t>
  </si>
  <si>
    <t>SPSCC 1917-22 AUNAR ESFUERZOS TÉCNICOS, ADTIVOS Y FINANCIEROS ENTRE LAS PARTES PARA LLEVAR A CABO LOS “ESTUDIOS, DISEÑOS, Y CONSTRUCCION DE SUBESTACION DE POLICIA EN LA VEREDA EL BONGO, MPIO DE LOS PALMITOS –SUCRE</t>
  </si>
  <si>
    <t>SPSCC 1921-22 AUNAR ESFUERZOS TÉCNICOS, ADTIVOS Y FINANCIEROS ENTRE LAS PARTES PARA LLEVAR A CABO LOS ESTUDIOS, DISEÑOS Y CONSTRUCCIÓN DE LA ESTACIÓN DE POLICÍA- PIE DE PATÓ - MPIO  DE ALTO BAUDÓ DEL DPTO  DE CHOCÓ</t>
  </si>
  <si>
    <t>SPSCC 2561-23 REALIZAR LA ASISTENCIA TÉCNICA, ADMINISTRATIVA, OPERATIVA Y FINANCIERA PARA LA EJECUCIÓN DE PROYECTOS DE INFRAESTRUCTURA FINANCIADOS POR EL FONDO NACIONAL PARA LA SEGURIDAD Y CONVIVENCIA CIUDADANA FONSECON</t>
  </si>
  <si>
    <t>SPSCC CTO 1905-22 AUNAR ESFUERZOSTÉCNICOS, ADMINISTRATIVOS Y FINANCIEROS ENTRE LAS PARTES PARA LLEVAR A CABO LOSESTUDIOS, DISEÑO y CONSTRUCCION ESTACION DE POLICIA EN EL MUNICIPIO DE RONDON – DEPARTAMENTO DE BOYACÁ</t>
  </si>
  <si>
    <t>SPSCC CTO 1923-22 “AUNAR ESFUERZOS TÉCNICOS, ADMINISTRATIVOS Y FINANCIEROSENTRE LAS PARTES PARA LLEVAR A CABO LOS ESTUDIOS, DISEÑO yCONSTRUCCION ESTACION DE POLICIA EN EL MUNICIPIO DE LIBORINA –DEPARTAMENTO DE ANTIOQUIA</t>
  </si>
  <si>
    <t>SPSCC 1913-22 AUNAR ESFUERZOS TÉCNICOS, ADMINISTRATIVOS Y FINANCIEROS ENTRE LAS PARTES PARA LLEVAR A CABO LOS ESTUDIOS, DISEÑO y CONSTRUCCION ESTACION DE POLICIA EN EL MUNICIPIO DE GUATEQUE - DEPARTAMENTO DE BOYACÁ</t>
  </si>
  <si>
    <t>SPSCC CONVENIO1909-22 OBJETO:AUNAR ESFUERZOS TÉCNICOS, ADMINISTRATIVOS Y FINANCIEROS ENTRE LAS PARTESPARA LLEVAR A CABO LOS ESTUDIOS, DISEÑO y CONSTRUCCION ESTACION DE POLICIAEN EL MUNICIPIO DE CANTON DE SAN PABLO – DEPARTAMENTO DE CHOCO</t>
  </si>
  <si>
    <t>SPSCC CTO 1907-22 AUNARESFUERZOS TÉCNICOS, ADMINISTRATIVOS Y FINANCIEROS ENTRE LAS PARTES PARALLEVAR A CABO LOS ESTUDIOS, DISEÑO y CONSTRUCCION ESTACION DE POLICIA EN EL MUNICIPIO DE TÁMESIS</t>
  </si>
  <si>
    <t>SPSCC Contar con el personal y recursos para realizar la debida supervisión al seguimiento de la ejecución de proyectos FONSECON</t>
  </si>
  <si>
    <t>SPSCC 2 PRORRO Y 1 MODIF AL CONVENIO 2055-21 CUYO OBJETO ES AUNAR ESFUERZOS TÉCNICOS, ADTIVOS Y FINANCIEROS ENTRE LAS PARTES PARA PROMOVER LOS ESTUDIOS, DISEÑOS Y CONSTRUCCIÓN DEL NUEVO CENTRO ADTIVO MUNICIPAL (CAM) DE BANCO MAGDALENA</t>
  </si>
  <si>
    <t>SPSCC 3ª PROOR 2ª MOD CONV 1149-20 AUNAR ESFUERZOS TÉCNICOS, ADMINISTRATIVOS Y FINANCIEROS PARA REALIZAR LOS ESTUDIOS, DISEÑOS Y CONSTRUCCION DE ESTACION BASE DE DISTRITO TIPO B DE POLICIA EN EL MPIO DE MONTELIBANO, DPTO DE CORDOBA</t>
  </si>
  <si>
    <t>SPSCC CTO 1520A -20 CONSTRUCCIÓN DE FUERTE DE CARABINEROS DE OCCIDENTE DE LA POLICÍA NACIONALDEL MUNICIPIO DE MARIPÍ DEL DEPARTAMENTO DE BOYACÁ</t>
  </si>
  <si>
    <t>SPSCC 2 PRORR Y MODIF AL CONVENIO 1546-20 CUYO OBJETO ES AUNAR ESFUERZOS TECNICOS ADTIVOS Y FINANCIEROS ENTRE LAS PARTES PARA REALIZAR ESTUDIO, DISEÑOS Y CONSTRUCCION DE ESTACION BASE DE DISTRITO TIPO C EN EL MPIO DE VILLA DEL ROSARIO (LA PARADA) DPTO NORT</t>
  </si>
  <si>
    <t>SPSCC CTO 2057 AUNAR ESFUERZOS TÉCNICOS ADMINISTRATIVOS Y FINANCIEROSENTRE LAS PARTES PARA PROMOVER LOS ESTUDIOS, DISEÑOS Y CONSTRUCCIÓN(OBRA) DE LA SEDE ADMINISTRATIVA DE LA ALCALDÍA MUNICIPAL DE LÓPEZ DEMICAY- CAUCA</t>
  </si>
  <si>
    <t>SPSCC CTO 2050-21 AUNARESFUERZOS TÉCNICOS, ADMINISTRATIVOS Y FINANCIEROS ENTRE LAS PARTES PARAPROMOVER LOS ESTUDIOS, DISEÑOS Y CONSTRUCCIÓN DEL NUEVO CENTROADMINISTRATIVO MUNICIPAL (C.A.M) DE TUMACO-NARIÑO</t>
  </si>
  <si>
    <t>SPSCC 2ª PRORR Y REPROG CTO 2308-22 AUNAR ESFUERZOS TÉCNICOS, ADMIN Y FINAN ENTRE LAS PARTES PARA LA IMPLEMENTACIÓN DE LOS PLANES INTEGRALES DE SEGURIDAD Y CONVIVENCIA CIUDADANA MEDIANTE LA COFINANCIACIÓN PARA LA ADQUISICIÓN E INSTALACIÓN DE CÁMARAS DE SEG</t>
  </si>
  <si>
    <t>SPSCC CTO 2747-23 SERV PROF EN LA SPSCC, APOYANDO LAS ACTIVIDADES DE PLANEACIÓN Y REVISIÓN DE LOS PROYECTOS FINANCIADOS Y/O COFINANCIADOS CON RECURSOS DEL FONDO NACIONAL DE SEGURIDAD Y CONVIVENCIA CIUDADANA - FONSECON PARA LA VIABILIDAD DE LOS MISMOS</t>
  </si>
  <si>
    <t>SPSCC CTO 2746-23 SERV PROF PARA APOYAR JURÍDICAMENTE A LA SPSCC EN EL DESARROLLO DE LOS OBJETIVOS ESTRATÉGICOS Y MISIONALES QUE TENGAN RELACIÓN CON LOS PROYECTOS QUE SE FINANCIEN CON RECURSOS DEL FONDO NACIONAL DE SEGURIDAD Y CONVIVENCIA CIUDADANA - FONSE</t>
  </si>
  <si>
    <t>SPSCC 1ª PRÓR Y ADIC CTO 1432 DE 2023 SERV PROF EN LA SPSCC, APOYANDO JURÍDICAMENTE EN LAS ETAPAS PRECONTRACTUAL, CONTRACTUAL Y POSTCONTRACTUAL DE LOS PROYECTOS FINANCIADOS Y/O COFINANCIADOS POR EL FONDO NACIONAL DE SEGURIDAD Y CONVIVENCIA CIUDADANA - FONS</t>
  </si>
  <si>
    <t>SPSCC 2710-23 ADQUISICIÓN CON DESTINO A LA ARMADA NACIONAL, BOTES DE COMBATE FLUVIAL Y COSTERO, CON CAPACIDAD DE PATRULLAJE, REACCIÓN Y APOYO ANTE EVENTOS DE EMERGENCIA PARA LA ATENCIÓN DE EVENTOS PARA SALVAGUARDAR LA VIDA HUMANA EN AFLUENTES FLUVIALES Y C</t>
  </si>
  <si>
    <t>SPSCC 4 PRORR Y MODIF AL CONVENIO 2034-21 CUYO OBJETO ES AUNAR ESFUERZOS TÉCNICOS, ADTIVOS Y FINANCIEROS ENTRE LAS PARTES PARA PROMOVER LA CONV CIUDADANA, A TRAVÉS DE LA EJECUCIÓN DE UN PROYECTO SACUDETE AL PARQUE TIPO 2 EN EL MPIO DE YAGUARA-HUILA</t>
  </si>
  <si>
    <t>SPSCC 3 PRORR Y MODIF AL CONVENIO 1546-20 CUYO OBJETO ES AUNAR ESFUERZOS TECNICOS ADTIVOS Y FINANCIEROS ENTRE LAS PARTES PARA REALIZAR ESTUDIO, DISEÑO Y CONSTRUCCIÓN DE ESTACIÓN BASE TIPO C EN EL MUNICIPIO DE VILLA DEL ROSARIO (LA PARADA) DPTO DE NORTE DE</t>
  </si>
  <si>
    <t>SPSCC 5ª PRORR 3ª MOD CTO 1895-21 AUNAR ESFUERZOS TECNICOS ADMINISTRATIVOS Y FINANCIEROS ENTRE LAS PARTES PARA PROMOVER LA CONVIVENCIA CIUDADANA A TRAVES DE LA EJECUCION DE UN PROYECTO SACUDETE AL PARQUE TIPO 1 EN EL MPIO DE SUAN - ATLÁNTICO</t>
  </si>
  <si>
    <t>SPSCC 4ª PRORR, ADIC Y 2ª MOD CTO 1619-21 AUNAR ESFUERZOS TÉCNICOS, ADMIN Y FINANCIEROS ENTRE LAS PARTES PARA PROMOVER LA CONVIVENCIA CIUDADANA, A TRAVÉS DE LA EJECUCIÓN DE UN PROYECTO SACUDETE AL PARQUE TIPO 1 EN EL M/PIO DE CRAVO NORTE – ARAUCA</t>
  </si>
  <si>
    <t>SPSCC CONV 2038-21 AUNAR ESFUERZOS TÉCNICOS, ADMINISTRATIVOS Y FINANCIEROS ENTRE LAS PARTES PARA PROMOVER LA CONVIVENCIA CIUDADANA, A TRAVÉS DE LA EJECUCIÓN DE UN PROYECTO SACUDETE AL PARQUE TIPO 1 EN EL MUNICIPIO DE PUERTO PARRA - SANTANDER</t>
  </si>
  <si>
    <t>SPSCC 4ª PRORR 2ª MOD CONV 1980-23 AUNAR ESFUERZOS TÉCNICOS, ADMIN Y FINAN ENTRE LAS PARTES PARA PROMOVER LA CONVIVENCIA CIUDADANA, A TRAVÉS DE LA EJECUCIÓN DE UN PROYECTO SACUDETE AL PARQUE TIPO 2 EN EL MUNICIPIO DE SAN CRISTOBAL BOLIVAR</t>
  </si>
  <si>
    <t>SPSCC 5ª PRÓR Y 2 MOD CON 964-21 AUNAR ESFUERZOS TÉCNICOS, ADMINISTRATIVOS Y FINANCIEROS ENTRE LAS PARTES PARA PROMOVER LA CONVIVENCIA CIUDADANA, A TRAVÉS DE LA EJECUCIÓN DE UN PROYECTO SACUDETE AL PARQUE TIPO 2 EN EL MPIO DE GUACARÍ VALLE DEL CAUCA</t>
  </si>
  <si>
    <t>SPSCC 4 PRORR Y 2 MODIF AL CONVENIO 1873-21 CUYO OBJETO ES AUNAR ESFUERZOS TÉCNICOS, ADTIVOS Y FINANCIEROS ENTRE LAS PARTES PARA PROMOVER LA CONV CIUDADANA, A TRAVÉS DE LA EJECUCIÓN DE UN PROYECTO SACUDETE AL PARQUE TIPO 2 EN EL MPIO DE MIRANDA CAUCA</t>
  </si>
  <si>
    <t>SPSCC CONV 1972-2021 FONSECON 5ª PRÓRROGA Y 4ª MODIFICACIÓN, AUNAR ESFUERZOS TÉCNICOS, ADMINISTRATIVOS Y FINANCIEROS ENTRE LAS PARTES PARA PROMOVER LA CONVIVENCIA CIUDADANA, A TRAVÉS DE LA EJECUCIÓN DE UN PROYECTO SACUDETE AL PARQUE TIPO 1 EN EL MUNICIPIO</t>
  </si>
  <si>
    <t>SPSCC 3 PRORR Y 2 MODIF AL CONVENIO 1582-21 CUYO OBJETO ES AUNAR ESFUERZOS TÉCNICOS, ADTIVOS Y FINANCIEROS ENTRE LAS PARTES PARA PROMOVER LA CONV CIUDADANA, A TRAVÉS DE LA EJECUCIÓN DE UN PROYECTO SACUDETE AL PARQUE TIPO 1 EN EL MPIO DE SAN JUAN DE RIOSECO</t>
  </si>
  <si>
    <t>SPSCC 4ª PRORR 3ª MOD CONV 1594-21 AUNAR ESFUERZOS TÉCNICOS, ADMIN Y FINAN ENTRE LAS PARTES PARA PROMOVER LA CONVIVENCIA CIUDADANA, A TRAVÉS DE LA EJECUCIÓN DE UN PROYECTO SACUDETE AL PARQUE TIPO 1 EN EL MUNCIPIO DE USIACURI – ATLÁNTICO</t>
  </si>
  <si>
    <t>SPSCC 2 PRORR Y 2 MODIF AL CONV 2322-22 CUYO OBJETO ES AUNAR ESFUERZOS TÉCNICOS, ADTIVOS Y FINANCIEROS ENTRE LAS PARTES PARA PROMOVER LA CONV CIUDADANA, A TRAVÉS DE LA EJECUCIÓN DE UN PROYECTO SACUDETE AL PARQUE TIPO 1 EN EL MPIO DE SANTO TOMAS – ATLANTICO</t>
  </si>
  <si>
    <t>SPSCC 3ª PROR 2ª MOD CONV 1896-21 AUNAR ESFUERZOS TÉCNICOS, ADMIN Y FINAN ENTRE LAS PARTES PARA PROMOVER LA CONVIVENCIA CIUDADANA, A TRAVÉS DE LA EJECUCIÓN DE UN PROYECTO SACUDETE AL PARQUE TIPO 2 EN EL MUNICIPIO DE PAMPLONA NORTE DE SANTANDER</t>
  </si>
  <si>
    <t>SPSCC 2 PRORR Y 1 MODIF AL CONVENIO 2297-22 CUYO OBJETO ES AUNAR ESFUERZOS TÉCNICOS, ADTIVOS Y FINANCIEROS ENTRE LAS PARTES PARA PROMOVER LA CONV CIUDADANA, A TRAVÉS DE LA EJECUCIÓN DE UN PROYECTO SACUDETE AL PARQUE TIPO 1 EN EL MPIO DE ARGELICA CAUCA</t>
  </si>
  <si>
    <t>SPSCC 2 PRORR Y 2 MODIF AL CONVE 2306-22 CUYO OBJETO ES AUNAR ESFUERZOS TÉCNICOS, ADTIVOS Y FINANCIEROS ENTRE LAS PARTES PARA PROMOVER LA CONV CIUDADANA, A TRAVÉS DE LA EJECUCIÓN DE UN PROYECTO SACUDETE AL PARQUE TIPO 1 EN EL MPIO DE ARAUQUITA – ARAUCA</t>
  </si>
  <si>
    <t>SPSCC 3 PRORR Y 2 MODIF AL CONV 2053-21 CUYO OBJETO ES AUNAR ESFUERZOS TÉCNICOS, ADTIVOS Y FINANCIEROS ENTRE LAS PARTES PARA PROMOVER LOS ESTUDIOS, DISEÑOS Y CONSTRUCCIÓN (OBRA) DE LA SEDE ADTIVA  DE LA ALCALDIA MUNICIPAL DE SANTA FE DE ANTIOQUIA (ANTIOQUI</t>
  </si>
  <si>
    <t>SPSCC 3 PRORR Y 3 MODIF AL CONV 2012-21 CUYO OBJETO ES AUNAR ESFUERZOS TÉCNICOS, ADTIVOS Y FINANCIEROS ENTRE LAS PARTES PARA PROMOVER LA CONV CIUDADANA, A TRAVÉS DE LA EJECUCIÓN DE UN PROYECTO SACUDETE AL PARQUE TIPO 1 EN EL MPIO DE FRANCISO PIZARRO NARIÑO</t>
  </si>
  <si>
    <t>SPSCC 2 PRORR Y 1 MODIF AL CONV 2295-22 CUYO OBJETO ES AUNAR ESFUERZOS TÉCNICOS, ADTIVOS Y FINANCIEROS ENTRE LAS PARTES PARA PROMOVER LA CONV CIUDADANA, A TRAVÉS DE LA EJECUCIÓN DE UN PROYECTO SACUDETE AL PARQUE TIPO 1 EN EL MUNICIPIO DE MANAURE – GUAJIRA</t>
  </si>
  <si>
    <t>SPSCC 4 PRORR Y 3 MODIF AL CONV 1543-20 CUYO OBETO ES AUNAR ESFUERZOS TÉCNICOS, ADTIVOS Y FINANCIEROS ENTRE LAS PARTES PARA PROMOVER LA CONV CIUDADANA, MEDIANTE LA CONSTRUCCIÓN DEL PROYECTO SACÚDETE CREA MININTERIOR DEL MPIO DE GIRARDOT – CUNDINAMARCA</t>
  </si>
  <si>
    <t>SPSCC 1RA  PRÓR Y 1RA MOD CONV 2298-23. AUNAR ESFUERZOS TÉCNICOS, ADMINISTRATIVOS Y FINANCIEROS ENTRE LAS PARTES PARA PROMOVER LA CONVIVIENCIA CIUDADANA, A TRAVÉS DE LA EJECUCIÓN DE UN PROYECTO SACÚDETE AL PARQUE TIPO 2, OPCIÓN 1 DEL MPIO DE TUTA DEL DPTO</t>
  </si>
  <si>
    <t>SPSCC 3 PRORR Y 3 MODIF AL COVENIO 2057-21 CUYO OBJETO ES AUNAR ESFUERZOS TÉCNICOS ADTIVOS Y FINANCIEROS ENTRE LAS PARTES PARA PROMOVER LOS ESTUDIOS, DISEÑOS Y CONSTRUCCIÓN (OBRA) DE LA SEDE ADMINISTRATIVA DE LA ALCALDÍA MUNICIPAL DE LÓPEZ DE MICAY</t>
  </si>
  <si>
    <t>SPSCC 4 PRORR 2 MODIF Y 1 ADICION AL CONV 1982-21 CUYO OBJETO ES AUNAR ESFUERZOS TÉCNICOS, ADTIVOS Y FINANCIEROS ENTRE LAS PARTES PARA PROMOVER LA CONV CIUDADANA, A TRAVÉS DE LA EJECUCIÓN DE UN PROYECTO SACUDETE AL PARQUE TIPO 1 EN EL MPIO DE SAN DIEGO – C</t>
  </si>
  <si>
    <t>SPSCC 1 PRORR Y 1 MODIF AL CONVENIO 2302-22 CUYO OBJETO ES AUNAR ESFUERZOS TÉCNICOS, ADTIVOS Y FINANCIEROS ENTRE LAS PARTES PARA PROMOVER LA CONV CIUDADANA, A TRAVÉS DE LA EJECUCIÓN DE UN PROYECTO SACÚDETE AL PARQUE TIPO 2, OPCIÓN 1 DEL MPIO DE TIBÚ DEL DP</t>
  </si>
  <si>
    <t>SPSCC CONV 1781-21 FONSECON 2ª PRÓRR Y 3ª MOD. AUNAR ESFUERZOS TÉCNICOS, ADMINISTRATIVOS Y FINANCIEROS ENTRE LAS PARTES PARA PROMOVER LA CONVIVENCIA CIUDADANA, A TRAVÉS DE LA EJECUCIÓN DE UN PROYECTO SACUDETE AL PARQUE TIPO 2 EN EL MUNICIPIO DE SANTA ROSA</t>
  </si>
  <si>
    <t>SPSCC CONV 2296-22 FONSECON 1ª PRÓRR Y 1ª MOD. AUNAR ESFUERZOS TÉCNICOS, ADMITIVOS Y FNCIEROS ENTRE LAS PARTES PARA PROMOVER LA CONVIVIENCIA CIUDADANA, A TRAVÉS DE LA EJECUCIÓN DE UN PROYECTO SACÚDETE AL PARQUE TIPO 2, OPCIÓN 1 DEL MUNICIPIO SITIO NUEVO -</t>
  </si>
  <si>
    <t>SPSCC 3 PRORR Y 2 MODF CONV 2037-21 CUYO OBJETO ES AUNAR ESFUERZOS TÉCNICOS, ADTIVOS Y FINANCIEROS ENTRE LAS PARTES PARA PROMOVER LA CONV CIUDADANA, A TRAVÉS DE LA EJECUCIÓN DE UN PROYECTO SACUDETE AL PARQUE TIPO 2 EN EL MPIO DE PACHO - CUNDINAMARCA</t>
  </si>
  <si>
    <t>SPSCC CONV 2314-22. 2ª PRÓRR Y 1ª MOD. AUNAR ESFUERZOS TÉCNICOS, ADMTIVOS Y FNCIEROS ENTRE LAS PARTES PARA PROMOVER LA CONV CIUDADANA, A TRAVÉS DE LA EJECUCIÓN DE UN PYCTO SACUDETE AL PARQUE TIPO 1 EN EL MUNICIPIO DE TIPACOQUE–BOYACA</t>
  </si>
  <si>
    <t>SPSCC 4ª PROR Y 2ª MOD, CONV No. 1523 DE 2021 AUNAR ESFUERZOS TÉCNICOS, ADMINISTRATIVOS Y FINANCIEROS ENTRE LAS PARTES PARA PROMOVER LA CONVIVENCIA CIUDADANA, A TRAVÉS DE LA EJECUCIÓN DE UN PROYECTO SACUDETE AL PARQUE TIPO 1 EN EL MPIO DE CALARCA QUÍNDIO</t>
  </si>
  <si>
    <t>SPSCC CONV 1520A-2020 FONSECON 4ª PRÓRROGA Y 3ª MODIFICACIÓN, CONSTRUCCIÓN DE FUERTE DE CARABINEROS DE OCCIDENTE DE LA POLICÍA NACIONAL DEL MUNICIPIO DE MARIPÍ DEL DEPARTAMENTO DE BOYACA</t>
  </si>
  <si>
    <t>SPSCC 1ª PRORR 1ª ADIC 1ª MOD CONV 2313-22 AUNAR ESFUERZOS TÉCNICOS, ADMINISTRATIVOS Y FINANCIEROS ENTRE LAS PARTES PARA PROMOVER LA CONVIVENCIA CIUDADANA, A TRAVÉS DE LA EJECUCIÓN DE UN PROYECTO SACUDETE AL PARQUE TIPO 1 EN EL M/PIO DE TOCA – BOYACÁ</t>
  </si>
  <si>
    <t>SPSCC 4 PRORR Y 2 MODIF AL CONV 945-21 CUYO OBJETO ES AUNAR ESFUERZOS TÉCNICOS, ADTIVOS Y FINANCIEROS ENTRE LAS PARTES PARA PROMOVER LA CONV CIUDADANA, A TRAVES DE LA EJECUCION DE UN PROYECTO SACUDETE AL PARQUE TIPO 2 EN EL MPIO DE IBAGUE – TOLIMA</t>
  </si>
  <si>
    <t>SPSCC 3 PRORR MODIF Y 1 ADICION AL CONV 1547-20 CUYO OBJETO ES AUNAR ESFUERZOS TÉCNICOS, ADTIVOS Y FINANCIEROS ENTRE LAS PARTES PARA PARA PROMOVER LOS ESTUDIOS DISEÑOS Y CONSTRUCCIÓN DEL CENTRO ADMINISTRATIVO MUNICIPAL DE SANTIAGO DE TOLÚ DPTO DE SUCRE</t>
  </si>
  <si>
    <t>SPSCC 2 PROR Y MODIF Y 1 ADICION AL CONV 2303-22 CUYO OBJETO ES AUNAR ESFUERZOS TÉCNICOS, ADTIVOS Y FINANCIEROS ENTRE LAS PARTES PARA PROMOVER LA CONV CIUDADANA, A TRAVÉS DE LA EJECUCIÓN DE UN PROYECTO SACUDETE AL PARQUE TIPO 1 EN EL MPIO DE AYAPEL – CORDO</t>
  </si>
  <si>
    <t>SPSCC 5 PRORR Y 6 MODIF CONV 888-2019 CUYO OBJETO ES AUNAR ESFUERZOS TÉCNICOS, ADMINISTRATIVOS Y FINANCIEROS PARA REALIZAR LOS ESTUDIOS, DISEÑOS Y CONSTRUCCIÓN DE UNA ESTACIÓN DE POLICÍA EN EL MUNICIPIO DE SAN MATEO - BOYACÁ</t>
  </si>
  <si>
    <t>SPSCC 3 PRORR Y 2 MODIF AL CONV 1878-21 CUYO OBJETO ES AUNAR ESFUERZOS TÉCNICOS, ADTIVOS Y FINANCIEROS ENTRE LAS PARTES PARA PROMOVER LA CONV CIUDADANA, A TRAVÉS DE LA EJECUCIÓN DE UN PROYECTO SACUDETE AL PARQUE TIPO 2 EN EL MPIO DE RIONEGRO – ANTIOQUIA.</t>
  </si>
  <si>
    <t>SPSCC CTO 2311-22 “AUNAR ESFUERZOS TÉCNICOS, ADMINISTRATIVOS Y FINANCIEROS ENTRE LAS PARTES PARA PROMOVER LA CONVIVENCIA CIUDADANA, A TRAVÉS DE LA EJECUCIÓN DE UN PROYECTO SACUDETE AL PARQUE TIPO 1 OPCIÓN 1 EN EL M/PIO DE TIBACUY – CUNDINAMARCA</t>
  </si>
  <si>
    <t>SPSCC 6ª PRORR 5 MOD CONV 910-19 AUNAR ESFUERZOS TÉCNICOS, ADMINISTRATIVOS Y FINANCIEROS ENTRE LAS PARTES PARA PROMOVER LA CONVIVENCIA CIUDADANA, A TRAVÉS DE LA EJECUCIÓN DE UN CENTRO DE INTEGRACIÓN CIUDADANA – CIC EN EL MUNICIPIO DE CALDAS – BOYACA</t>
  </si>
  <si>
    <t>SPSCC 3ª PRORR 3ª MOD CONV 2050-21 AUNAR ESFUERZOS TÉCNICOS, ADMINISTRATIVOS Y FINANCIEROS ENTRE LAS PARTES PARA PROMOVER LOS ESTUDIOS, DISEÑOS Y CONSTRUCCIÓN DEL NUEVO CENTRO ADMINISTRATIVO MUNICIPAL (C.A.M) DE TUMACO-NARIÑO</t>
  </si>
  <si>
    <t>SPSCC CONV 2307-22. 2ª PRÓRR Y 2ª MOD. AUNAR ESFUERZOS TÉCNICOS, ADMITIVOS Y FNCROS ENTRE LAS PARTES PARA PROMOVER LA CONVIVENCIA CIUDADANA, A TRAVÉS DE LA EJECUCIÓN DE UN PROYECTO SACUDETE AL PARQUE TIPO 1 EN EL MUNICIPIO DE ACHÍ – BOLIVAR</t>
  </si>
  <si>
    <t>SPSCC 1ª PRORR 1ª ADIC CONV 2299-22 AUNAR ESFUERZOS TÉCNICOS, ADMIN Y FINAN ENTRE LAS PARTES PARA LA IMPLEMENTACIÓN DE LOS PLANES INTEGRALES DE SEGURIDAD Y CONVIVENCIA CIUDADANA MEDIANTE LA COFINANCIACIÓN PARA LA ADQUISICIÓN E INSTALACIÓN DE CÁMARAS DE SEG</t>
  </si>
  <si>
    <t>SPSCC 4ª° PRORR Y 2ª° MODIF CONV INTERADTIVO 2001-2021, AUNAR ESFUERZOS TÉCNICOS, ADMINISTRATIVOS Y FINANCIEROS ENTRE LAS PARTES PARA PROMOVER LA CONVIVENCIA CIUDADANA, A TRAVÉS DE LA EJECUCIÓN DE UN PROYECTO SACUDETE AL PARQUE TIPO 1 EN EL MUCPIO DE BALBO</t>
  </si>
  <si>
    <t>SPSCC 2ª° PRORR Y 1ª° MODIF CONV INTERADTIVO 2315-2022, AUNAR ESFUERZOS TÉCNICOS, ADMINISTRATIVOS Y FINANCIEROS ENTRE LAS PARTES PARA PROMOVER LA CONVIVENCIA CIUDADANA, A TRAVÉS DE LA EJECUCIÓN DE UN PROYECTO SACUDETE AL PARQUE TIPO 1 EN EL MPIO DE FIRAVIT</t>
  </si>
  <si>
    <t>SPSCC 1ª PRORR 1ª MOD CTO 2300-22 AUNAR ESFUERZOS TÉCNICOS, ADMINISTRATIVOS Y FINANCIEROS ENTRE LAS PARTES PARA DESARROLLAR LOS ESTUDIOS, DISEÑOS Y CONSTRUCCIÓN DEL CENTRO ADMINISTRATIVO MUNICIPAL DE SAN ANTONIO DE PALMITO SUCRE</t>
  </si>
  <si>
    <t>SPSCC CONV 2312-22 FONSECON 2ª PRÓRROGA Y 1ª MODIFICACIÓN. AUNAR ESFUERZOS TÉCNICOS, ADMINISTRATIVOS Y FINANCIEROS ENTRE LAS PARTES PARA PROMOVER LA CONVIVENCIA CIUDADANA, A TRAVÉS DE LA EJECUCIÓN DE UN PROYECTO SACUDETE AL PARQUE TIPO 1 EN EL MUNICIPIO DE</t>
  </si>
  <si>
    <t>SPSCC 4 PROR Y 3 MODIF AL CONVE 899-21 CUYO OBJETO ES AUNAR ESFUERZOS TÉCNICOS, ADTIVOS Y FINANCIEROS ENTRE LAS PARTES PARA PROMOVER LA CONVI CIUDADANA, A TRAVÉS DE LA EJECUCIÓN DE UN PROYECTO SACUDETE AL PARQUE TIPO 1 EN EL MPIO DE TIMANÁ HUILA</t>
  </si>
  <si>
    <t>SPSCC 4 PRORR 2 MODIF Y 1 ADICI AL CONV 2009-21 CUYO OBJETO ES AUNAR ESFUERZOS TÉCNICOS, ADTIVOS Y FINANCIEROS ENTRE LAS PARTES PARA PROMOVER LA CONV CIUDADANA, A TRAVÉS DE LA EJECUCIÓN DE UN PROYECTO SACUDETE AL PARQUE TIPO 1 EN EL MPIO DE SANTA ROSALÍA –</t>
  </si>
  <si>
    <t>SPSCC 4 PRORR Y 3 MODIF AL CONV 2022-21 CUYO OBJETO ES AUNAR ESFUERZOS TÉCNICOS, ADTIVOS Y FINANCIEROS ENTRE LAS PARTES PARA PROMOVER LA CONV CIUDADANA, A TRAVÉS DE LA EJECUCIÓN DE UN PROYECTO SACUDETE AL PARQUE TIPO 2 EN EL MPIO DE BARBOSA SANTANDER</t>
  </si>
  <si>
    <t>SPSCC 3 PRORR 2 MODIF Y 1 ADICION CONV 2015-21 CUYO OBJETO ES AUNAR ESFUERZOS TÉCNICOS, ADTIVOS Y FINANCIEROS ENTRE LAS PARTES PARA PROMOVER LA CONV CIUDADANA, A TRAVÉS DE LA EJECUCIÓN DE UN PROYECTO SACUDETE AL PARQUE TIPO 2 EN EL MPIO DE MONTENEGRO QUIND</t>
  </si>
  <si>
    <t>SPSCC 4 PRORR Y 3 MODIF AL CONV 1627-21 CUYO OBJETO ES AUNAR ESFUERZOS TÉCNICOS, ADTIVOS Y FINANCIEROS ENTRE LAS PARTES PARA PROMOVER LA CONV CIUDADANA, A TRAVÉS DE LA EJECUCIÓN DE UN PROYECTO SACUDETE AL PARQUE TIPO 1 EN EL MPIO DE GUAMO - BOLIVA</t>
  </si>
  <si>
    <t>SPSCC 4ª PRORR 3ª MOD CTO 1581-21 AUNAR ESFUERZOS TÉCNICOS, ADMIN Y FINAN ENTRE LAS PARTES PARA PROMOVER LA CONVIVENCIA CIUDADANA, A TRAVÉS DE LA EJECUCIÓN DE UN PROYECTO SACUDETE AL PARQUE TIPO 1 EN EL MUNICIPIO DE LA CALERA – CUNDINAMARCA</t>
  </si>
  <si>
    <t>SPSCC 3ª PROR 2ª MODF Y 1ª ADI, CONV INTERADTIVO No. 1586 DE 2021 AUNAR ESFUERZOS TÉCNICOS, ADMINISTRATIVOS Y FINANCIEROS ENTRE LAS PARTES PARA PROMOVER LA CONVIVENCIA CIUDADANA, A TRAVÉS DE LA EJECUCIÓN DE UN PROYECTO SACUDETE AL PARQUE TIPO 1 EN EL MUNIC</t>
  </si>
  <si>
    <t>SPSCC CONV 986-2021 FONSECON 4ª PRÓRROGA Y 3ª MODIFICACIÓN, AUNAR ESFUERZOS TÉCNICOS, ADMITIVOS Y FCIEROS ENTRE LAS PARTES PARA PROMOVER LA CONVIVENCIA CIUDADANA, A TRAVÉS DE LA EJECUCIÓN DE UN PROYECTO SACUDETE AL PARQUE TIPO 1 EN EL MUNICIPIO DE JURADÓ (</t>
  </si>
  <si>
    <t>SPSCC CONV-2013-21 FONSECON 2ª MODIFICACIÓN 4ª PRÓRROGA, AUNAR ESFUERZOS TÉCNICOS, ADMITIVOS Y FNCROS ENTRE LAS PARTES PARA PROMOVER LA CONVIVENCIA CIUDADANA, A TRAVÉS DE LA EJECUCIÓN DE UN PROYECTO SACÚDETE AL PARQUE TIPO 1 EN EL MUNICIPIO DE ESPINAL TOLI</t>
  </si>
  <si>
    <t>32101617;43233201</t>
  </si>
  <si>
    <t>43211507;43212105;43202205;43202215;27113203;39121440</t>
  </si>
  <si>
    <t>43211507;43211503;43211711;44101503</t>
  </si>
  <si>
    <t>43211701;43231509</t>
  </si>
  <si>
    <t>43222825;43221501;81161707;81161708;81161709;72103302</t>
  </si>
  <si>
    <t>56111501;52161505;56101703;56112104;56111513</t>
  </si>
  <si>
    <t>72154302;73152108</t>
  </si>
  <si>
    <t>56121005;56101701;24102004;56101713;56111701;56101703</t>
  </si>
  <si>
    <t>76111600;76122306;76122307;76122309;76122311</t>
  </si>
  <si>
    <t>78111500;78111800;90111500</t>
  </si>
  <si>
    <t>78131602;44111515;76111501;80161506</t>
  </si>
  <si>
    <t>95122304;95131500;81101513;80101600</t>
  </si>
  <si>
    <t>92121801;92121500</t>
  </si>
  <si>
    <t>86132000;86111500</t>
  </si>
  <si>
    <t>93121600;93141501;93141506;93141600;94132000;93131501;93131502</t>
  </si>
  <si>
    <t xml:space="preserve">81101513;80101600 </t>
  </si>
  <si>
    <t>82121504;82141501</t>
  </si>
  <si>
    <t>82101500;82101600;82101800;82101900</t>
  </si>
  <si>
    <t>80111623;80141607;80141902;80161502;80161507;81141601;81141604;81141606;90101601;90101603;90101604;90111601;90111602;90111603;90151802;93141701;93141702</t>
  </si>
  <si>
    <t>94131503;94131504;80101600;93141900;94132000;94131805;93141706;93141600</t>
  </si>
  <si>
    <t>80101600;80141902;86141501;93141500;93141501</t>
  </si>
  <si>
    <t>86101705;93121600</t>
  </si>
  <si>
    <t>GITEP</t>
  </si>
  <si>
    <t>C-3702-1000-15-600011-3702003-02</t>
  </si>
  <si>
    <t>GITEP:   Contratar los servicios profesionales y de apoyo  para realizar la debida ejecución y seguimiento al proyecto "MEJORAMIENTO DE LA EFECTIVIDAD DE LOS PROGRAMAS E INICIATIVAS DE CONSTRUCCIÓN DE PAZ LIDERADAS POR EL MINISTERIO DEL INTERIOR A NIVEL NACIONAL"</t>
  </si>
  <si>
    <t xml:space="preserve">Rodolfo Adán Vega </t>
  </si>
  <si>
    <t xml:space="preserve">rodolfo.vega@mininterior.gov.co </t>
  </si>
  <si>
    <t>C-3702-1000-15-600012-3702003-02</t>
  </si>
  <si>
    <t>C-3702-1000-15-600013-3702003-02</t>
  </si>
  <si>
    <t>C-3702-1000-15-600014-3702003-02</t>
  </si>
  <si>
    <t>C-3702-1000-15-600011-3702023-02</t>
  </si>
  <si>
    <t>C-3702-1000-15-600012-3702023-02</t>
  </si>
  <si>
    <t>C-3702-1000-15-600013-3702023-02</t>
  </si>
  <si>
    <t>C-3702-1000-15-600014-3702023-02</t>
  </si>
  <si>
    <t>C-3702-1000-15-600011-3702021-02</t>
  </si>
  <si>
    <t>C-3702-1000-15-600012-3702021-02</t>
  </si>
  <si>
    <t>C-3702-1000-15-600013-3702021-02</t>
  </si>
  <si>
    <t>C-3702-1000-15-600014-3702021-02</t>
  </si>
  <si>
    <t>C-3702-1000-15-600011-3702002-02</t>
  </si>
  <si>
    <t>C-3702-1000-15-600011-3702012-02</t>
  </si>
  <si>
    <t>C-3702-1000-15-600011-3702022-02</t>
  </si>
  <si>
    <t>C-3702-1000-15-600012-3702002-02</t>
  </si>
  <si>
    <t>C-3702-1000-15-600012-3702012-02</t>
  </si>
  <si>
    <t>C-3702-1000-15-600012-3702022-02</t>
  </si>
  <si>
    <t>C-3702-1000-15-600013-3702002-02</t>
  </si>
  <si>
    <t>C-3702-1000-15-600013-3702012-02</t>
  </si>
  <si>
    <t>C-3702-1000-15-600013-3702022-02</t>
  </si>
  <si>
    <t>C-3702-1000-15-600014-3702002-02</t>
  </si>
  <si>
    <t>C-3702-1000-15-600014-3702012-02</t>
  </si>
  <si>
    <t>C-3702-1000-15-600014-3702022-02</t>
  </si>
  <si>
    <t>GITEP:  Aunar esfuerzos entre el Ministerio del Interior y la Organización Internacional para las Migraciones para mejorar la efectividad en la implementación de los programas e iniciativas de construcción de paz lideradas por el Ministerio del Interior a nivel nacional en el marco del Plan Nacional de Desarrollo – “Colombia potencia mundial de la vida 2022-2026”</t>
  </si>
  <si>
    <t>C-3702-1000-15-600011-3702027-02</t>
  </si>
  <si>
    <t>C-3702-1000-15-600012-3702027-02</t>
  </si>
  <si>
    <t>C-3702-1000-15-600013-3702027-02</t>
  </si>
  <si>
    <t>C-3702-1000-15-600014-3702027-02</t>
  </si>
  <si>
    <t xml:space="preserve">Rodolfo Adan Vega </t>
  </si>
  <si>
    <t>Desarrollar lineamientos de competencia del Ministerio del Interior en  construcción de Paz</t>
  </si>
  <si>
    <t>93121607;80101604;80141902;86101705;78111502;78111808</t>
  </si>
  <si>
    <t>Garantizar espacios físicos funcionales para la preservación de la seguridad y la promoción de la convivencia ciudadana.</t>
  </si>
  <si>
    <t xml:space="preserve">Generar una cultura de paz en la cotidianidad de poblaciones y territorios, con enfoque territorial, étnico y de género. </t>
  </si>
  <si>
    <t>Implementar y modernizar herramientas tecnológicas para la seguridad y convivencia ciudadana</t>
  </si>
  <si>
    <t>Gestionar la implementación  de iniciativas tendientes a la implementación de la Política de Paz Total.</t>
  </si>
  <si>
    <t>Articular con las  entidades del orden nacional y/o territorial e instancias de paz  para la  implementación de las acciones asociadas a la Política de Paz Total</t>
  </si>
  <si>
    <t>Apoyar la Implementación de los lineamientos étnicos y Planes de Acción Inmediata (PAI) relacionados con los procesos de paz.</t>
  </si>
  <si>
    <t>C-3702-1000-16</t>
  </si>
  <si>
    <t>80111621;92101504</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</si>
  <si>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</si>
  <si>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43232400;43191500;43231500</t>
  </si>
  <si>
    <t>93141500;93101500;93141600</t>
  </si>
  <si>
    <t>86141600;86101700;86101705</t>
  </si>
  <si>
    <t>80101600;93101500;93151500</t>
  </si>
  <si>
    <t>SPSCC Adquisición soporte y mantenimiento plataforma – BPM - Auraquantic en cumplimiento al anexo técnico dispuesto por la entidad.</t>
  </si>
  <si>
    <t>C-3702-1000-17</t>
  </si>
  <si>
    <t>C-3702-1000-18</t>
  </si>
  <si>
    <t>C-3704-1000-8</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</si>
  <si>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</si>
  <si>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C-3701-1000-33</t>
  </si>
  <si>
    <t>VDG Suministrar el transporte aéreo en vuelos Nacionales e Internacionales para los funcionarios, contratistas del Ministerio del Interior y funcionarios de la Policía Nacional que prestan sus servicios de protección y seguridad en el Ministerio del Interior.</t>
  </si>
  <si>
    <t>CP-Adquisición soporte y mantenimiento plataforma – BPM - Auraquantic en cumplimiento al anexo técnico dispuesto por la entidad.</t>
  </si>
  <si>
    <t>Fortalecimiento de capacidades y habilidades de los grupos étnicos, ejecutores e institucionalidad interviniente para la participación en los procesos de consulta previa</t>
  </si>
  <si>
    <t>C-3799-1000-01-53106a</t>
  </si>
  <si>
    <t>80111623;80141607;80141902;78111502;78111502;78111802;78111803;78111808;80141607; 80161502;80161507;81141601;81141604;81141606;80141902;90101601,90101602;90101603;90101604;90101501;90111501,90111502,90111503;90111504,90111601,90111602,90111603;90121502;90151802;90151803,93141701;93141702;93141706;93141707;93141709;93141710;</t>
  </si>
  <si>
    <t>CP-Contratar los servicios técnicos y administrativos para estructurar e implementar programas de formación y capacitación en el fortalecimiento de capacidades y habilidades de los grupos étnicos, ejecutores e institucionalidad interviniente para la participación en los procesos de consulta previa</t>
  </si>
  <si>
    <t>CP-Adquisición de equipos tecnológicos, elementos, accesorios y periféricos para el ministerio del interior - Dirección de la Autoridad Nacional de Consulta Previa</t>
  </si>
  <si>
    <t>43201827;43202205;32101602;43201803;55121502;52161512;52161512;43202215;27113203;47121602;32131023;43201554;39121440;42212004</t>
  </si>
  <si>
    <t>SAF:   EN EJECUCION - Orden de Compra 123527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</si>
  <si>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 xml:space="preserve">SAF: Soporte  de la solución de comunicación telefónica instalada y de propiedad del Ministerio del Interior. </t>
  </si>
  <si>
    <t>SPSCC ADQUISICIÓN DE EQUIPOS DE COMUNICACIÓN MOTOROLA PARA EL FORTALECIMIENTO DE LA RED DE COMUNICACIONES DEL COMANDO GENERAL DE LAS FUERZAS MILITARES - COMANDO CONJUNTO DE OPERACIONES ESPECIALES - CCOES</t>
  </si>
  <si>
    <t>DDH - Suscripcion de contrato o convenio interadministrativo para la implementación de estrategias y diseños metodologicos en materia de derechos humanos</t>
  </si>
  <si>
    <r>
      <t xml:space="preserve">SAF: </t>
    </r>
    <r>
      <rPr>
        <b/>
        <sz val="10"/>
        <rFont val="Arial"/>
        <family val="2"/>
      </rPr>
      <t xml:space="preserve"> </t>
    </r>
    <r>
      <rPr>
        <sz val="10"/>
        <rFont val="Arial"/>
        <family val="2"/>
      </rPr>
      <t>Orden de Compra KIA/: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r>
  </si>
  <si>
    <t>CP-Contratar los servicioss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t>
  </si>
  <si>
    <t>3</t>
  </si>
  <si>
    <t>DAIRM - Aunar esfuerzos entre el Ministerio del Interior a través de la Dirección de Asuntos Indígenas, ROM y Minorías y el Consejo Regional Indígena del Cauca CRIC, para el Fortalecimiento de la Comisión Mixta como estrategia de Gobierno Propio, y garantizar el Desarrollo Integral de la Política Pública Indígena para los pueblos indígenas del Cauca- CRIC creada mediante Decreto 1811 de 2017</t>
  </si>
  <si>
    <t>DAIRM - Aunar esfuerzos entre el Ministerio del Interior a través de la Dirección de Asuntos Indígenas, ROM y Minorías y el Resguardo Indígena de la María, para llevar a cabo el Encuentro Regional e intercultural enfocado hacia el fortalecimiento del gobierno propio para la pervivencia de los pueblos, Misak, Nasa y Quillasingas del municipio de Piendamó del departamento de Cauca</t>
  </si>
  <si>
    <t>DDPCAC Adquisición soporte y mantenimiento plataforma – BPM - Auraquantic en cumplimiento al anexo técnico dispuesto por la entidad.</t>
  </si>
  <si>
    <t>DDPCAC Adquisición de un sistema de infraestructura hiperconvergente (HCI), en cumplimiento de las especificaciones técnicas determinadas en el anexo dispuesto por la Entidad</t>
  </si>
  <si>
    <t>8 Fortalecer la participación política, social y ciudadana juvenil</t>
  </si>
  <si>
    <t>Compra de Utiles de Escritorio y derivados del carton para todas las Dependencias del Ministerio del Interior.</t>
  </si>
  <si>
    <t xml:space="preserve">12 Fortalecer a las organizaciones de Acción Comunal del territorio nacional  en su capacidad administrativa, juridica, técnica y sistematizacion de procesos. </t>
  </si>
  <si>
    <t>Aunar esfuerzos técnicos, administrativos y financieros, para la recuperación de la
infraestructura en salud en el territorio nacional, bajo la estrategia de fortalecimiento de las
juntas de acción comunal.</t>
  </si>
  <si>
    <t>C-3704-1000-7</t>
  </si>
  <si>
    <t>94131805;93141706;8
6141501</t>
  </si>
  <si>
    <t>DAIRM – Aunar esfuerzos entre el instituto
de educación técnica INESUR y el
ministerio del interior para la formación e
implementación de una estrategia
educativa en las zonas focalizadas de los
departamentos de Nariño y guajira para el
fortalecimiento de las comunidades
indígenas en sus territorios</t>
  </si>
  <si>
    <t>81131504;80101602;80141501;81141606</t>
  </si>
  <si>
    <t>DACNARP Aunar esfuerzos, técnicos, administrativos y financieros con el
fin de construir la tabla de precios de reembolsos de gastos de
transporte terrestre, multimodal y garantías logísticas para los
diferentes espacios y reuniones donde participen los delegados
de las instancias representativas de las Comunidades Negras,
Afrocolombianas, Raizales y Palenqueras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</si>
</sst>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 numFmtId="174" formatCode="&quot;$&quot;\ #,##0;[Red]&quot;$&quot;\ #,##0"/>
  </numFmts>
  <fonts count="42"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sz val="16"/>
      <color rgb="FFCC0000"/>
      <name val="Arial"/>
      <family val="2"/>
    </font>
    <font>
      <b/>
      <sz val="12"/>
      <color rgb="FFCC0000"/>
      <name val="Arial"/>
      <family val="2"/>
    </font>
    <font>
      <b/>
      <u/>
      <sz val="12"/>
      <color rgb="FFCC0000"/>
      <name val="Arial"/>
      <family val="2"/>
    </font>
    <font>
      <sz val="14"/>
      <color rgb="FFCC0000"/>
      <name val="Calibri"/>
      <family val="2"/>
      <charset val="1"/>
    </font>
    <font>
      <b/>
      <sz val="12"/>
      <color theme="0"/>
      <name val="Arial"/>
      <family val="2"/>
    </font>
    <font>
      <sz val="12"/>
      <color theme="0"/>
      <name val="Arial"/>
      <family val="2"/>
    </font>
    <font>
      <sz val="11"/>
      <color theme="0"/>
      <name val="Arial"/>
      <family val="2"/>
    </font>
    <font>
      <u/>
      <sz val="11"/>
      <name val="Calibri"/>
      <family val="2"/>
      <scheme val="minor"/>
    </font>
    <font>
      <u/>
      <sz val="11"/>
      <name val="Arial"/>
      <family val="2"/>
    </font>
    <font>
      <b/>
      <sz val="10"/>
      <name val="Arial"/>
      <family val="2"/>
    </font>
    <font>
      <sz val="11"/>
      <name val="Calibri"/>
      <family val="2"/>
      <scheme val="minor"/>
    </font>
    <font>
      <u/>
      <sz val="11"/>
      <color theme="0"/>
      <name val="Calibri"/>
      <family val="2"/>
      <scheme val="minor"/>
    </font>
  </fonts>
  <fills count="15">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rgb="FFAC0000"/>
        <bgColor rgb="FFFFFF99"/>
      </patternFill>
    </fill>
    <fill>
      <patternFill patternType="solid">
        <fgColor rgb="FFAC0000"/>
        <bgColor indexed="64"/>
      </patternFill>
    </fill>
    <fill>
      <patternFill patternType="solid">
        <fgColor theme="0" tint="-0.14999847407452621"/>
        <bgColor rgb="FFDBE5F1"/>
      </patternFill>
    </fill>
    <fill>
      <patternFill patternType="solid">
        <fgColor rgb="FF7030A0"/>
        <bgColor indexed="64"/>
      </patternFill>
    </fill>
    <fill>
      <patternFill patternType="solid">
        <fgColor rgb="FF9966F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s>
  <cellStyleXfs count="44">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5" fillId="0" borderId="0"/>
    <xf numFmtId="0" fontId="26" fillId="0" borderId="0" applyNumberFormat="0" applyFill="0" applyBorder="0" applyAlignment="0" applyProtection="0"/>
    <xf numFmtId="43" fontId="21" fillId="0" borderId="0" applyFont="0" applyFill="0" applyBorder="0" applyAlignment="0" applyProtection="0"/>
    <xf numFmtId="0" fontId="1" fillId="0" borderId="0"/>
    <xf numFmtId="0" fontId="27" fillId="0" borderId="0" applyNumberFormat="0" applyFill="0" applyBorder="0" applyAlignment="0" applyProtection="0"/>
    <xf numFmtId="0" fontId="1" fillId="0" borderId="0"/>
    <xf numFmtId="0" fontId="21" fillId="0" borderId="0"/>
    <xf numFmtId="0" fontId="8" fillId="0" borderId="0"/>
    <xf numFmtId="0" fontId="8" fillId="0" borderId="0"/>
    <xf numFmtId="41" fontId="25" fillId="0" borderId="0" applyFont="0" applyFill="0" applyBorder="0" applyAlignment="0" applyProtection="0"/>
    <xf numFmtId="44" fontId="25" fillId="0" borderId="0" applyFont="0" applyFill="0" applyBorder="0" applyAlignment="0" applyProtection="0"/>
    <xf numFmtId="0" fontId="28" fillId="0" borderId="0"/>
    <xf numFmtId="41" fontId="28" fillId="0" borderId="0" applyFont="0" applyFill="0" applyBorder="0" applyAlignment="0" applyProtection="0"/>
    <xf numFmtId="0" fontId="21" fillId="0" borderId="0"/>
    <xf numFmtId="0" fontId="21" fillId="0" borderId="0"/>
    <xf numFmtId="0" fontId="1" fillId="0" borderId="0"/>
    <xf numFmtId="0" fontId="6" fillId="0" borderId="0" applyNumberFormat="0" applyFill="0" applyBorder="0" applyAlignment="0" applyProtection="0"/>
    <xf numFmtId="0" fontId="29" fillId="0" borderId="0" applyNumberFormat="0" applyFill="0" applyBorder="0" applyAlignment="0" applyProtection="0"/>
    <xf numFmtId="44" fontId="21" fillId="0" borderId="0" applyFont="0" applyFill="0" applyBorder="0" applyAlignment="0" applyProtection="0"/>
    <xf numFmtId="0" fontId="1" fillId="0" borderId="0"/>
    <xf numFmtId="0" fontId="21" fillId="0" borderId="0"/>
    <xf numFmtId="43" fontId="28" fillId="0" borderId="0" applyFont="0" applyFill="0" applyBorder="0" applyAlignment="0" applyProtection="0"/>
    <xf numFmtId="0" fontId="1" fillId="0" borderId="0"/>
    <xf numFmtId="0" fontId="6" fillId="0" borderId="0" applyNumberFormat="0" applyFill="0" applyBorder="0" applyAlignment="0" applyProtection="0"/>
  </cellStyleXfs>
  <cellXfs count="376">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18" fillId="0" borderId="0" xfId="0" applyFont="1" applyAlignment="1">
      <alignment wrapText="1"/>
    </xf>
    <xf numFmtId="0" fontId="20" fillId="0" borderId="0" xfId="0" applyFont="1"/>
    <xf numFmtId="0" fontId="8" fillId="0" borderId="0" xfId="0" applyFont="1"/>
    <xf numFmtId="0" fontId="10" fillId="0" borderId="0" xfId="0" applyFont="1" applyAlignment="1">
      <alignment vertical="center"/>
    </xf>
    <xf numFmtId="0" fontId="23" fillId="0" borderId="0" xfId="0" applyFont="1"/>
    <xf numFmtId="0" fontId="10" fillId="0" borderId="0" xfId="0" applyFont="1"/>
    <xf numFmtId="0" fontId="24" fillId="0" borderId="0" xfId="0" applyFont="1"/>
    <xf numFmtId="0" fontId="22" fillId="0" borderId="24" xfId="0" applyFont="1" applyBorder="1"/>
    <xf numFmtId="0" fontId="21"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28" fillId="0" borderId="0" xfId="31"/>
    <xf numFmtId="0" fontId="7" fillId="6" borderId="26" xfId="31" applyFont="1" applyFill="1" applyBorder="1" applyAlignment="1">
      <alignment horizontal="center" vertical="center" wrapText="1"/>
    </xf>
    <xf numFmtId="0" fontId="7" fillId="8" borderId="26"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1" fillId="0" borderId="0" xfId="0" applyFont="1"/>
    <xf numFmtId="0" fontId="22" fillId="0" borderId="0" xfId="0" applyFont="1" applyAlignment="1">
      <alignment vertical="center" wrapText="1"/>
    </xf>
    <xf numFmtId="0" fontId="22" fillId="0" borderId="0" xfId="0" applyFont="1" applyAlignment="1">
      <alignment vertical="center"/>
    </xf>
    <xf numFmtId="0" fontId="22" fillId="0" borderId="0" xfId="0" applyFont="1"/>
    <xf numFmtId="0" fontId="22" fillId="0" borderId="0" xfId="0" applyFont="1" applyAlignment="1">
      <alignment horizontal="center" vertical="center"/>
    </xf>
    <xf numFmtId="0" fontId="22"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1" fillId="0" borderId="0" xfId="0" applyNumberFormat="1" applyFont="1"/>
    <xf numFmtId="0" fontId="4" fillId="0" borderId="25" xfId="0" applyFont="1" applyBorder="1" applyAlignment="1">
      <alignment wrapText="1"/>
    </xf>
    <xf numFmtId="0" fontId="4" fillId="0" borderId="25" xfId="0" applyFont="1" applyBorder="1"/>
    <xf numFmtId="0" fontId="20" fillId="0" borderId="25" xfId="0" applyFont="1" applyBorder="1"/>
    <xf numFmtId="0" fontId="21"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2" fillId="0" borderId="0" xfId="0" applyFont="1" applyAlignment="1">
      <alignment horizontal="center" vertical="center" wrapText="1"/>
    </xf>
    <xf numFmtId="0" fontId="21" fillId="0" borderId="0" xfId="0" applyFont="1" applyAlignment="1">
      <alignment horizontal="center" vertical="center"/>
    </xf>
    <xf numFmtId="0" fontId="22"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6"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2"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8" fillId="0" borderId="31" xfId="0" applyFont="1" applyBorder="1" applyAlignment="1">
      <alignment vertical="top" wrapText="1"/>
    </xf>
    <xf numFmtId="0" fontId="5" fillId="0" borderId="32" xfId="0" applyFont="1" applyBorder="1" applyAlignment="1">
      <alignment wrapText="1"/>
    </xf>
    <xf numFmtId="0" fontId="18" fillId="0" borderId="31" xfId="0" applyFont="1" applyBorder="1" applyAlignment="1">
      <alignment vertical="center" wrapText="1"/>
    </xf>
    <xf numFmtId="14" fontId="18" fillId="0" borderId="34" xfId="0" applyNumberFormat="1" applyFont="1" applyBorder="1" applyAlignment="1">
      <alignment horizontal="left" vertical="center" wrapText="1"/>
    </xf>
    <xf numFmtId="0" fontId="19" fillId="0" borderId="29" xfId="5" applyFont="1" applyBorder="1" applyAlignment="1" applyProtection="1">
      <alignment vertical="center" wrapText="1"/>
    </xf>
    <xf numFmtId="0" fontId="0" fillId="0" borderId="0" xfId="0" applyAlignment="1">
      <alignment horizontal="center"/>
    </xf>
    <xf numFmtId="0" fontId="31" fillId="0" borderId="6" xfId="0" applyFont="1" applyBorder="1" applyAlignment="1">
      <alignment horizontal="center" vertical="center" wrapText="1"/>
    </xf>
    <xf numFmtId="0" fontId="31" fillId="0" borderId="7" xfId="0" applyFont="1" applyBorder="1" applyAlignment="1">
      <alignment wrapText="1"/>
    </xf>
    <xf numFmtId="0" fontId="31" fillId="0" borderId="30" xfId="0" applyFont="1" applyBorder="1" applyAlignment="1">
      <alignment horizontal="center" vertical="center" wrapText="1"/>
    </xf>
    <xf numFmtId="0" fontId="31" fillId="0" borderId="31" xfId="0" applyFont="1" applyBorder="1" applyAlignment="1">
      <alignment wrapText="1"/>
    </xf>
    <xf numFmtId="0" fontId="31" fillId="0" borderId="28" xfId="0" applyFont="1" applyBorder="1"/>
    <xf numFmtId="0" fontId="32" fillId="0" borderId="31" xfId="5" applyFont="1" applyBorder="1" applyAlignment="1" applyProtection="1">
      <alignment wrapText="1"/>
    </xf>
    <xf numFmtId="0" fontId="31" fillId="0" borderId="33" xfId="0" applyFont="1" applyBorder="1" applyAlignment="1">
      <alignment horizontal="center" vertical="center" wrapText="1"/>
    </xf>
    <xf numFmtId="0" fontId="33" fillId="0" borderId="0" xfId="0" applyFont="1" applyAlignment="1">
      <alignment horizontal="center" wrapText="1"/>
    </xf>
    <xf numFmtId="0" fontId="21" fillId="0" borderId="0" xfId="34" applyAlignment="1">
      <alignment horizontal="center"/>
    </xf>
    <xf numFmtId="0" fontId="14" fillId="0" borderId="16" xfId="34" applyFont="1" applyBorder="1" applyAlignment="1">
      <alignment horizontal="center" vertical="top"/>
    </xf>
    <xf numFmtId="0" fontId="14" fillId="0" borderId="16" xfId="34" applyFont="1" applyBorder="1" applyAlignment="1">
      <alignment horizontal="left" vertical="top"/>
    </xf>
    <xf numFmtId="0" fontId="14" fillId="0" borderId="16" xfId="34" applyFont="1" applyBorder="1" applyAlignment="1">
      <alignment vertical="top"/>
    </xf>
    <xf numFmtId="3" fontId="14" fillId="0" borderId="16" xfId="34" applyNumberFormat="1" applyFont="1" applyBorder="1" applyAlignment="1">
      <alignment horizontal="right" vertical="top"/>
    </xf>
    <xf numFmtId="1" fontId="14" fillId="0" borderId="16" xfId="34" applyNumberFormat="1" applyFont="1" applyBorder="1" applyAlignment="1">
      <alignment horizontal="left" vertical="top"/>
    </xf>
    <xf numFmtId="0" fontId="14" fillId="0" borderId="16" xfId="34" applyFont="1" applyBorder="1" applyAlignment="1">
      <alignment horizontal="left" vertical="center"/>
    </xf>
    <xf numFmtId="0" fontId="4" fillId="0" borderId="0" xfId="34" applyFont="1" applyProtection="1">
      <protection hidden="1"/>
    </xf>
    <xf numFmtId="0" fontId="21" fillId="0" borderId="0" xfId="34" applyProtection="1">
      <protection hidden="1"/>
    </xf>
    <xf numFmtId="0" fontId="14" fillId="0" borderId="0" xfId="34" applyFont="1" applyAlignment="1">
      <alignment horizontal="center" vertical="top"/>
    </xf>
    <xf numFmtId="0" fontId="14" fillId="0" borderId="0" xfId="34" applyFont="1" applyAlignment="1">
      <alignment horizontal="left" vertical="top"/>
    </xf>
    <xf numFmtId="0" fontId="14" fillId="0" borderId="0" xfId="34" applyFont="1" applyAlignment="1">
      <alignment vertical="top"/>
    </xf>
    <xf numFmtId="3" fontId="14" fillId="0" borderId="0" xfId="34" applyNumberFormat="1" applyFont="1" applyAlignment="1">
      <alignment horizontal="right" vertical="top"/>
    </xf>
    <xf numFmtId="1" fontId="14" fillId="0" borderId="0" xfId="34" applyNumberFormat="1" applyFont="1" applyAlignment="1">
      <alignment horizontal="left" vertical="top"/>
    </xf>
    <xf numFmtId="0" fontId="14" fillId="0" borderId="0" xfId="34" applyFont="1" applyAlignment="1">
      <alignment horizontal="left" vertical="center"/>
    </xf>
    <xf numFmtId="0" fontId="14" fillId="0" borderId="0" xfId="34" applyFont="1" applyAlignment="1" applyProtection="1">
      <alignment horizontal="left" vertical="center" wrapText="1"/>
      <protection hidden="1"/>
    </xf>
    <xf numFmtId="0" fontId="22" fillId="0" borderId="0" xfId="34" applyFont="1" applyProtection="1">
      <protection hidden="1"/>
    </xf>
    <xf numFmtId="3" fontId="34" fillId="10" borderId="22" xfId="34" applyNumberFormat="1" applyFont="1" applyFill="1" applyBorder="1" applyAlignment="1">
      <alignment horizontal="center" vertical="center" wrapText="1"/>
    </xf>
    <xf numFmtId="3" fontId="34" fillId="10" borderId="23" xfId="34" applyNumberFormat="1" applyFont="1" applyFill="1" applyBorder="1" applyAlignment="1">
      <alignment horizontal="center" vertical="center" wrapText="1"/>
    </xf>
    <xf numFmtId="0" fontId="14" fillId="0" borderId="0" xfId="34" applyFont="1" applyProtection="1">
      <protection hidden="1"/>
    </xf>
    <xf numFmtId="0" fontId="21" fillId="0" borderId="0" xfId="34" applyAlignment="1" applyProtection="1">
      <alignment horizontal="center"/>
      <protection hidden="1"/>
    </xf>
    <xf numFmtId="0" fontId="21" fillId="0" borderId="0" xfId="34" applyAlignment="1" applyProtection="1">
      <alignment horizontal="left"/>
      <protection hidden="1"/>
    </xf>
    <xf numFmtId="3" fontId="21" fillId="0" borderId="0" xfId="34" applyNumberFormat="1" applyAlignment="1" applyProtection="1">
      <alignment horizontal="right"/>
      <protection hidden="1"/>
    </xf>
    <xf numFmtId="1" fontId="21" fillId="0" borderId="0" xfId="34" applyNumberFormat="1" applyAlignment="1" applyProtection="1">
      <alignment horizontal="left"/>
      <protection hidden="1"/>
    </xf>
    <xf numFmtId="0" fontId="21" fillId="0" borderId="0" xfId="34" applyAlignment="1" applyProtection="1">
      <alignment horizontal="left" vertical="center"/>
      <protection hidden="1"/>
    </xf>
    <xf numFmtId="0" fontId="8" fillId="0" borderId="0" xfId="33" applyFont="1" applyAlignment="1">
      <alignment horizontal="left" vertical="center"/>
    </xf>
    <xf numFmtId="3" fontId="8" fillId="0" borderId="43" xfId="33" applyNumberFormat="1" applyFont="1" applyBorder="1" applyAlignment="1">
      <alignment horizontal="left" vertical="center"/>
    </xf>
    <xf numFmtId="3" fontId="8" fillId="0" borderId="25" xfId="33" applyNumberFormat="1" applyFont="1" applyBorder="1" applyAlignment="1">
      <alignment horizontal="right" vertical="center"/>
    </xf>
    <xf numFmtId="3" fontId="8" fillId="0" borderId="0" xfId="34" applyNumberFormat="1" applyFont="1" applyAlignment="1" applyProtection="1">
      <alignment horizontal="right"/>
      <protection hidden="1"/>
    </xf>
    <xf numFmtId="0" fontId="8" fillId="0" borderId="35" xfId="0" applyFont="1" applyBorder="1" applyAlignment="1">
      <alignment horizontal="center"/>
    </xf>
    <xf numFmtId="0" fontId="8" fillId="0" borderId="25" xfId="0" applyFont="1" applyBorder="1" applyAlignment="1">
      <alignment horizontal="center"/>
    </xf>
    <xf numFmtId="0" fontId="8" fillId="0" borderId="25" xfId="33" applyFont="1" applyBorder="1" applyAlignment="1">
      <alignment horizontal="left" vertical="center"/>
    </xf>
    <xf numFmtId="1" fontId="8" fillId="0" borderId="25" xfId="33" applyNumberFormat="1" applyFont="1" applyBorder="1" applyAlignment="1">
      <alignment horizontal="left" vertical="center"/>
    </xf>
    <xf numFmtId="3" fontId="8" fillId="0" borderId="25" xfId="33" applyNumberFormat="1" applyFont="1" applyBorder="1" applyAlignment="1">
      <alignment horizontal="left" vertical="center"/>
    </xf>
    <xf numFmtId="3" fontId="8" fillId="0" borderId="25" xfId="33" applyNumberFormat="1" applyFont="1" applyBorder="1" applyAlignment="1">
      <alignment horizontal="center" vertical="center"/>
    </xf>
    <xf numFmtId="49" fontId="8" fillId="0" borderId="25" xfId="2" applyFont="1" applyBorder="1" applyAlignment="1">
      <alignment horizontal="center" vertical="center"/>
    </xf>
    <xf numFmtId="0" fontId="8" fillId="0" borderId="25" xfId="2" applyNumberFormat="1" applyFont="1" applyBorder="1" applyAlignment="1">
      <alignment horizontal="center" vertical="center"/>
    </xf>
    <xf numFmtId="0" fontId="8" fillId="0" borderId="25" xfId="0" applyFont="1" applyBorder="1" applyAlignment="1" applyProtection="1">
      <alignment horizontal="center"/>
      <protection locked="0"/>
    </xf>
    <xf numFmtId="0" fontId="8" fillId="0" borderId="25" xfId="0" applyFont="1" applyBorder="1" applyAlignment="1">
      <alignment vertical="center" wrapText="1"/>
    </xf>
    <xf numFmtId="0" fontId="8" fillId="0" borderId="25" xfId="0" applyFont="1" applyBorder="1" applyAlignment="1">
      <alignment horizontal="center" vertical="center" wrapText="1"/>
    </xf>
    <xf numFmtId="3" fontId="8" fillId="0" borderId="25" xfId="2" applyNumberFormat="1" applyFont="1" applyBorder="1" applyAlignment="1" applyProtection="1">
      <alignment horizontal="right" vertical="center"/>
      <protection locked="0"/>
    </xf>
    <xf numFmtId="49" fontId="8" fillId="0" borderId="25" xfId="2" applyFont="1" applyBorder="1" applyAlignment="1" applyProtection="1">
      <alignment horizontal="center" vertical="center"/>
      <protection locked="0"/>
    </xf>
    <xf numFmtId="0" fontId="8" fillId="0" borderId="25" xfId="0" applyFont="1" applyBorder="1" applyAlignment="1">
      <alignment horizontal="left"/>
    </xf>
    <xf numFmtId="0" fontId="8" fillId="0" borderId="25" xfId="0" applyFont="1" applyBorder="1" applyAlignment="1" applyProtection="1">
      <alignment horizontal="center" vertical="center" wrapText="1"/>
      <protection locked="0"/>
    </xf>
    <xf numFmtId="0" fontId="8" fillId="0" borderId="36" xfId="0" applyFont="1" applyBorder="1" applyAlignment="1">
      <alignment horizontal="left"/>
    </xf>
    <xf numFmtId="3" fontId="8" fillId="0" borderId="0" xfId="33" applyNumberFormat="1" applyFont="1" applyAlignment="1">
      <alignment horizontal="center" vertical="center"/>
    </xf>
    <xf numFmtId="49" fontId="8" fillId="0" borderId="0" xfId="2" applyFont="1" applyAlignment="1">
      <alignment horizontal="center" vertical="center"/>
    </xf>
    <xf numFmtId="0" fontId="8" fillId="0" borderId="0" xfId="2" applyNumberFormat="1" applyFont="1" applyAlignment="1">
      <alignment horizontal="center" vertical="center"/>
    </xf>
    <xf numFmtId="0" fontId="8" fillId="0" borderId="25" xfId="0" applyFont="1" applyBorder="1" applyAlignment="1" applyProtection="1">
      <alignment horizontal="center"/>
      <protection hidden="1"/>
    </xf>
    <xf numFmtId="0" fontId="37" fillId="0" borderId="36" xfId="5" applyFont="1" applyBorder="1" applyAlignment="1">
      <alignment horizontal="left"/>
    </xf>
    <xf numFmtId="0" fontId="8" fillId="0" borderId="25" xfId="34" applyFont="1" applyBorder="1" applyAlignment="1" applyProtection="1">
      <alignment horizontal="center"/>
      <protection hidden="1"/>
    </xf>
    <xf numFmtId="0" fontId="8" fillId="0" borderId="0" xfId="0" applyFont="1" applyProtection="1">
      <protection hidden="1"/>
    </xf>
    <xf numFmtId="0" fontId="8" fillId="0" borderId="0" xfId="0" applyFont="1" applyAlignment="1" applyProtection="1">
      <alignment horizontal="center" vertical="center" wrapText="1"/>
      <protection locked="0"/>
    </xf>
    <xf numFmtId="0" fontId="8" fillId="0" borderId="25" xfId="0" applyFont="1" applyBorder="1" applyAlignment="1" applyProtection="1">
      <alignment horizontal="left" vertical="center" wrapText="1"/>
      <protection locked="0"/>
    </xf>
    <xf numFmtId="3" fontId="8" fillId="0" borderId="25" xfId="0" applyNumberFormat="1" applyFont="1" applyBorder="1" applyAlignment="1" applyProtection="1">
      <alignment horizontal="right" vertical="center" wrapText="1"/>
      <protection locked="0"/>
    </xf>
    <xf numFmtId="0" fontId="38" fillId="0" borderId="36" xfId="0" applyFont="1" applyBorder="1" applyAlignment="1" applyProtection="1">
      <alignment horizontal="left" vertical="center" wrapText="1"/>
      <protection locked="0"/>
    </xf>
    <xf numFmtId="0" fontId="8" fillId="0" borderId="0" xfId="0" applyFont="1" applyAlignment="1" applyProtection="1">
      <alignment horizontal="center"/>
      <protection hidden="1"/>
    </xf>
    <xf numFmtId="171" fontId="8" fillId="0" borderId="25" xfId="0" applyNumberFormat="1"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174" fontId="8" fillId="0" borderId="25" xfId="0" applyNumberFormat="1" applyFont="1" applyBorder="1" applyAlignment="1" applyProtection="1">
      <alignment horizontal="center" vertical="center"/>
      <protection locked="0"/>
    </xf>
    <xf numFmtId="0" fontId="3" fillId="0" borderId="43" xfId="0" applyFont="1" applyBorder="1" applyAlignment="1">
      <alignment horizontal="left" vertical="center"/>
    </xf>
    <xf numFmtId="0" fontId="8" fillId="0" borderId="25" xfId="0" applyFont="1" applyBorder="1" applyAlignment="1">
      <alignment horizontal="center" vertical="center"/>
    </xf>
    <xf numFmtId="1" fontId="8" fillId="0" borderId="25" xfId="0" applyNumberFormat="1" applyFont="1" applyBorder="1" applyAlignment="1" applyProtection="1">
      <alignment horizontal="left" vertical="center"/>
      <protection hidden="1"/>
    </xf>
    <xf numFmtId="1" fontId="8" fillId="0" borderId="25" xfId="0" applyNumberFormat="1" applyFont="1" applyBorder="1" applyAlignment="1" applyProtection="1">
      <alignment horizontal="center" vertical="center"/>
      <protection hidden="1"/>
    </xf>
    <xf numFmtId="1" fontId="8" fillId="0" borderId="25" xfId="0" applyNumberFormat="1" applyFont="1" applyBorder="1" applyAlignment="1" applyProtection="1">
      <alignment horizontal="center" vertical="center"/>
      <protection locked="0"/>
    </xf>
    <xf numFmtId="0" fontId="8" fillId="0" borderId="25" xfId="0" applyFont="1" applyBorder="1" applyAlignment="1" applyProtection="1">
      <alignment horizontal="center" vertical="center"/>
      <protection hidden="1"/>
    </xf>
    <xf numFmtId="0" fontId="8" fillId="0" borderId="25" xfId="0" applyFont="1" applyBorder="1" applyAlignment="1" applyProtection="1">
      <alignment horizontal="left" vertical="center"/>
      <protection hidden="1"/>
    </xf>
    <xf numFmtId="0" fontId="8" fillId="0" borderId="25" xfId="0" applyFont="1" applyBorder="1" applyAlignment="1">
      <alignment horizontal="left" vertical="center"/>
    </xf>
    <xf numFmtId="0" fontId="37" fillId="0" borderId="36" xfId="5" applyFont="1" applyFill="1" applyBorder="1" applyAlignment="1">
      <alignment horizontal="left" vertical="center"/>
    </xf>
    <xf numFmtId="3" fontId="8" fillId="13" borderId="25" xfId="2" applyNumberFormat="1" applyFont="1" applyFill="1" applyBorder="1" applyAlignment="1" applyProtection="1">
      <alignment horizontal="right" vertical="center"/>
      <protection locked="0"/>
    </xf>
    <xf numFmtId="0" fontId="8" fillId="0" borderId="37" xfId="0" applyFont="1" applyBorder="1" applyAlignment="1">
      <alignment horizontal="center"/>
    </xf>
    <xf numFmtId="0" fontId="8" fillId="0" borderId="38" xfId="0" applyFont="1" applyBorder="1" applyAlignment="1">
      <alignment horizontal="center"/>
    </xf>
    <xf numFmtId="0" fontId="8" fillId="0" borderId="38" xfId="33" applyFont="1" applyBorder="1" applyAlignment="1">
      <alignment horizontal="left" vertical="center"/>
    </xf>
    <xf numFmtId="3" fontId="8" fillId="0" borderId="38" xfId="33" applyNumberFormat="1" applyFont="1" applyBorder="1" applyAlignment="1">
      <alignment horizontal="right" vertical="center"/>
    </xf>
    <xf numFmtId="1" fontId="8" fillId="0" borderId="15" xfId="33" applyNumberFormat="1" applyFont="1" applyBorder="1" applyAlignment="1">
      <alignment horizontal="left" vertical="center"/>
    </xf>
    <xf numFmtId="3" fontId="8" fillId="0" borderId="15" xfId="33" applyNumberFormat="1" applyFont="1" applyBorder="1" applyAlignment="1">
      <alignment horizontal="left" vertical="center"/>
    </xf>
    <xf numFmtId="0" fontId="8" fillId="0" borderId="15" xfId="0" applyFont="1" applyBorder="1" applyAlignment="1" applyProtection="1">
      <alignment horizontal="center"/>
      <protection hidden="1"/>
    </xf>
    <xf numFmtId="0" fontId="8" fillId="0" borderId="15" xfId="0" applyFont="1" applyBorder="1" applyAlignment="1">
      <alignment horizontal="center"/>
    </xf>
    <xf numFmtId="0" fontId="8" fillId="0" borderId="15" xfId="0" applyFont="1" applyBorder="1" applyAlignment="1" applyProtection="1">
      <alignment horizontal="center"/>
      <protection locked="0"/>
    </xf>
    <xf numFmtId="0" fontId="8" fillId="0" borderId="38" xfId="0" applyFont="1" applyBorder="1" applyAlignment="1">
      <alignment horizontal="center" vertical="center" wrapText="1"/>
    </xf>
    <xf numFmtId="49" fontId="8" fillId="0" borderId="38" xfId="2" applyFont="1" applyBorder="1" applyAlignment="1" applyProtection="1">
      <alignment horizontal="center" vertical="center"/>
      <protection locked="0"/>
    </xf>
    <xf numFmtId="0" fontId="8" fillId="0" borderId="38" xfId="0" applyFont="1" applyBorder="1" applyAlignment="1" applyProtection="1">
      <alignment horizontal="center"/>
      <protection locked="0"/>
    </xf>
    <xf numFmtId="0" fontId="8" fillId="0" borderId="38" xfId="0" applyFont="1" applyBorder="1"/>
    <xf numFmtId="0" fontId="8" fillId="0" borderId="38" xfId="0" applyFont="1" applyBorder="1" applyAlignment="1">
      <alignment horizontal="left"/>
    </xf>
    <xf numFmtId="0" fontId="8" fillId="0" borderId="39" xfId="0" applyFont="1" applyBorder="1" applyAlignment="1">
      <alignment horizontal="left"/>
    </xf>
    <xf numFmtId="1" fontId="8" fillId="0" borderId="25" xfId="33" applyNumberFormat="1" applyFont="1" applyBorder="1" applyAlignment="1">
      <alignment horizontal="left" vertical="center" wrapText="1"/>
    </xf>
    <xf numFmtId="3" fontId="8" fillId="0" borderId="25" xfId="33" applyNumberFormat="1" applyFont="1" applyBorder="1" applyAlignment="1">
      <alignment horizontal="left" vertical="center" wrapText="1"/>
    </xf>
    <xf numFmtId="0" fontId="8" fillId="0" borderId="0" xfId="34" applyFont="1" applyAlignment="1" applyProtection="1">
      <alignment horizontal="left"/>
      <protection hidden="1"/>
    </xf>
    <xf numFmtId="0" fontId="37" fillId="0" borderId="25" xfId="5" applyFont="1" applyBorder="1" applyAlignment="1">
      <alignment horizontal="left"/>
    </xf>
    <xf numFmtId="171" fontId="8" fillId="0" borderId="25" xfId="0" applyNumberFormat="1" applyFont="1" applyBorder="1" applyAlignment="1" applyProtection="1">
      <alignment horizontal="center" vertical="center" wrapText="1"/>
      <protection locked="0"/>
    </xf>
    <xf numFmtId="0" fontId="8" fillId="0" borderId="25" xfId="0" applyFont="1" applyBorder="1" applyAlignment="1" applyProtection="1">
      <alignment horizontal="justify" vertical="center" wrapText="1"/>
      <protection locked="0"/>
    </xf>
    <xf numFmtId="1" fontId="8" fillId="0" borderId="25" xfId="0" applyNumberFormat="1" applyFont="1" applyBorder="1" applyAlignment="1" applyProtection="1">
      <alignment horizontal="center" vertical="center" wrapText="1"/>
      <protection hidden="1"/>
    </xf>
    <xf numFmtId="1" fontId="8" fillId="0" borderId="25" xfId="0" applyNumberFormat="1" applyFont="1" applyBorder="1" applyAlignment="1" applyProtection="1">
      <alignment horizontal="center" vertical="center" wrapText="1"/>
      <protection locked="0"/>
    </xf>
    <xf numFmtId="0" fontId="38" fillId="0" borderId="25" xfId="0" applyFont="1" applyBorder="1" applyAlignment="1" applyProtection="1">
      <alignment horizontal="left" vertical="center" wrapText="1"/>
      <protection locked="0"/>
    </xf>
    <xf numFmtId="0" fontId="8" fillId="0" borderId="0" xfId="0" applyFont="1" applyAlignment="1" applyProtection="1">
      <alignment wrapText="1"/>
      <protection hidden="1"/>
    </xf>
    <xf numFmtId="0" fontId="8" fillId="14" borderId="25" xfId="0" applyFont="1" applyFill="1" applyBorder="1" applyAlignment="1" applyProtection="1">
      <alignment horizontal="center"/>
      <protection locked="0"/>
    </xf>
    <xf numFmtId="0" fontId="8" fillId="14" borderId="25" xfId="0" applyFont="1" applyFill="1" applyBorder="1" applyAlignment="1">
      <alignment vertical="center" wrapText="1"/>
    </xf>
    <xf numFmtId="0" fontId="8" fillId="0" borderId="41" xfId="0" applyFont="1" applyBorder="1"/>
    <xf numFmtId="0" fontId="8" fillId="0" borderId="25" xfId="0" applyFont="1" applyBorder="1" applyProtection="1">
      <protection hidden="1"/>
    </xf>
    <xf numFmtId="0" fontId="37" fillId="0" borderId="36" xfId="5" applyFont="1" applyFill="1" applyBorder="1" applyAlignment="1">
      <alignment horizontal="left"/>
    </xf>
    <xf numFmtId="3" fontId="36" fillId="14" borderId="25" xfId="33" applyNumberFormat="1" applyFont="1" applyFill="1" applyBorder="1" applyAlignment="1">
      <alignment horizontal="right" vertical="center"/>
    </xf>
    <xf numFmtId="1" fontId="36" fillId="14" borderId="25" xfId="33" applyNumberFormat="1" applyFont="1" applyFill="1" applyBorder="1" applyAlignment="1">
      <alignment horizontal="left" vertical="center"/>
    </xf>
    <xf numFmtId="3" fontId="36" fillId="14" borderId="25" xfId="33" applyNumberFormat="1" applyFont="1" applyFill="1" applyBorder="1" applyAlignment="1">
      <alignment horizontal="left" vertical="center"/>
    </xf>
    <xf numFmtId="3" fontId="36" fillId="14" borderId="25" xfId="33" applyNumberFormat="1" applyFont="1" applyFill="1" applyBorder="1" applyAlignment="1">
      <alignment horizontal="center" vertical="center"/>
    </xf>
    <xf numFmtId="49" fontId="36" fillId="14" borderId="25" xfId="2" applyFont="1" applyFill="1" applyBorder="1" applyAlignment="1">
      <alignment horizontal="center" vertical="center"/>
    </xf>
    <xf numFmtId="0" fontId="36" fillId="14" borderId="43" xfId="0" applyFont="1" applyFill="1" applyBorder="1" applyAlignment="1" applyProtection="1">
      <alignment wrapText="1"/>
      <protection locked="0"/>
    </xf>
    <xf numFmtId="3" fontId="36" fillId="14" borderId="0" xfId="33" applyNumberFormat="1" applyFont="1" applyFill="1" applyAlignment="1">
      <alignment horizontal="center" vertical="center"/>
    </xf>
    <xf numFmtId="49" fontId="36" fillId="14" borderId="0" xfId="2" applyFont="1" applyFill="1" applyAlignment="1">
      <alignment horizontal="center" vertical="center"/>
    </xf>
    <xf numFmtId="0" fontId="36" fillId="14" borderId="0" xfId="2" applyNumberFormat="1" applyFont="1" applyFill="1" applyAlignment="1">
      <alignment horizontal="center" vertical="center"/>
    </xf>
    <xf numFmtId="0" fontId="36" fillId="14" borderId="25" xfId="0" applyFont="1" applyFill="1" applyBorder="1" applyAlignment="1" applyProtection="1">
      <alignment horizontal="center"/>
      <protection hidden="1"/>
    </xf>
    <xf numFmtId="0" fontId="36" fillId="14" borderId="25" xfId="0" applyFont="1" applyFill="1" applyBorder="1" applyAlignment="1" applyProtection="1">
      <alignment horizontal="center"/>
      <protection locked="0"/>
    </xf>
    <xf numFmtId="0" fontId="36" fillId="14" borderId="25" xfId="0" applyFont="1" applyFill="1" applyBorder="1" applyAlignment="1">
      <alignment vertical="center" wrapText="1"/>
    </xf>
    <xf numFmtId="0" fontId="36" fillId="14" borderId="25" xfId="0" applyFont="1" applyFill="1" applyBorder="1" applyAlignment="1" applyProtection="1">
      <alignment horizontal="center" vertical="center" wrapText="1"/>
      <protection locked="0"/>
    </xf>
    <xf numFmtId="0" fontId="36" fillId="14" borderId="25" xfId="33" applyFont="1" applyFill="1" applyBorder="1" applyAlignment="1">
      <alignment horizontal="left" vertical="center"/>
    </xf>
    <xf numFmtId="0" fontId="36" fillId="14" borderId="35" xfId="0" applyFont="1" applyFill="1" applyBorder="1" applyAlignment="1">
      <alignment horizontal="center"/>
    </xf>
    <xf numFmtId="0" fontId="36" fillId="14" borderId="25" xfId="0" applyFont="1" applyFill="1" applyBorder="1" applyAlignment="1">
      <alignment horizontal="center"/>
    </xf>
    <xf numFmtId="0" fontId="36" fillId="14" borderId="25" xfId="0" applyFont="1" applyFill="1" applyBorder="1" applyAlignment="1" applyProtection="1">
      <alignment horizontal="left" vertical="center" wrapText="1"/>
      <protection locked="0"/>
    </xf>
    <xf numFmtId="0" fontId="36" fillId="14" borderId="25" xfId="0" applyFont="1" applyFill="1" applyBorder="1" applyAlignment="1">
      <alignment horizontal="center" vertical="center" wrapText="1"/>
    </xf>
    <xf numFmtId="3" fontId="36" fillId="14" borderId="25" xfId="2" applyNumberFormat="1" applyFont="1" applyFill="1" applyBorder="1" applyAlignment="1" applyProtection="1">
      <alignment horizontal="right" vertical="center"/>
      <protection locked="0"/>
    </xf>
    <xf numFmtId="49" fontId="36" fillId="14" borderId="25" xfId="2" applyFont="1" applyFill="1" applyBorder="1" applyAlignment="1" applyProtection="1">
      <alignment horizontal="center" vertical="center"/>
      <protection locked="0"/>
    </xf>
    <xf numFmtId="0" fontId="36" fillId="14" borderId="25" xfId="0" applyFont="1" applyFill="1" applyBorder="1"/>
    <xf numFmtId="0" fontId="36" fillId="14" borderId="0" xfId="0" applyFont="1" applyFill="1"/>
    <xf numFmtId="0" fontId="8" fillId="4" borderId="43" xfId="0" applyFont="1" applyFill="1" applyBorder="1" applyAlignment="1" applyProtection="1">
      <alignment horizontal="center" vertical="center" wrapText="1"/>
      <protection locked="0"/>
    </xf>
    <xf numFmtId="0" fontId="40" fillId="4" borderId="43" xfId="0" applyFont="1" applyFill="1" applyBorder="1" applyAlignment="1" applyProtection="1">
      <alignment wrapText="1"/>
      <protection locked="0"/>
    </xf>
    <xf numFmtId="0" fontId="13" fillId="0" borderId="43" xfId="33" applyFont="1" applyBorder="1" applyAlignment="1">
      <alignment horizontal="left" vertical="center"/>
    </xf>
    <xf numFmtId="0" fontId="36" fillId="14" borderId="0" xfId="0" applyFont="1" applyFill="1" applyAlignment="1" applyProtection="1">
      <alignment horizontal="center"/>
      <protection hidden="1"/>
    </xf>
    <xf numFmtId="0" fontId="36" fillId="14" borderId="25" xfId="0" applyFont="1" applyFill="1" applyBorder="1" applyAlignment="1">
      <alignment horizontal="left"/>
    </xf>
    <xf numFmtId="0" fontId="36" fillId="14" borderId="25" xfId="2" applyNumberFormat="1" applyFont="1" applyFill="1" applyBorder="1" applyAlignment="1">
      <alignment horizontal="center" vertical="center"/>
    </xf>
    <xf numFmtId="0" fontId="36" fillId="14" borderId="36" xfId="0" applyFont="1" applyFill="1" applyBorder="1" applyAlignment="1">
      <alignment horizontal="left"/>
    </xf>
    <xf numFmtId="0" fontId="41" fillId="14" borderId="36" xfId="5" applyFont="1" applyFill="1" applyBorder="1" applyAlignment="1">
      <alignment horizontal="left"/>
    </xf>
    <xf numFmtId="0" fontId="6" fillId="0" borderId="36" xfId="5" applyBorder="1" applyAlignment="1">
      <alignment horizontal="left"/>
    </xf>
    <xf numFmtId="0" fontId="8" fillId="0" borderId="40" xfId="0" applyFont="1" applyBorder="1" applyAlignment="1">
      <alignment horizontal="center"/>
    </xf>
    <xf numFmtId="0" fontId="8" fillId="0" borderId="40" xfId="33" applyFont="1" applyBorder="1" applyAlignment="1">
      <alignment horizontal="left" vertical="center"/>
    </xf>
    <xf numFmtId="3" fontId="8" fillId="0" borderId="40" xfId="33" applyNumberFormat="1" applyFont="1" applyBorder="1" applyAlignment="1">
      <alignment horizontal="right" vertical="center"/>
    </xf>
    <xf numFmtId="1" fontId="8" fillId="0" borderId="40" xfId="33" applyNumberFormat="1" applyFont="1" applyBorder="1" applyAlignment="1">
      <alignment horizontal="left" vertical="center"/>
    </xf>
    <xf numFmtId="3" fontId="8" fillId="0" borderId="40" xfId="33" applyNumberFormat="1" applyFont="1" applyBorder="1" applyAlignment="1">
      <alignment horizontal="left" vertical="center"/>
    </xf>
    <xf numFmtId="0" fontId="8" fillId="0" borderId="40" xfId="0" applyFont="1" applyBorder="1" applyAlignment="1" applyProtection="1">
      <alignment horizontal="center"/>
      <protection hidden="1"/>
    </xf>
    <xf numFmtId="0" fontId="8" fillId="0" borderId="43" xfId="0" applyFont="1" applyBorder="1" applyAlignment="1">
      <alignment horizontal="center"/>
    </xf>
    <xf numFmtId="0" fontId="8" fillId="0" borderId="43" xfId="0" applyFont="1" applyBorder="1" applyAlignment="1" applyProtection="1">
      <alignment horizontal="center"/>
      <protection locked="0"/>
    </xf>
    <xf numFmtId="0" fontId="8" fillId="0" borderId="43" xfId="0" applyFont="1" applyBorder="1" applyAlignment="1">
      <alignment vertical="center" wrapText="1"/>
    </xf>
    <xf numFmtId="0" fontId="8" fillId="0" borderId="40" xfId="0" applyFont="1" applyBorder="1" applyAlignment="1">
      <alignment horizontal="center" vertical="center" wrapText="1"/>
    </xf>
    <xf numFmtId="3" fontId="8" fillId="0" borderId="43" xfId="2" applyNumberFormat="1" applyFont="1" applyBorder="1" applyAlignment="1" applyProtection="1">
      <alignment horizontal="right" vertical="center"/>
      <protection locked="0"/>
    </xf>
    <xf numFmtId="49" fontId="8" fillId="0" borderId="40" xfId="2" applyFont="1" applyBorder="1" applyAlignment="1" applyProtection="1">
      <alignment horizontal="center" vertical="center"/>
      <protection locked="0"/>
    </xf>
    <xf numFmtId="0" fontId="8" fillId="0" borderId="40" xfId="0" applyFont="1" applyBorder="1" applyAlignment="1" applyProtection="1">
      <alignment horizontal="center"/>
      <protection locked="0"/>
    </xf>
    <xf numFmtId="0" fontId="8" fillId="0" borderId="43" xfId="0" applyFont="1" applyBorder="1"/>
    <xf numFmtId="0" fontId="8" fillId="0" borderId="40" xfId="0" applyFont="1" applyBorder="1"/>
    <xf numFmtId="0" fontId="8" fillId="0" borderId="40" xfId="0" applyFont="1" applyBorder="1" applyAlignment="1">
      <alignment horizontal="left"/>
    </xf>
    <xf numFmtId="0" fontId="8" fillId="0" borderId="43" xfId="0" applyFont="1" applyBorder="1" applyAlignment="1" applyProtection="1">
      <alignment horizontal="center" vertical="center" wrapText="1"/>
      <protection locked="0"/>
    </xf>
    <xf numFmtId="0" fontId="8" fillId="0" borderId="44" xfId="0" applyFont="1" applyBorder="1" applyAlignment="1">
      <alignment horizontal="center"/>
    </xf>
    <xf numFmtId="0" fontId="8" fillId="0" borderId="40" xfId="0" applyFont="1" applyBorder="1" applyAlignment="1">
      <alignment vertical="center" wrapText="1"/>
    </xf>
    <xf numFmtId="3" fontId="8" fillId="0" borderId="40" xfId="2" applyNumberFormat="1" applyFont="1" applyBorder="1" applyAlignment="1" applyProtection="1">
      <alignment horizontal="right" vertical="center"/>
      <protection locked="0"/>
    </xf>
    <xf numFmtId="0" fontId="8" fillId="0" borderId="40" xfId="0" applyFont="1" applyBorder="1" applyAlignment="1" applyProtection="1">
      <alignment horizontal="center" vertical="center" wrapText="1"/>
      <protection locked="0"/>
    </xf>
    <xf numFmtId="0" fontId="8" fillId="0" borderId="45" xfId="0" applyFont="1" applyBorder="1" applyAlignment="1">
      <alignment horizontal="left"/>
    </xf>
    <xf numFmtId="0" fontId="8" fillId="0" borderId="15" xfId="33" applyFont="1" applyBorder="1" applyAlignment="1">
      <alignment horizontal="left" vertical="center"/>
    </xf>
    <xf numFmtId="3" fontId="8" fillId="0" borderId="15" xfId="33" applyNumberFormat="1" applyFont="1" applyBorder="1" applyAlignment="1">
      <alignment horizontal="right" vertical="center"/>
    </xf>
    <xf numFmtId="3" fontId="8" fillId="0" borderId="15" xfId="33" applyNumberFormat="1" applyFont="1" applyBorder="1" applyAlignment="1">
      <alignment horizontal="left" vertical="center" wrapText="1"/>
    </xf>
    <xf numFmtId="0" fontId="8" fillId="0" borderId="15" xfId="0" applyFont="1" applyBorder="1" applyAlignment="1">
      <alignment vertical="center" wrapText="1"/>
    </xf>
    <xf numFmtId="0" fontId="8" fillId="0" borderId="15" xfId="0" applyFont="1" applyBorder="1" applyAlignment="1">
      <alignment horizontal="center" vertical="center" wrapText="1"/>
    </xf>
    <xf numFmtId="3" fontId="8" fillId="0" borderId="15" xfId="2" applyNumberFormat="1" applyFont="1" applyBorder="1" applyAlignment="1" applyProtection="1">
      <alignment horizontal="right" vertical="center"/>
      <protection locked="0"/>
    </xf>
    <xf numFmtId="49" fontId="8" fillId="0" borderId="15" xfId="2" applyFont="1" applyBorder="1" applyAlignment="1" applyProtection="1">
      <alignment horizontal="center" vertical="center"/>
      <protection locked="0"/>
    </xf>
    <xf numFmtId="0" fontId="8" fillId="0" borderId="15" xfId="0" applyFont="1" applyBorder="1" applyAlignment="1">
      <alignment horizontal="left"/>
    </xf>
    <xf numFmtId="0" fontId="8" fillId="0" borderId="43" xfId="33" applyFont="1" applyBorder="1" applyAlignment="1">
      <alignment horizontal="left" vertical="center"/>
    </xf>
    <xf numFmtId="3" fontId="8" fillId="0" borderId="43" xfId="33" applyNumberFormat="1" applyFont="1" applyBorder="1" applyAlignment="1">
      <alignment horizontal="right" vertical="center"/>
    </xf>
    <xf numFmtId="1" fontId="8" fillId="0" borderId="43" xfId="33" applyNumberFormat="1" applyFont="1" applyBorder="1" applyAlignment="1">
      <alignment horizontal="left" vertical="center"/>
    </xf>
    <xf numFmtId="0" fontId="8" fillId="0" borderId="43" xfId="0" applyFont="1" applyBorder="1" applyAlignment="1" applyProtection="1">
      <alignment horizontal="center"/>
      <protection hidden="1"/>
    </xf>
    <xf numFmtId="0" fontId="8" fillId="0" borderId="43" xfId="0" applyFont="1" applyBorder="1" applyAlignment="1">
      <alignment horizontal="center" vertical="center" wrapText="1"/>
    </xf>
    <xf numFmtId="49" fontId="8" fillId="0" borderId="43" xfId="2" applyFont="1" applyBorder="1" applyAlignment="1" applyProtection="1">
      <alignment horizontal="center" vertical="center"/>
      <protection locked="0"/>
    </xf>
    <xf numFmtId="0" fontId="8" fillId="0" borderId="43" xfId="0" applyFont="1" applyBorder="1" applyAlignment="1">
      <alignment horizontal="left"/>
    </xf>
    <xf numFmtId="0" fontId="13" fillId="0" borderId="43" xfId="0" applyFont="1" applyBorder="1" applyAlignment="1">
      <alignment horizontal="left" vertical="center" wrapText="1"/>
    </xf>
    <xf numFmtId="0" fontId="36" fillId="14" borderId="43" xfId="0" applyFont="1" applyFill="1" applyBorder="1" applyAlignment="1">
      <alignment horizontal="center"/>
    </xf>
    <xf numFmtId="0" fontId="36" fillId="14" borderId="43" xfId="33" applyFont="1" applyFill="1" applyBorder="1" applyAlignment="1">
      <alignment horizontal="left" vertical="center"/>
    </xf>
    <xf numFmtId="3" fontId="36" fillId="14" borderId="43" xfId="33" applyNumberFormat="1" applyFont="1" applyFill="1" applyBorder="1" applyAlignment="1">
      <alignment horizontal="right" vertical="center"/>
    </xf>
    <xf numFmtId="1" fontId="36" fillId="14" borderId="43" xfId="33" applyNumberFormat="1" applyFont="1" applyFill="1" applyBorder="1" applyAlignment="1">
      <alignment horizontal="left" vertical="center"/>
    </xf>
    <xf numFmtId="3" fontId="36" fillId="14" borderId="43" xfId="33" applyNumberFormat="1" applyFont="1" applyFill="1" applyBorder="1" applyAlignment="1">
      <alignment horizontal="left" vertical="center"/>
    </xf>
    <xf numFmtId="0" fontId="36" fillId="14" borderId="43" xfId="0" applyFont="1" applyFill="1" applyBorder="1" applyAlignment="1" applyProtection="1">
      <alignment horizontal="center"/>
      <protection hidden="1"/>
    </xf>
    <xf numFmtId="0" fontId="36" fillId="14" borderId="43" xfId="0" applyFont="1" applyFill="1" applyBorder="1" applyAlignment="1" applyProtection="1">
      <alignment horizontal="center"/>
      <protection locked="0"/>
    </xf>
    <xf numFmtId="0" fontId="36" fillId="14" borderId="43" xfId="0" applyFont="1" applyFill="1" applyBorder="1" applyAlignment="1">
      <alignment vertical="center" wrapText="1"/>
    </xf>
    <xf numFmtId="0" fontId="36" fillId="14" borderId="43" xfId="0" applyFont="1" applyFill="1" applyBorder="1" applyAlignment="1">
      <alignment horizontal="center" vertical="center" wrapText="1"/>
    </xf>
    <xf numFmtId="3" fontId="36" fillId="14" borderId="43" xfId="2" applyNumberFormat="1" applyFont="1" applyFill="1" applyBorder="1" applyAlignment="1" applyProtection="1">
      <alignment horizontal="right" vertical="center"/>
      <protection locked="0"/>
    </xf>
    <xf numFmtId="49" fontId="36" fillId="14" borderId="43" xfId="2" applyFont="1" applyFill="1" applyBorder="1" applyAlignment="1" applyProtection="1">
      <alignment horizontal="center" vertical="center"/>
      <protection locked="0"/>
    </xf>
    <xf numFmtId="0" fontId="36" fillId="14" borderId="43" xfId="0" applyFont="1" applyFill="1" applyBorder="1"/>
    <xf numFmtId="0" fontId="36" fillId="14" borderId="43" xfId="0" applyFont="1" applyFill="1" applyBorder="1" applyAlignment="1">
      <alignment horizontal="left"/>
    </xf>
    <xf numFmtId="0" fontId="36" fillId="14" borderId="43" xfId="0" applyFont="1" applyFill="1" applyBorder="1" applyAlignment="1" applyProtection="1">
      <alignment horizontal="center" vertical="center" wrapText="1"/>
      <protection locked="0"/>
    </xf>
    <xf numFmtId="0" fontId="36" fillId="14" borderId="40" xfId="0" applyFont="1" applyFill="1" applyBorder="1" applyAlignment="1" applyProtection="1">
      <alignment horizontal="center" vertical="center" wrapText="1"/>
      <protection locked="0"/>
    </xf>
    <xf numFmtId="3" fontId="36" fillId="13" borderId="25" xfId="33" applyNumberFormat="1" applyFont="1" applyFill="1" applyBorder="1" applyAlignment="1">
      <alignment horizontal="right" vertical="center"/>
    </xf>
    <xf numFmtId="3" fontId="21" fillId="0" borderId="0" xfId="34" applyNumberFormat="1" applyAlignment="1" applyProtection="1">
      <alignment horizontal="left" vertical="center"/>
      <protection hidden="1"/>
    </xf>
    <xf numFmtId="0" fontId="6" fillId="14" borderId="25" xfId="5" applyFill="1" applyBorder="1" applyAlignment="1">
      <alignment horizontal="left"/>
    </xf>
    <xf numFmtId="1" fontId="36" fillId="14" borderId="46" xfId="34" applyNumberFormat="1" applyFont="1" applyFill="1" applyBorder="1" applyAlignment="1" applyProtection="1">
      <alignment horizontal="left" vertical="center" wrapText="1"/>
      <protection hidden="1"/>
    </xf>
    <xf numFmtId="3" fontId="36" fillId="14" borderId="43" xfId="33" applyNumberFormat="1" applyFont="1" applyFill="1" applyBorder="1" applyAlignment="1">
      <alignment horizontal="left" vertical="center" wrapText="1"/>
    </xf>
    <xf numFmtId="3" fontId="36" fillId="13" borderId="43" xfId="33" applyNumberFormat="1" applyFont="1" applyFill="1" applyBorder="1" applyAlignment="1">
      <alignment horizontal="left" vertical="center"/>
    </xf>
    <xf numFmtId="3" fontId="36" fillId="14" borderId="25" xfId="2" applyNumberFormat="1" applyFont="1" applyFill="1" applyBorder="1" applyProtection="1">
      <alignment horizontal="left" vertical="center"/>
      <protection locked="0"/>
    </xf>
    <xf numFmtId="3" fontId="36" fillId="14" borderId="25" xfId="2" applyNumberFormat="1" applyFont="1" applyFill="1" applyBorder="1" applyAlignment="1" applyProtection="1">
      <alignment horizontal="center" vertical="center"/>
      <protection locked="0"/>
    </xf>
    <xf numFmtId="0" fontId="30" fillId="0" borderId="3" xfId="0" applyFont="1" applyBorder="1" applyAlignment="1">
      <alignment horizontal="center"/>
    </xf>
    <xf numFmtId="0" fontId="30" fillId="0" borderId="4" xfId="0" applyFont="1" applyBorder="1" applyAlignment="1">
      <alignment horizontal="center"/>
    </xf>
    <xf numFmtId="0" fontId="30" fillId="0" borderId="5" xfId="0" applyFont="1" applyBorder="1" applyAlignment="1">
      <alignment horizontal="center"/>
    </xf>
    <xf numFmtId="0" fontId="31" fillId="0" borderId="2" xfId="0" applyFont="1" applyBorder="1" applyAlignment="1">
      <alignment horizontal="center"/>
    </xf>
    <xf numFmtId="0" fontId="18" fillId="0" borderId="0" xfId="0" applyFont="1" applyAlignment="1">
      <alignment horizontal="center" wrapText="1"/>
    </xf>
    <xf numFmtId="0" fontId="18" fillId="0" borderId="8" xfId="0" applyFont="1" applyBorder="1" applyAlignment="1">
      <alignment horizontal="left" wrapText="1"/>
    </xf>
    <xf numFmtId="0" fontId="18" fillId="0" borderId="2" xfId="0" applyFont="1" applyBorder="1" applyAlignment="1">
      <alignment horizontal="left" wrapText="1"/>
    </xf>
    <xf numFmtId="0" fontId="18" fillId="0" borderId="9" xfId="0" applyFont="1" applyBorder="1" applyAlignment="1">
      <alignment horizontal="left" wrapText="1"/>
    </xf>
    <xf numFmtId="0" fontId="18" fillId="0" borderId="10" xfId="0" applyFont="1" applyBorder="1" applyAlignment="1">
      <alignment horizontal="left" wrapText="1"/>
    </xf>
    <xf numFmtId="0" fontId="18" fillId="0" borderId="0" xfId="0" applyFont="1" applyAlignment="1">
      <alignment horizontal="left" wrapText="1"/>
    </xf>
    <xf numFmtId="0" fontId="18" fillId="0" borderId="11" xfId="0" applyFont="1" applyBorder="1" applyAlignment="1">
      <alignment horizontal="left" wrapText="1"/>
    </xf>
    <xf numFmtId="0" fontId="18" fillId="0" borderId="12" xfId="0" applyFont="1" applyBorder="1" applyAlignment="1">
      <alignment horizontal="left" wrapText="1"/>
    </xf>
    <xf numFmtId="0" fontId="18" fillId="0" borderId="13" xfId="0" applyFont="1" applyBorder="1" applyAlignment="1">
      <alignment horizontal="left" wrapText="1"/>
    </xf>
    <xf numFmtId="0" fontId="18" fillId="0" borderId="14" xfId="0" applyFont="1" applyBorder="1" applyAlignment="1">
      <alignment horizontal="left" wrapText="1"/>
    </xf>
    <xf numFmtId="0" fontId="7" fillId="12" borderId="17" xfId="34" applyFont="1" applyFill="1" applyBorder="1" applyAlignment="1">
      <alignment horizontal="center" vertical="center" wrapText="1"/>
    </xf>
    <xf numFmtId="0" fontId="7" fillId="12" borderId="22" xfId="34" applyFont="1" applyFill="1" applyBorder="1" applyAlignment="1">
      <alignment horizontal="center" vertical="center" wrapText="1"/>
    </xf>
    <xf numFmtId="0" fontId="34" fillId="10" borderId="17" xfId="34" applyFont="1" applyFill="1" applyBorder="1" applyAlignment="1">
      <alignment horizontal="center" vertical="center" wrapText="1"/>
    </xf>
    <xf numFmtId="0" fontId="34" fillId="10" borderId="22" xfId="34" applyFont="1" applyFill="1" applyBorder="1" applyAlignment="1">
      <alignment horizontal="center" vertical="center" wrapText="1"/>
    </xf>
    <xf numFmtId="3" fontId="34" fillId="10" borderId="18" xfId="34" applyNumberFormat="1" applyFont="1" applyFill="1" applyBorder="1" applyAlignment="1">
      <alignment horizontal="center" vertical="center" wrapText="1"/>
    </xf>
    <xf numFmtId="3" fontId="35" fillId="11" borderId="19" xfId="34" applyNumberFormat="1" applyFont="1" applyFill="1" applyBorder="1" applyAlignment="1">
      <alignment horizontal="center"/>
    </xf>
    <xf numFmtId="3" fontId="35" fillId="11" borderId="20" xfId="34" applyNumberFormat="1" applyFont="1" applyFill="1" applyBorder="1" applyAlignment="1">
      <alignment horizontal="center"/>
    </xf>
    <xf numFmtId="1" fontId="7" fillId="12" borderId="17" xfId="34" applyNumberFormat="1" applyFont="1" applyFill="1" applyBorder="1" applyAlignment="1">
      <alignment horizontal="center" vertical="center" wrapText="1"/>
    </xf>
    <xf numFmtId="1" fontId="7" fillId="12" borderId="22" xfId="34" applyNumberFormat="1" applyFont="1" applyFill="1" applyBorder="1" applyAlignment="1">
      <alignment horizontal="center" vertical="center" wrapText="1"/>
    </xf>
    <xf numFmtId="0" fontId="7" fillId="12" borderId="17" xfId="34" applyFont="1" applyFill="1" applyBorder="1" applyAlignment="1">
      <alignment horizontal="center" vertical="center"/>
    </xf>
    <xf numFmtId="0" fontId="7" fillId="12" borderId="22" xfId="34" applyFont="1" applyFill="1" applyBorder="1" applyAlignment="1">
      <alignment horizontal="center" vertical="center"/>
    </xf>
    <xf numFmtId="0" fontId="7" fillId="12" borderId="25" xfId="34" applyFont="1" applyFill="1" applyBorder="1" applyAlignment="1">
      <alignment horizontal="center" vertical="center" wrapText="1"/>
    </xf>
    <xf numFmtId="0" fontId="7" fillId="12" borderId="40" xfId="34" applyFont="1" applyFill="1" applyBorder="1" applyAlignment="1">
      <alignment horizontal="center" vertical="center" wrapText="1"/>
    </xf>
    <xf numFmtId="3" fontId="7" fillId="12" borderId="17" xfId="34" applyNumberFormat="1" applyFont="1" applyFill="1" applyBorder="1" applyAlignment="1">
      <alignment horizontal="center" vertical="center" wrapText="1"/>
    </xf>
    <xf numFmtId="3" fontId="7" fillId="12" borderId="22" xfId="34" applyNumberFormat="1" applyFont="1" applyFill="1" applyBorder="1" applyAlignment="1">
      <alignment horizontal="center" vertical="center" wrapText="1"/>
    </xf>
    <xf numFmtId="0" fontId="7" fillId="12" borderId="21" xfId="34" applyFont="1" applyFill="1" applyBorder="1" applyAlignment="1">
      <alignment horizontal="center" vertical="center" wrapText="1"/>
    </xf>
    <xf numFmtId="0" fontId="7" fillId="12" borderId="42" xfId="34" applyFont="1" applyFill="1" applyBorder="1" applyAlignment="1">
      <alignment horizontal="center" vertical="center" wrapText="1"/>
    </xf>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2" fillId="0" borderId="0" xfId="0" applyFont="1" applyAlignment="1">
      <alignment horizontal="center" vertical="center"/>
    </xf>
    <xf numFmtId="0" fontId="22"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22" fillId="0" borderId="24" xfId="0" applyFont="1" applyBorder="1" applyAlignment="1">
      <alignment horizontal="left"/>
    </xf>
    <xf numFmtId="0" fontId="22" fillId="0" borderId="27" xfId="0" applyFont="1" applyBorder="1" applyAlignment="1">
      <alignment horizontal="left" vertical="center"/>
    </xf>
    <xf numFmtId="0" fontId="22" fillId="0" borderId="0" xfId="0" applyFont="1" applyAlignment="1">
      <alignment vertical="center" wrapText="1"/>
    </xf>
    <xf numFmtId="0" fontId="21" fillId="0" borderId="0" xfId="0" applyFont="1"/>
    <xf numFmtId="0" fontId="22" fillId="0" borderId="0" xfId="0" applyFont="1" applyAlignment="1">
      <alignment vertical="center"/>
    </xf>
    <xf numFmtId="171" fontId="8" fillId="0" borderId="35" xfId="0" applyNumberFormat="1" applyFont="1" applyFill="1" applyBorder="1" applyAlignment="1" applyProtection="1">
      <alignment horizontal="center" vertical="center" wrapText="1"/>
      <protection locked="0"/>
    </xf>
    <xf numFmtId="0" fontId="8" fillId="0" borderId="25" xfId="0" applyFont="1" applyFill="1" applyBorder="1" applyAlignment="1" applyProtection="1">
      <alignment horizontal="center" vertical="center" wrapText="1"/>
      <protection locked="0"/>
    </xf>
    <xf numFmtId="0" fontId="8" fillId="0" borderId="25" xfId="0" applyFont="1" applyFill="1" applyBorder="1" applyAlignment="1" applyProtection="1">
      <alignment horizontal="justify" vertical="center" wrapText="1"/>
      <protection locked="0"/>
    </xf>
    <xf numFmtId="0" fontId="8" fillId="0" borderId="25" xfId="0" applyFont="1" applyFill="1" applyBorder="1" applyAlignment="1" applyProtection="1">
      <alignment horizontal="left" vertical="center" wrapText="1"/>
      <protection locked="0"/>
    </xf>
    <xf numFmtId="3" fontId="8" fillId="0" borderId="25" xfId="0" applyNumberFormat="1" applyFont="1" applyFill="1" applyBorder="1" applyAlignment="1" applyProtection="1">
      <alignment horizontal="right" vertical="center" wrapText="1"/>
      <protection locked="0"/>
    </xf>
    <xf numFmtId="0" fontId="8" fillId="0" borderId="25" xfId="0" applyFont="1" applyFill="1" applyBorder="1" applyAlignment="1">
      <alignment horizontal="center"/>
    </xf>
    <xf numFmtId="0" fontId="8" fillId="0" borderId="25" xfId="0" applyFont="1" applyFill="1" applyBorder="1" applyAlignment="1" applyProtection="1">
      <alignment horizontal="center"/>
      <protection locked="0"/>
    </xf>
    <xf numFmtId="0" fontId="8" fillId="0" borderId="25" xfId="0" applyFont="1" applyFill="1" applyBorder="1" applyAlignment="1">
      <alignment vertical="center" wrapText="1"/>
    </xf>
    <xf numFmtId="1" fontId="8" fillId="0" borderId="25" xfId="0" applyNumberFormat="1" applyFont="1" applyFill="1" applyBorder="1" applyAlignment="1" applyProtection="1">
      <alignment horizontal="center" vertical="center" wrapText="1"/>
      <protection hidden="1"/>
    </xf>
    <xf numFmtId="3" fontId="8" fillId="0" borderId="25" xfId="2" applyNumberFormat="1" applyFont="1" applyFill="1" applyBorder="1" applyAlignment="1" applyProtection="1">
      <alignment horizontal="right" vertical="center"/>
      <protection locked="0"/>
    </xf>
    <xf numFmtId="1" fontId="8" fillId="0" borderId="25" xfId="0" applyNumberFormat="1" applyFont="1" applyFill="1" applyBorder="1" applyAlignment="1" applyProtection="1">
      <alignment horizontal="center" vertical="center" wrapText="1"/>
      <protection locked="0"/>
    </xf>
    <xf numFmtId="0" fontId="8" fillId="0" borderId="25" xfId="0" applyFont="1" applyFill="1" applyBorder="1"/>
    <xf numFmtId="0" fontId="38" fillId="0" borderId="36" xfId="0" applyFont="1" applyFill="1" applyBorder="1" applyAlignment="1" applyProtection="1">
      <alignment horizontal="left" vertical="center" wrapText="1"/>
      <protection locked="0"/>
    </xf>
    <xf numFmtId="0" fontId="8" fillId="0" borderId="0" xfId="0" applyFont="1" applyFill="1" applyAlignment="1" applyProtection="1">
      <alignment wrapText="1"/>
      <protection hidden="1"/>
    </xf>
    <xf numFmtId="0" fontId="8" fillId="0" borderId="0" xfId="0" applyFont="1" applyFill="1" applyProtection="1">
      <protection hidden="1"/>
    </xf>
    <xf numFmtId="0" fontId="8" fillId="0" borderId="41" xfId="0" applyFont="1" applyFill="1" applyBorder="1" applyProtection="1">
      <protection hidden="1"/>
    </xf>
    <xf numFmtId="0" fontId="8" fillId="0" borderId="25" xfId="0" applyFont="1" applyFill="1" applyBorder="1" applyProtection="1">
      <protection hidden="1"/>
    </xf>
    <xf numFmtId="1" fontId="8" fillId="0" borderId="25" xfId="33" applyNumberFormat="1" applyFont="1" applyFill="1" applyBorder="1" applyAlignment="1">
      <alignment horizontal="left" vertical="center"/>
    </xf>
    <xf numFmtId="1" fontId="8" fillId="0" borderId="25" xfId="0" applyNumberFormat="1" applyFont="1" applyFill="1" applyBorder="1" applyAlignment="1" applyProtection="1">
      <alignment horizontal="left" vertical="center" wrapText="1"/>
      <protection hidden="1"/>
    </xf>
    <xf numFmtId="0" fontId="8" fillId="0" borderId="0" xfId="0" applyFont="1" applyFill="1" applyAlignment="1" applyProtection="1">
      <alignment horizontal="center" vertical="center" wrapText="1"/>
      <protection locked="0"/>
    </xf>
    <xf numFmtId="171" fontId="8" fillId="0" borderId="25" xfId="0" applyNumberFormat="1" applyFont="1" applyFill="1" applyBorder="1" applyAlignment="1" applyProtection="1">
      <alignment horizontal="center" vertical="center" wrapText="1"/>
      <protection locked="0"/>
    </xf>
    <xf numFmtId="0" fontId="8" fillId="0" borderId="0" xfId="0" applyFont="1" applyFill="1"/>
    <xf numFmtId="3" fontId="8" fillId="0" borderId="25" xfId="33" applyNumberFormat="1" applyFont="1" applyFill="1" applyBorder="1" applyAlignment="1">
      <alignment horizontal="center" vertical="center"/>
    </xf>
    <xf numFmtId="49" fontId="8" fillId="0" borderId="25" xfId="2" applyFont="1" applyFill="1" applyBorder="1" applyAlignment="1">
      <alignment horizontal="center" vertical="center"/>
    </xf>
    <xf numFmtId="0" fontId="8" fillId="0" borderId="25" xfId="2" applyNumberFormat="1" applyFont="1" applyFill="1" applyBorder="1" applyAlignment="1">
      <alignment horizontal="center" vertical="center"/>
    </xf>
    <xf numFmtId="0" fontId="8" fillId="0" borderId="25" xfId="0" applyFont="1" applyFill="1" applyBorder="1" applyAlignment="1">
      <alignment horizontal="left"/>
    </xf>
    <xf numFmtId="0" fontId="8" fillId="0" borderId="25" xfId="0" applyFont="1" applyFill="1" applyBorder="1" applyAlignment="1" applyProtection="1">
      <alignment horizontal="center"/>
      <protection hidden="1"/>
    </xf>
    <xf numFmtId="0" fontId="8" fillId="0" borderId="0" xfId="0" applyFont="1" applyFill="1" applyAlignment="1" applyProtection="1">
      <alignment horizontal="center"/>
      <protection hidden="1"/>
    </xf>
    <xf numFmtId="0" fontId="37" fillId="0" borderId="36" xfId="5" applyFont="1" applyFill="1" applyBorder="1" applyAlignment="1" applyProtection="1">
      <alignment horizontal="left" vertical="center" wrapText="1"/>
      <protection locked="0"/>
    </xf>
    <xf numFmtId="0" fontId="8" fillId="0" borderId="25" xfId="33" applyFont="1" applyFill="1" applyBorder="1" applyAlignment="1">
      <alignment horizontal="left" vertical="center"/>
    </xf>
    <xf numFmtId="3" fontId="8" fillId="0" borderId="25" xfId="33" applyNumberFormat="1" applyFont="1" applyFill="1" applyBorder="1" applyAlignment="1">
      <alignment horizontal="right" vertical="center"/>
    </xf>
    <xf numFmtId="3" fontId="8" fillId="0" borderId="25" xfId="33" applyNumberFormat="1" applyFont="1" applyFill="1" applyBorder="1" applyAlignment="1">
      <alignment horizontal="left" vertical="center"/>
    </xf>
    <xf numFmtId="0" fontId="8" fillId="0" borderId="25" xfId="0" applyFont="1" applyFill="1" applyBorder="1" applyAlignment="1">
      <alignment horizontal="center" vertical="center" wrapText="1"/>
    </xf>
    <xf numFmtId="49" fontId="8" fillId="0" borderId="25" xfId="2" applyFont="1" applyFill="1" applyBorder="1" applyAlignment="1" applyProtection="1">
      <alignment horizontal="center" vertical="center"/>
      <protection locked="0"/>
    </xf>
    <xf numFmtId="0" fontId="8" fillId="0" borderId="36" xfId="0" applyFont="1" applyFill="1" applyBorder="1" applyAlignment="1">
      <alignment horizontal="left"/>
    </xf>
    <xf numFmtId="174" fontId="8" fillId="0" borderId="25" xfId="0" applyNumberFormat="1" applyFont="1" applyFill="1" applyBorder="1" applyAlignment="1" applyProtection="1">
      <alignment horizontal="center" vertical="center" wrapText="1"/>
      <protection locked="0"/>
    </xf>
    <xf numFmtId="0" fontId="8" fillId="0" borderId="25" xfId="0" applyFont="1" applyFill="1" applyBorder="1" applyAlignment="1" applyProtection="1">
      <alignment vertical="center" wrapText="1"/>
      <protection locked="0"/>
    </xf>
    <xf numFmtId="0" fontId="8" fillId="0" borderId="25" xfId="2" applyNumberFormat="1" applyFont="1" applyFill="1" applyBorder="1" applyAlignment="1" applyProtection="1">
      <alignment horizontal="center" vertical="center"/>
      <protection locked="0"/>
    </xf>
    <xf numFmtId="0" fontId="38" fillId="0" borderId="25" xfId="0" applyFont="1" applyFill="1" applyBorder="1" applyAlignment="1" applyProtection="1">
      <alignment horizontal="left" vertical="center" wrapText="1"/>
      <protection locked="0"/>
    </xf>
  </cellXfs>
  <cellStyles count="44">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00000000-0005-0000-0000-000006000000}"/>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00000000-0005-0000-0000-00000B000000}"/>
    <cellStyle name="Hipervínculo 3" xfId="24" xr:uid="{00000000-0005-0000-0000-00000C000000}"/>
    <cellStyle name="Hipervínculo 4" xfId="36" xr:uid="{00000000-0005-0000-0000-00000D000000}"/>
    <cellStyle name="Hipervínculo 5" xfId="37" xr:uid="{00000000-0005-0000-0000-00000E000000}"/>
    <cellStyle name="Hyperlink" xfId="43" xr:uid="{00000000-0005-0000-0000-00000F000000}"/>
    <cellStyle name="MainTitle" xfId="4" xr:uid="{00000000-0005-0000-0000-000010000000}"/>
    <cellStyle name="Millares [0] 2" xfId="29" xr:uid="{00000000-0005-0000-0000-000011000000}"/>
    <cellStyle name="Millares [0] 3" xfId="32" xr:uid="{00000000-0005-0000-0000-000012000000}"/>
    <cellStyle name="Millares 10" xfId="9" xr:uid="{00000000-0005-0000-0000-000013000000}"/>
    <cellStyle name="Millares 2" xfId="22" xr:uid="{00000000-0005-0000-0000-000014000000}"/>
    <cellStyle name="Millares 3" xfId="41" xr:uid="{00000000-0005-0000-0000-000015000000}"/>
    <cellStyle name="Moneda [0] 3" xfId="15" xr:uid="{00000000-0005-0000-0000-000016000000}"/>
    <cellStyle name="Moneda 10" xfId="16" xr:uid="{00000000-0005-0000-0000-000017000000}"/>
    <cellStyle name="Moneda 2" xfId="7" xr:uid="{00000000-0005-0000-0000-000018000000}"/>
    <cellStyle name="Moneda 2 2" xfId="17" xr:uid="{00000000-0005-0000-0000-000019000000}"/>
    <cellStyle name="Moneda 3" xfId="30" xr:uid="{00000000-0005-0000-0000-00001A000000}"/>
    <cellStyle name="Moneda 4" xfId="38" xr:uid="{00000000-0005-0000-0000-00001B000000}"/>
    <cellStyle name="Normal" xfId="0" builtinId="0"/>
    <cellStyle name="Normal 10" xfId="35" xr:uid="{00000000-0005-0000-0000-00001D000000}"/>
    <cellStyle name="Normal 17 3" xfId="23" xr:uid="{00000000-0005-0000-0000-00001E000000}"/>
    <cellStyle name="Normal 18 2 2" xfId="27" xr:uid="{00000000-0005-0000-0000-00001F000000}"/>
    <cellStyle name="Normal 18 3" xfId="28" xr:uid="{00000000-0005-0000-0000-000020000000}"/>
    <cellStyle name="Normal 2" xfId="6" xr:uid="{00000000-0005-0000-0000-000021000000}"/>
    <cellStyle name="Normal 2 2" xfId="25" xr:uid="{00000000-0005-0000-0000-000022000000}"/>
    <cellStyle name="Normal 20" xfId="34" xr:uid="{00000000-0005-0000-0000-000023000000}"/>
    <cellStyle name="Normal 27" xfId="40" xr:uid="{00000000-0005-0000-0000-000024000000}"/>
    <cellStyle name="Normal 3" xfId="20" xr:uid="{00000000-0005-0000-0000-000025000000}"/>
    <cellStyle name="Normal 30" xfId="26" xr:uid="{00000000-0005-0000-0000-000026000000}"/>
    <cellStyle name="Normal 4" xfId="31" xr:uid="{00000000-0005-0000-0000-000027000000}"/>
    <cellStyle name="Normal 4 2" xfId="33" xr:uid="{00000000-0005-0000-0000-000028000000}"/>
    <cellStyle name="Normal 43" xfId="39" xr:uid="{00000000-0005-0000-0000-000029000000}"/>
    <cellStyle name="Normal 43 2" xfId="42" xr:uid="{00000000-0005-0000-0000-00002A000000}"/>
    <cellStyle name="Numeric" xfId="3" xr:uid="{00000000-0005-0000-0000-00002B000000}"/>
  </cellStyles>
  <dxfs count="0"/>
  <tableStyles count="0" defaultTableStyle="TableStyleMedium2" defaultPivotStyle="PivotStyleLight16"/>
  <colors>
    <mruColors>
      <color rgb="FF9966FF"/>
      <color rgb="FF9933FF"/>
      <color rgb="FFCC66FF"/>
      <color rgb="FF6600FF"/>
      <color rgb="FFFFFF99"/>
      <color rgb="FFCC0000"/>
      <color rgb="FFFF66CC"/>
      <color rgb="FFFF3399"/>
      <color rgb="FF0000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5267324</xdr:colOff>
      <xdr:row>6</xdr:row>
      <xdr:rowOff>0</xdr:rowOff>
    </xdr:from>
    <xdr:to>
      <xdr:col>9</xdr:col>
      <xdr:colOff>9525</xdr:colOff>
      <xdr:row>7</xdr:row>
      <xdr:rowOff>1333500</xdr:rowOff>
    </xdr:to>
    <xdr:pic>
      <xdr:nvPicPr>
        <xdr:cNvPr id="2" name="Imagen 1">
          <a:extLst>
            <a:ext uri="{FF2B5EF4-FFF2-40B4-BE49-F238E27FC236}">
              <a16:creationId xmlns:a16="http://schemas.microsoft.com/office/drawing/2014/main" id="{863801D2-CAB6-4D16-9E31-D1120FB75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5724" y="1476375"/>
          <a:ext cx="8467726" cy="370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75345</xdr:colOff>
      <xdr:row>0</xdr:row>
      <xdr:rowOff>57150</xdr:rowOff>
    </xdr:from>
    <xdr:ext cx="47642952" cy="1288256"/>
    <xdr:grpSp>
      <xdr:nvGrpSpPr>
        <xdr:cNvPr id="2" name="Group 4">
          <a:extLst>
            <a:ext uri="{FF2B5EF4-FFF2-40B4-BE49-F238E27FC236}">
              <a16:creationId xmlns:a16="http://schemas.microsoft.com/office/drawing/2014/main" id="{8EF7E68B-20FD-4740-B0F8-6927C25AA5A5}"/>
            </a:ext>
          </a:extLst>
        </xdr:cNvPr>
        <xdr:cNvGrpSpPr>
          <a:grpSpLocks/>
        </xdr:cNvGrpSpPr>
      </xdr:nvGrpSpPr>
      <xdr:grpSpPr bwMode="auto">
        <a:xfrm>
          <a:off x="75345" y="57150"/>
          <a:ext cx="47642952" cy="1288256"/>
          <a:chOff x="-13" y="0"/>
          <a:chExt cx="1411" cy="146"/>
        </a:xfrm>
      </xdr:grpSpPr>
      <xdr:sp macro="" textlink="">
        <xdr:nvSpPr>
          <xdr:cNvPr id="3" name="1 CuadroTexto">
            <a:extLst>
              <a:ext uri="{FF2B5EF4-FFF2-40B4-BE49-F238E27FC236}">
                <a16:creationId xmlns:a16="http://schemas.microsoft.com/office/drawing/2014/main" id="{827F9584-1B80-7F27-A06A-52C063854E15}"/>
              </a:ext>
            </a:extLst>
          </xdr:cNvPr>
          <xdr:cNvSpPr txBox="1">
            <a:spLocks noChangeArrowheads="1"/>
          </xdr:cNvSpPr>
        </xdr:nvSpPr>
        <xdr:spPr bwMode="auto">
          <a:xfrm>
            <a:off x="-13"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CE2B19C8-0CD0-4A6B-DBEE-4181CC7E0CE3}"/>
              </a:ext>
            </a:extLst>
          </xdr:cNvPr>
          <xdr:cNvSpPr txBox="1">
            <a:spLocks noChangeArrowheads="1"/>
          </xdr:cNvSpPr>
        </xdr:nvSpPr>
        <xdr:spPr bwMode="auto">
          <a:xfrm>
            <a:off x="180" y="0"/>
            <a:ext cx="198"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9EBFA909-30A7-2959-AC68-63D39243245B}"/>
              </a:ext>
            </a:extLst>
          </xdr:cNvPr>
          <xdr:cNvSpPr txBox="1">
            <a:spLocks noChangeArrowheads="1"/>
          </xdr:cNvSpPr>
        </xdr:nvSpPr>
        <xdr:spPr bwMode="auto">
          <a:xfrm>
            <a:off x="180" y="61"/>
            <a:ext cx="198" cy="75"/>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754B7CB2-BBF9-D32C-4614-928CA3F9AB4C}"/>
              </a:ext>
            </a:extLst>
          </xdr:cNvPr>
          <xdr:cNvSpPr txBox="1">
            <a:spLocks noChangeArrowheads="1"/>
          </xdr:cNvSpPr>
        </xdr:nvSpPr>
        <xdr:spPr bwMode="auto">
          <a:xfrm>
            <a:off x="378" y="0"/>
            <a:ext cx="589"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9A785C1-A5FA-7D81-2BD1-8A9953DCF462}"/>
              </a:ext>
            </a:extLst>
          </xdr:cNvPr>
          <xdr:cNvSpPr txBox="1">
            <a:spLocks noChangeArrowheads="1"/>
          </xdr:cNvSpPr>
        </xdr:nvSpPr>
        <xdr:spPr bwMode="auto">
          <a:xfrm>
            <a:off x="378" y="63"/>
            <a:ext cx="589" cy="73"/>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9CE5C2D7-4B32-619F-2E6B-2EA8D516E229}"/>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84B99256-5209-5508-1DC3-9C8A4315A5AD}"/>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F5B5F648-DAE7-8923-AC72-D8161B48C6C3}"/>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F2ABBCBF-6286-BCA9-421D-E977DE757793}"/>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10</a:t>
            </a:r>
          </a:p>
        </xdr:txBody>
      </xdr:sp>
      <xdr:sp macro="" textlink="">
        <xdr:nvSpPr>
          <xdr:cNvPr id="12" name="13 CuadroTexto">
            <a:extLst>
              <a:ext uri="{FF2B5EF4-FFF2-40B4-BE49-F238E27FC236}">
                <a16:creationId xmlns:a16="http://schemas.microsoft.com/office/drawing/2014/main" id="{1AE1D40C-6831-818B-A5A1-D1B118FE9D04}"/>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1CC0552F-5D95-F351-A1C9-8BB87B4DDCC5}"/>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22/11/2023</a:t>
            </a:r>
          </a:p>
        </xdr:txBody>
      </xdr:sp>
      <xdr:sp macro="" textlink="">
        <xdr:nvSpPr>
          <xdr:cNvPr id="14" name="10 CuadroTexto">
            <a:extLst>
              <a:ext uri="{FF2B5EF4-FFF2-40B4-BE49-F238E27FC236}">
                <a16:creationId xmlns:a16="http://schemas.microsoft.com/office/drawing/2014/main" id="{2D9E498B-7BF4-6349-0548-418F233B06C0}"/>
              </a:ext>
            </a:extLst>
          </xdr:cNvPr>
          <xdr:cNvSpPr txBox="1">
            <a:spLocks noChangeArrowheads="1"/>
          </xdr:cNvSpPr>
        </xdr:nvSpPr>
        <xdr:spPr bwMode="auto">
          <a:xfrm>
            <a:off x="-11" y="136"/>
            <a:ext cx="1409" cy="10"/>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2</xdr:col>
      <xdr:colOff>71437</xdr:colOff>
      <xdr:row>0</xdr:row>
      <xdr:rowOff>166689</xdr:rowOff>
    </xdr:from>
    <xdr:to>
      <xdr:col>2</xdr:col>
      <xdr:colOff>2587471</xdr:colOff>
      <xdr:row>2</xdr:row>
      <xdr:rowOff>124123</xdr:rowOff>
    </xdr:to>
    <xdr:pic>
      <xdr:nvPicPr>
        <xdr:cNvPr id="15" name="Imagen 14">
          <a:extLst>
            <a:ext uri="{FF2B5EF4-FFF2-40B4-BE49-F238E27FC236}">
              <a16:creationId xmlns:a16="http://schemas.microsoft.com/office/drawing/2014/main" id="{BF2632EA-5FDA-4E20-9BE5-3F52BC2EAD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0687" y="166689"/>
          <a:ext cx="2516034" cy="9289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CP%20VS%200%20ID%20250309\PAA%20VS%200%20CP-%20ALCANCE.xlsx" TargetMode="External"/><Relationship Id="rId1" Type="http://schemas.openxmlformats.org/officeDocument/2006/relationships/externalLinkPath" Target="/MININTEROR/PAA/PLAN%20ANUAL%20DE%20ADQUISICIONES/PAA%202024/PAA%202024/CP%20VS%200%20ID%20250309/PAA%20VS%200%20CP-%20ALCANC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luis.pulido\OneDrive%20-%20mininterior.gov.co%20(1)\000%20Asuntos%20Religiosos\Administrativo\Financiera%20DAR\PAA%202024\PAA%20DAR%202024%20LDPB%20V2.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DHH%20VS%200%20ID%20255744\PAA%20VS%200%20DDHH%20ALCANCE.xlsx" TargetMode="External"/><Relationship Id="rId1" Type="http://schemas.openxmlformats.org/officeDocument/2006/relationships/externalLinkPath" Target="/MININTEROR/PAA/PLAN%20ANUAL%20DE%20ADQUISICIONES/PAA%202024/PAA%202024/DDHH%20VS%200%20ID%20255744/PAA%20VS%200%20DDHH%20ALCANCE.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DPCAC%20VS%200%20255425\PAA%20VS%200%20DDPCAC%20ALCANCE.xlsx" TargetMode="External"/><Relationship Id="rId1" Type="http://schemas.openxmlformats.org/officeDocument/2006/relationships/externalLinkPath" Target="/MININTEROR/PAA/PLAN%20ANUAL%20DE%20ADQUISICIONES/PAA%202024/PAA%202024/DDPCAC%20VS%200%20255425/PAA%20VS%200%20DDPCAC%20ALCANCE.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5\DDPCAC%20VS%202\PAA%20VS%202%20DDPCAC.xlsx" TargetMode="External"/><Relationship Id="rId1" Type="http://schemas.openxmlformats.org/officeDocument/2006/relationships/externalLinkPath" Target="/MININTEROR/PAA/PLAN%20ANUAL%20DE%20ADQUISICIONES/PAA%202024/PAA%202024/PAA%20VS%205/DDPCAC%20VS%202/PAA%20VS%202%20DDPCAC.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SCCG%20VS%200%20ID%20255486\PAA%20VS%200%20DSCCG%20ALCANCE.xlsx" TargetMode="External"/><Relationship Id="rId1" Type="http://schemas.openxmlformats.org/officeDocument/2006/relationships/externalLinkPath" Target="/MININTEROR/PAA/PLAN%20ANUAL%20DE%20ADQUISICIONES/PAA%202024/PAA%202024/DSCCG%20VS%200%20ID%20255486/PAA%20VS%200%20DSCCG%20ALCANCE.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2\DSCCG%20VS%202%20ID%20263954\PAA%20DSCCG%20VS%202.xlsx" TargetMode="External"/><Relationship Id="rId1" Type="http://schemas.openxmlformats.org/officeDocument/2006/relationships/externalLinkPath" Target="/MININTEROR/PAA/PLAN%20ANUAL%20DE%20ADQUISICIONES/PAA%202024/PAA%202024/PAA%20VS%202/DSCCG%20VS%202%20ID%20263954/PAA%20DSCCG%20VS%202.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GAPV%20VS%200%20ID%20254387\PAA%20VS%200%20GAPV%20ALCANCE.xlsx" TargetMode="External"/><Relationship Id="rId1" Type="http://schemas.openxmlformats.org/officeDocument/2006/relationships/externalLinkPath" Target="/MININTEROR/PAA/PLAN%20ANUAL%20DE%20ADQUISICIONES/PAA%202024/PAA%202024/GAPV%20VS%200%20ID%20254387/PAA%20VS%200%20GAPV%20ALCANCE.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OAP%20VS%200%20ID%20254705\PAA%20VS%20O%20OAP%20ALCANCE.xlsx" TargetMode="External"/><Relationship Id="rId1" Type="http://schemas.openxmlformats.org/officeDocument/2006/relationships/externalLinkPath" Target="/MININTEROR/PAA/PLAN%20ANUAL%20DE%20ADQUISICIONES/PAA%202024/PAA%202024/OAP%20VS%200%20ID%20254705/PAA%20VS%20O%20OAP%20ALCANCE.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OIP%20VS%200%20ID%20255442\PAA%20VS%200%20OIP%20ALCANCE%20II.xlsx" TargetMode="External"/><Relationship Id="rId1" Type="http://schemas.openxmlformats.org/officeDocument/2006/relationships/externalLinkPath" Target="/MININTEROR/PAA/PLAN%20ANUAL%20DE%20ADQUISICIONES/PAA%202024/PAA%202024/OIP%20VS%200%20ID%20255442/PAA%20VS%200%20OIP%20ALCANCE%20II.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SGGT%20VS%200%20ID%20249223\PAA%20VS%200%20SGGT%20ALCANCE%20II.xlsx" TargetMode="External"/><Relationship Id="rId1" Type="http://schemas.openxmlformats.org/officeDocument/2006/relationships/externalLinkPath" Target="/MININTEROR/PAA/PLAN%20ANUAL%20DE%20ADQUISICIONES/PAA%202024/PAA%202024/SGGT%20VS%200%20ID%20249223/PAA%20VS%200%20SGGT%20ALCANCE%20I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andra.orjuela\Downloads\FORMATO%20PLAN%20ANUAL%20DE%20ADQUISICIONES%202024%20MININTERIOR-PRELIMINAR1.1.xlsx" TargetMode="External"/><Relationship Id="rId1" Type="http://schemas.openxmlformats.org/officeDocument/2006/relationships/externalLinkPath" Target="file:///C:\Users\sandra.orjuela\Downloads\FORMATO%20PLAN%20ANUAL%20DE%20ADQUISICIONES%202024%20MININTERIOR-PRELIMINAR1.1.xlsx"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SPSCC%20VS%200%20ID%20255341\PAA%20VS%200%20SPSCC%20ALCANCE.xlsx" TargetMode="External"/><Relationship Id="rId1" Type="http://schemas.openxmlformats.org/officeDocument/2006/relationships/externalLinkPath" Target="/MININTEROR/PAA/PLAN%20ANUAL%20DE%20ADQUISICIONES/PAA%202024/PAA%202024/SPSCC%20VS%200%20ID%20255341/PAA%20VS%200%20SPSCC%20ALCANCE.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3\SPSCC%20VS%202\PAA%20SPSCC%20VS%202.xlsx" TargetMode="External"/><Relationship Id="rId1" Type="http://schemas.openxmlformats.org/officeDocument/2006/relationships/externalLinkPath" Target="/MININTEROR/PAA/PLAN%20ANUAL%20DE%20ADQUISICIONES/PAA%202024/PAA%202024/PAA%20VS%203/SPSCC%20VS%202/PAA%20SPSCC%20VS%202.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VICEMINISTERIO%20DEL%20DIALOGO%20VS%200\PAA%20VICE%20DIALOGO%20VS%200.xlsx" TargetMode="External"/><Relationship Id="rId1" Type="http://schemas.openxmlformats.org/officeDocument/2006/relationships/externalLinkPath" Target="/MININTEROR/PAA/PLAN%20ANUAL%20DE%20ADQUISICIONES/PAA%202024/PAA%202024/VICEMINISTERIO%20DEL%20DIALOGO%20VS%200/PAA%20VICE%20DIALOGO%20VS%200.xlsx"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2\GITEP%20VS%201%20ID%20264229\PAA%20VS%201%20GITEP.xlsx" TargetMode="External"/><Relationship Id="rId1" Type="http://schemas.openxmlformats.org/officeDocument/2006/relationships/externalLinkPath" Target="/MININTEROR/PAA/PLAN%20ANUAL%20DE%20ADQUISICIONES/PAA%202024/PAA%202024/PAA%20VS%202/GITEP%20VS%201%20ID%20264229/PAA%20VS%201%20GITEP.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3\CP%20VS%202\PAA%20CP%20VS%202.xlsx" TargetMode="External"/><Relationship Id="rId1" Type="http://schemas.openxmlformats.org/officeDocument/2006/relationships/externalLinkPath" Target="/MININTEROR/PAA/PLAN%20ANUAL%20DE%20ADQUISICIONES/PAA%202024/PAA%202024/PAA%20VS%203/CP%20VS%202/PAA%20CP%20VS%20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5\CP%20VS%204\PAA%20VS%202%20CP.xlsx" TargetMode="External"/><Relationship Id="rId1" Type="http://schemas.openxmlformats.org/officeDocument/2006/relationships/externalLinkPath" Target="/MININTEROR/PAA/PLAN%20ANUAL%20DE%20ADQUISICIONES/PAA%202024/PAA%202024/PAA%20VS%205/CP%20VS%204/PAA%20VS%202%20CP.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CNARP%20VS%200%20255474\PAA%20VS%200%20DACNARP%20ALCANCE.xlsx" TargetMode="External"/><Relationship Id="rId1" Type="http://schemas.openxmlformats.org/officeDocument/2006/relationships/externalLinkPath" Target="/MININTEROR/PAA/PLAN%20ANUAL%20DE%20ADQUISICIONES/PAA%202024/PAA%202024/DACNARP%20VS%200%20255474/PAA%20VS%200%20DACNARP%20ALCANCE.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IRM%20VS%200%20ID%20251070\PAA%20VS%200%20DAIRM%20ALCANCE.xlsx" TargetMode="External"/><Relationship Id="rId1" Type="http://schemas.openxmlformats.org/officeDocument/2006/relationships/externalLinkPath" Target="/MININTEROR/PAA/PLAN%20ANUAL%20DE%20ADQUISICIONES/PAA%202024/PAA%202024/DAIRM%20VS%200%20ID%20251070/PAA%20VS%200%20DAIRM%20ALCANCE.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PAA%20VS%205\DAIRM%20VS%202\PAA%20DAIRM%20VS%202.xlsx" TargetMode="External"/><Relationship Id="rId1" Type="http://schemas.openxmlformats.org/officeDocument/2006/relationships/externalLinkPath" Target="/MININTEROR/PAA/PLAN%20ANUAL%20DE%20ADQUISICIONES/PAA%202024/PAA%202024/PAA%20VS%205/DAIRM%20VS%202/PAA%20DAIRM%20VS%202.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L%20VS%200%20ID%20255440\PAA%20VS%200%20DAL%20ALCANCE.xlsx" TargetMode="External"/><Relationship Id="rId1" Type="http://schemas.openxmlformats.org/officeDocument/2006/relationships/externalLinkPath" Target="/MININTEROR/PAA/PLAN%20ANUAL%20DE%20ADQUISICIONES/PAA%202024/PAA%202024/DAL%20VS%200%20ID%20255440/PAA%20VS%200%20DAL%20ALCANCE.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4\PAA%202024\DAR%20VS%200%20ID%20255581\PAA%20DAR%20VS%200%20ALCANCE.xlsx" TargetMode="External"/><Relationship Id="rId1" Type="http://schemas.openxmlformats.org/officeDocument/2006/relationships/externalLinkPath" Target="/MININTEROR/PAA/PLAN%20ANUAL%20DE%20ADQUISICIONES/PAA%202024/PAA%202024/DAR%20VS%200%20ID%20255581/PAA%20DAR%20VS%200%20ALC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FORMATO PAA"/>
      <sheetName val="Hoja1"/>
      <sheetName val="Parámetros"/>
    </sheetNames>
    <sheetDataSet>
      <sheetData sheetId="0" refreshError="1"/>
      <sheetData sheetId="1" refreshError="1"/>
      <sheetData sheetId="2" refreshError="1"/>
      <sheetData sheetId="3" refreshError="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refreshError="1"/>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Parámetros"/>
    </sheetNames>
    <sheetDataSet>
      <sheetData sheetId="0"/>
      <sheetData sheetId="1">
        <row r="2">
          <cell r="G2" t="str">
            <v>CCE-01</v>
          </cell>
          <cell r="H2" t="str">
            <v>Solicitud de información a los Proveedores</v>
          </cell>
        </row>
        <row r="3">
          <cell r="G3" t="str">
            <v>CCE-02</v>
          </cell>
          <cell r="H3" t="str">
            <v>Licitación pública</v>
          </cell>
        </row>
        <row r="4">
          <cell r="G4" t="str">
            <v>CCE-03</v>
          </cell>
          <cell r="H4" t="str">
            <v>Concurso de méritos con precalificación (descontinuado)</v>
          </cell>
        </row>
        <row r="5">
          <cell r="G5" t="str">
            <v>CCE-04</v>
          </cell>
          <cell r="H5" t="str">
            <v>Concurso de méritos abierto (descontinuado)</v>
          </cell>
        </row>
        <row r="6">
          <cell r="G6" t="str">
            <v>CCE-05</v>
          </cell>
          <cell r="H6" t="str">
            <v xml:space="preserve">Contratación directa (con ofertas) </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Contratación régimen especial - Selección de comisionista</v>
          </cell>
        </row>
        <row r="11">
          <cell r="G11" t="str">
            <v>CCE-11||02</v>
          </cell>
          <cell r="H11" t="str">
            <v>Contratación régimen especial - Enajenación de bienes para intermediarios idóneos</v>
          </cell>
        </row>
        <row r="12">
          <cell r="G12" t="str">
            <v>CCE-11||03</v>
          </cell>
          <cell r="H12" t="str">
            <v>Contratación régimen especial - Régimen especial</v>
          </cell>
        </row>
        <row r="13">
          <cell r="G13" t="str">
            <v>CCE-11||04</v>
          </cell>
          <cell r="H13" t="str">
            <v>Contratación régimen especial - Banco multilateral y organismos multilaterales</v>
          </cell>
        </row>
        <row r="14">
          <cell r="G14" t="str">
            <v>CCE-15||01</v>
          </cell>
          <cell r="H14" t="str">
            <v>Contratación régimen especial (con ofertas)  - Selección de comisionista</v>
          </cell>
        </row>
        <row r="15">
          <cell r="G15" t="str">
            <v>CCE-15||02</v>
          </cell>
          <cell r="H15" t="str">
            <v>Contratación régimen especial (con ofertas)  - Enajenación de bienes para intermediarios idóneos</v>
          </cell>
        </row>
        <row r="16">
          <cell r="G16" t="str">
            <v>CCE-15||03</v>
          </cell>
          <cell r="H16" t="str">
            <v>Contratación régimen especial (con ofertas)  - Régimen especial</v>
          </cell>
        </row>
        <row r="17">
          <cell r="G17" t="str">
            <v>CCE-15||04</v>
          </cell>
          <cell r="H17" t="str">
            <v>Contratación régimen especial (con ofertas)  - Banco multilateral y organismos multilaterales</v>
          </cell>
        </row>
        <row r="18">
          <cell r="G18" t="str">
            <v>CCE-16</v>
          </cell>
          <cell r="H18" t="str">
            <v>Contratación directa.</v>
          </cell>
        </row>
        <row r="19">
          <cell r="G19" t="str">
            <v>CCE-17</v>
          </cell>
          <cell r="H19" t="str">
            <v>Licitación pública (Obra pública)</v>
          </cell>
        </row>
        <row r="20">
          <cell r="G20" t="str">
            <v>CCE-18</v>
          </cell>
          <cell r="H20" t="str">
            <v>Selección Abreviada de Menor Cuantia sin Manifestacion de Interés</v>
          </cell>
        </row>
        <row r="21">
          <cell r="G21" t="str">
            <v>CCE-19</v>
          </cell>
          <cell r="H21" t="str">
            <v>Concurso de méritos con precalificación</v>
          </cell>
        </row>
        <row r="22">
          <cell r="G22" t="str">
            <v>CCE-20</v>
          </cell>
          <cell r="H22" t="str">
            <v>Concurso de méritos abierto</v>
          </cell>
        </row>
        <row r="23">
          <cell r="G23" t="str">
            <v>CCE-99</v>
          </cell>
          <cell r="H23" t="str">
            <v>Seléccion abreviada - acuerdo marco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edgar.gonzalez@mininterior.gov.co" TargetMode="External"/><Relationship Id="rId21" Type="http://schemas.openxmlformats.org/officeDocument/2006/relationships/hyperlink" Target="mailto:victor.moreno@mininterior.gov.co" TargetMode="External"/><Relationship Id="rId63" Type="http://schemas.openxmlformats.org/officeDocument/2006/relationships/hyperlink" Target="mailto:yuly.manosalva@mininterior.gov.co" TargetMode="External"/><Relationship Id="rId159" Type="http://schemas.openxmlformats.org/officeDocument/2006/relationships/hyperlink" Target="mailto:edgar.gonzalez@mininterior.gov.co" TargetMode="External"/><Relationship Id="rId170" Type="http://schemas.openxmlformats.org/officeDocument/2006/relationships/hyperlink" Target="mailto:edgar.gonzalez@mininterior.gov.co" TargetMode="External"/><Relationship Id="rId226" Type="http://schemas.openxmlformats.org/officeDocument/2006/relationships/hyperlink" Target="mailto:rodolfo.vega@mininterior.gov.co" TargetMode="External"/><Relationship Id="rId268" Type="http://schemas.openxmlformats.org/officeDocument/2006/relationships/hyperlink" Target="mailto:rodolfo.vega@mininterior.gov.co" TargetMode="External"/><Relationship Id="rId32" Type="http://schemas.openxmlformats.org/officeDocument/2006/relationships/hyperlink" Target="mailto:victor.moreno@mininterior.gov.co" TargetMode="External"/><Relationship Id="rId74" Type="http://schemas.openxmlformats.org/officeDocument/2006/relationships/hyperlink" Target="mailto:jarmando.serrano@mininterior.gov.co" TargetMode="External"/><Relationship Id="rId128" Type="http://schemas.openxmlformats.org/officeDocument/2006/relationships/hyperlink" Target="mailto:edgar.gonzalez@mininterior.gov.co" TargetMode="External"/><Relationship Id="rId5" Type="http://schemas.openxmlformats.org/officeDocument/2006/relationships/hyperlink" Target="mailto:victor.moreno@mininterior.gov.co" TargetMode="External"/><Relationship Id="rId181" Type="http://schemas.openxmlformats.org/officeDocument/2006/relationships/hyperlink" Target="mailto:edgar.gonzalez@mininterior.gov.co" TargetMode="External"/><Relationship Id="rId237" Type="http://schemas.openxmlformats.org/officeDocument/2006/relationships/hyperlink" Target="mailto:rodolfo.vega@mininterior.gov.co" TargetMode="External"/><Relationship Id="rId279" Type="http://schemas.openxmlformats.org/officeDocument/2006/relationships/hyperlink" Target="mailto:sandra.contreras@mininterior.gov.co" TargetMode="External"/><Relationship Id="rId43" Type="http://schemas.openxmlformats.org/officeDocument/2006/relationships/hyperlink" Target="mailto:victor.moreno@mininterior.gov.co" TargetMode="External"/><Relationship Id="rId139" Type="http://schemas.openxmlformats.org/officeDocument/2006/relationships/hyperlink" Target="mailto:edgar.gonzalez@mininterior.gov.co" TargetMode="External"/><Relationship Id="rId85" Type="http://schemas.openxmlformats.org/officeDocument/2006/relationships/hyperlink" Target="mailto:edgar.gonzalez@mininterior.gov.co" TargetMode="External"/><Relationship Id="rId150" Type="http://schemas.openxmlformats.org/officeDocument/2006/relationships/hyperlink" Target="mailto:edgar.gonzalez@mininterior.gov.co" TargetMode="External"/><Relationship Id="rId171" Type="http://schemas.openxmlformats.org/officeDocument/2006/relationships/hyperlink" Target="mailto:edgar.gonzalez@mininterior.gov.co" TargetMode="External"/><Relationship Id="rId192" Type="http://schemas.openxmlformats.org/officeDocument/2006/relationships/hyperlink" Target="mailto:edgar.gonzalez@mininterior.gov.co" TargetMode="External"/><Relationship Id="rId206" Type="http://schemas.openxmlformats.org/officeDocument/2006/relationships/hyperlink" Target="mailto:sandra.contreras@mininterior.gov.co" TargetMode="External"/><Relationship Id="rId227" Type="http://schemas.openxmlformats.org/officeDocument/2006/relationships/hyperlink" Target="mailto:rodolfo.vega@mininterior.gov.co" TargetMode="External"/><Relationship Id="rId248" Type="http://schemas.openxmlformats.org/officeDocument/2006/relationships/hyperlink" Target="mailto:rodolfo.vega@mininterior.gov.co" TargetMode="External"/><Relationship Id="rId269" Type="http://schemas.openxmlformats.org/officeDocument/2006/relationships/hyperlink" Target="mailto:rodolfo.vega@mininterior.gov.co" TargetMode="External"/><Relationship Id="rId12" Type="http://schemas.openxmlformats.org/officeDocument/2006/relationships/hyperlink" Target="mailto:victor.moreno@mininterior.gov.co" TargetMode="External"/><Relationship Id="rId33" Type="http://schemas.openxmlformats.org/officeDocument/2006/relationships/hyperlink" Target="mailto:victor.moreno@mininterior.gov.co" TargetMode="External"/><Relationship Id="rId108" Type="http://schemas.openxmlformats.org/officeDocument/2006/relationships/hyperlink" Target="mailto:edgar.gonzalez@mininterior.gov.co" TargetMode="External"/><Relationship Id="rId129" Type="http://schemas.openxmlformats.org/officeDocument/2006/relationships/hyperlink" Target="mailto:edgar.gonzalez@mininterior.gov.co" TargetMode="External"/><Relationship Id="rId280" Type="http://schemas.openxmlformats.org/officeDocument/2006/relationships/hyperlink" Target="mailto:edgar.gonzalez@mininterior.gov.co" TargetMode="External"/><Relationship Id="rId54" Type="http://schemas.openxmlformats.org/officeDocument/2006/relationships/hyperlink" Target="mailto:franklin.castaneda@mininterior.gov.co" TargetMode="External"/><Relationship Id="rId75" Type="http://schemas.openxmlformats.org/officeDocument/2006/relationships/hyperlink" Target="mailto:yamel.ruiz@mininterior.gov.co" TargetMode="External"/><Relationship Id="rId96" Type="http://schemas.openxmlformats.org/officeDocument/2006/relationships/hyperlink" Target="mailto:edgar.gonzalez@mininterior.gov.co" TargetMode="External"/><Relationship Id="rId140" Type="http://schemas.openxmlformats.org/officeDocument/2006/relationships/hyperlink" Target="mailto:edgar.gonzalez@mininterior.gov.co" TargetMode="External"/><Relationship Id="rId161" Type="http://schemas.openxmlformats.org/officeDocument/2006/relationships/hyperlink" Target="mailto:edgar.gonzalez@mininterior.gov.co" TargetMode="External"/><Relationship Id="rId182" Type="http://schemas.openxmlformats.org/officeDocument/2006/relationships/hyperlink" Target="mailto:edgar.gonzalez@mininterior.gov.co" TargetMode="External"/><Relationship Id="rId217" Type="http://schemas.openxmlformats.org/officeDocument/2006/relationships/hyperlink" Target="mailto:rodolfo.vega@mininterior.gov.co" TargetMode="External"/><Relationship Id="rId6" Type="http://schemas.openxmlformats.org/officeDocument/2006/relationships/hyperlink" Target="mailto:victor.moreno@mininterior.gov.co" TargetMode="External"/><Relationship Id="rId238" Type="http://schemas.openxmlformats.org/officeDocument/2006/relationships/hyperlink" Target="mailto:rodolfo.vega@mininterior.gov.co" TargetMode="External"/><Relationship Id="rId259" Type="http://schemas.openxmlformats.org/officeDocument/2006/relationships/hyperlink" Target="mailto:rodolfo.vega@mininterior.gov.co" TargetMode="External"/><Relationship Id="rId23" Type="http://schemas.openxmlformats.org/officeDocument/2006/relationships/hyperlink" Target="mailto:victor.moreno@mininterior.gov.co" TargetMode="External"/><Relationship Id="rId119" Type="http://schemas.openxmlformats.org/officeDocument/2006/relationships/hyperlink" Target="mailto:edgar.gonzalez@mininterior.gov.co" TargetMode="External"/><Relationship Id="rId270" Type="http://schemas.openxmlformats.org/officeDocument/2006/relationships/hyperlink" Target="mailto:rodolfo.vega@mininterior.gov.co" TargetMode="External"/><Relationship Id="rId44" Type="http://schemas.openxmlformats.org/officeDocument/2006/relationships/hyperlink" Target="mailto:german.carlosama@mininterior.gov.co" TargetMode="External"/><Relationship Id="rId65" Type="http://schemas.openxmlformats.org/officeDocument/2006/relationships/hyperlink" Target="mailto:yuly.manosalva@mininterior.gov.co" TargetMode="External"/><Relationship Id="rId86" Type="http://schemas.openxmlformats.org/officeDocument/2006/relationships/hyperlink" Target="mailto:edgar.gonzalez@mininterior.gov.co" TargetMode="External"/><Relationship Id="rId130" Type="http://schemas.openxmlformats.org/officeDocument/2006/relationships/hyperlink" Target="mailto:edgar.gonzalez@mininterior.gov.co" TargetMode="External"/><Relationship Id="rId151" Type="http://schemas.openxmlformats.org/officeDocument/2006/relationships/hyperlink" Target="mailto:edgar.gonzalez@mininterior.gov.co" TargetMode="External"/><Relationship Id="rId172" Type="http://schemas.openxmlformats.org/officeDocument/2006/relationships/hyperlink" Target="mailto:edgar.gonzalez@mininterior.gov.co" TargetMode="External"/><Relationship Id="rId193" Type="http://schemas.openxmlformats.org/officeDocument/2006/relationships/hyperlink" Target="mailto:edgar.gonzalez@mininterior.gov.co" TargetMode="External"/><Relationship Id="rId207" Type="http://schemas.openxmlformats.org/officeDocument/2006/relationships/hyperlink" Target="mailto:sandra.contreras@mininterior.gov.co" TargetMode="External"/><Relationship Id="rId228" Type="http://schemas.openxmlformats.org/officeDocument/2006/relationships/hyperlink" Target="mailto:rodolfo.vega@mininterior.gov.co" TargetMode="External"/><Relationship Id="rId249" Type="http://schemas.openxmlformats.org/officeDocument/2006/relationships/hyperlink" Target="mailto:rodolfo.vega@mininterior.gov.co" TargetMode="External"/><Relationship Id="rId13" Type="http://schemas.openxmlformats.org/officeDocument/2006/relationships/hyperlink" Target="mailto:victor.moreno@mininterior.gov.co" TargetMode="External"/><Relationship Id="rId109" Type="http://schemas.openxmlformats.org/officeDocument/2006/relationships/hyperlink" Target="mailto:edgar.gonzalez@mininterior.gov.co" TargetMode="External"/><Relationship Id="rId260" Type="http://schemas.openxmlformats.org/officeDocument/2006/relationships/hyperlink" Target="mailto:rodolfo.vega@mininterior.gov.co" TargetMode="External"/><Relationship Id="rId281" Type="http://schemas.openxmlformats.org/officeDocument/2006/relationships/hyperlink" Target="mailto:alvaro.echeverry@mininterior.gov.co" TargetMode="External"/><Relationship Id="rId34" Type="http://schemas.openxmlformats.org/officeDocument/2006/relationships/hyperlink" Target="mailto:victor.moreno@mininterior.gov.co" TargetMode="External"/><Relationship Id="rId55" Type="http://schemas.openxmlformats.org/officeDocument/2006/relationships/hyperlink" Target="mailto:diana.vivas@mininterior.gov.co" TargetMode="External"/><Relationship Id="rId76" Type="http://schemas.openxmlformats.org/officeDocument/2006/relationships/hyperlink" Target="mailto:edgar.gonzalez@mininterior.gov.co" TargetMode="External"/><Relationship Id="rId97" Type="http://schemas.openxmlformats.org/officeDocument/2006/relationships/hyperlink" Target="mailto:edgar.gonzalez@mininterior.gov.co" TargetMode="External"/><Relationship Id="rId120" Type="http://schemas.openxmlformats.org/officeDocument/2006/relationships/hyperlink" Target="mailto:edgar.gonzalez@mininterior.gov.co" TargetMode="External"/><Relationship Id="rId141" Type="http://schemas.openxmlformats.org/officeDocument/2006/relationships/hyperlink" Target="mailto:edgar.gonzalez@mininterior.gov.co" TargetMode="External"/><Relationship Id="rId7" Type="http://schemas.openxmlformats.org/officeDocument/2006/relationships/hyperlink" Target="mailto:victor.moreno@mininterior.gov.co" TargetMode="External"/><Relationship Id="rId162" Type="http://schemas.openxmlformats.org/officeDocument/2006/relationships/hyperlink" Target="mailto:edgar.gonzalez@mininterior.gov.co" TargetMode="External"/><Relationship Id="rId183" Type="http://schemas.openxmlformats.org/officeDocument/2006/relationships/hyperlink" Target="mailto:edgar.gonzalez@mininterior.gov.co" TargetMode="External"/><Relationship Id="rId218" Type="http://schemas.openxmlformats.org/officeDocument/2006/relationships/hyperlink" Target="mailto:rodolfo.vega@mininterior.gov.co" TargetMode="External"/><Relationship Id="rId239" Type="http://schemas.openxmlformats.org/officeDocument/2006/relationships/hyperlink" Target="mailto:rodolfo.vega@mininterior.gov.co" TargetMode="External"/><Relationship Id="rId250" Type="http://schemas.openxmlformats.org/officeDocument/2006/relationships/hyperlink" Target="mailto:rodolfo.vega@mininterior.gov.co" TargetMode="External"/><Relationship Id="rId271" Type="http://schemas.openxmlformats.org/officeDocument/2006/relationships/hyperlink" Target="mailto:rodolfo.vega@mininterior.gov.co" TargetMode="External"/><Relationship Id="rId24" Type="http://schemas.openxmlformats.org/officeDocument/2006/relationships/hyperlink" Target="mailto:victor.moreno@mininterior.gov.co" TargetMode="External"/><Relationship Id="rId45" Type="http://schemas.openxmlformats.org/officeDocument/2006/relationships/hyperlink" Target="mailto:franklin.castaneda@mininterior.gov.co" TargetMode="External"/><Relationship Id="rId66" Type="http://schemas.openxmlformats.org/officeDocument/2006/relationships/hyperlink" Target="mailto:yuly.manosalva@mininterior.gov.co" TargetMode="External"/><Relationship Id="rId87" Type="http://schemas.openxmlformats.org/officeDocument/2006/relationships/hyperlink" Target="mailto:edgar.gonzalez@mininterior.gov.co" TargetMode="External"/><Relationship Id="rId110" Type="http://schemas.openxmlformats.org/officeDocument/2006/relationships/hyperlink" Target="mailto:edgar.gonzalez@mininterior.gov.co" TargetMode="External"/><Relationship Id="rId131" Type="http://schemas.openxmlformats.org/officeDocument/2006/relationships/hyperlink" Target="mailto:edgar.gonzalez@mininterior.gov.co" TargetMode="External"/><Relationship Id="rId152" Type="http://schemas.openxmlformats.org/officeDocument/2006/relationships/hyperlink" Target="mailto:edgar.gonzalez@mininterior.gov.co" TargetMode="External"/><Relationship Id="rId173" Type="http://schemas.openxmlformats.org/officeDocument/2006/relationships/hyperlink" Target="mailto:edgar.gonzalez@mininterior.gov.co" TargetMode="External"/><Relationship Id="rId194" Type="http://schemas.openxmlformats.org/officeDocument/2006/relationships/hyperlink" Target="mailto:edgar.gonzalez@mininterior.gov.co" TargetMode="External"/><Relationship Id="rId208" Type="http://schemas.openxmlformats.org/officeDocument/2006/relationships/hyperlink" Target="mailto:sandra.contreras@mininterior.gov.co" TargetMode="External"/><Relationship Id="rId229" Type="http://schemas.openxmlformats.org/officeDocument/2006/relationships/hyperlink" Target="mailto:rodolfo.vega@mininterior.gov.co" TargetMode="External"/><Relationship Id="rId240" Type="http://schemas.openxmlformats.org/officeDocument/2006/relationships/hyperlink" Target="mailto:rodolfo.vega@mininterior.gov.co" TargetMode="External"/><Relationship Id="rId261" Type="http://schemas.openxmlformats.org/officeDocument/2006/relationships/hyperlink" Target="mailto:rodolfo.vega@mininterior.gov.co" TargetMode="External"/><Relationship Id="rId14" Type="http://schemas.openxmlformats.org/officeDocument/2006/relationships/hyperlink" Target="mailto:victor.moreno@mininterior.gov.co" TargetMode="External"/><Relationship Id="rId35" Type="http://schemas.openxmlformats.org/officeDocument/2006/relationships/hyperlink" Target="mailto:victor.moreno@mininterior.gov.co" TargetMode="External"/><Relationship Id="rId56" Type="http://schemas.openxmlformats.org/officeDocument/2006/relationships/hyperlink" Target="mailto:diana.vivas@mininterior.gov.co" TargetMode="External"/><Relationship Id="rId77" Type="http://schemas.openxmlformats.org/officeDocument/2006/relationships/hyperlink" Target="mailto:edgar.gonzalez@mininterior.gov.co" TargetMode="External"/><Relationship Id="rId100" Type="http://schemas.openxmlformats.org/officeDocument/2006/relationships/hyperlink" Target="mailto:edgar.gonzalez@mininterior.gov.co" TargetMode="External"/><Relationship Id="rId282" Type="http://schemas.openxmlformats.org/officeDocument/2006/relationships/hyperlink" Target="mailto:victor.moreno@mininterior.gov.co" TargetMode="External"/><Relationship Id="rId8" Type="http://schemas.openxmlformats.org/officeDocument/2006/relationships/hyperlink" Target="mailto:victor.moreno@mininterior.gov.co" TargetMode="External"/><Relationship Id="rId98" Type="http://schemas.openxmlformats.org/officeDocument/2006/relationships/hyperlink" Target="mailto:edgar.gonzalez@mininterior.gov.co" TargetMode="External"/><Relationship Id="rId121" Type="http://schemas.openxmlformats.org/officeDocument/2006/relationships/hyperlink" Target="mailto:edgar.gonzalez@mininterior.gov.co" TargetMode="External"/><Relationship Id="rId142" Type="http://schemas.openxmlformats.org/officeDocument/2006/relationships/hyperlink" Target="mailto:edgar.gonzalez@mininterior.gov.co" TargetMode="External"/><Relationship Id="rId163" Type="http://schemas.openxmlformats.org/officeDocument/2006/relationships/hyperlink" Target="mailto:edgar.gonzalez@mininterior.gov.co" TargetMode="External"/><Relationship Id="rId184" Type="http://schemas.openxmlformats.org/officeDocument/2006/relationships/hyperlink" Target="mailto:edgar.gonzalez@mininterior.gov.co" TargetMode="External"/><Relationship Id="rId219" Type="http://schemas.openxmlformats.org/officeDocument/2006/relationships/hyperlink" Target="mailto:rodolfo.vega@mininterior.gov.co" TargetMode="External"/><Relationship Id="rId230" Type="http://schemas.openxmlformats.org/officeDocument/2006/relationships/hyperlink" Target="mailto:rodolfo.vega@mininterior.gov.co" TargetMode="External"/><Relationship Id="rId251" Type="http://schemas.openxmlformats.org/officeDocument/2006/relationships/hyperlink" Target="mailto:rodolfo.vega@mininterior.gov.co" TargetMode="External"/><Relationship Id="rId25" Type="http://schemas.openxmlformats.org/officeDocument/2006/relationships/hyperlink" Target="mailto:victor.moreno@mininterior.gov.co" TargetMode="External"/><Relationship Id="rId46" Type="http://schemas.openxmlformats.org/officeDocument/2006/relationships/hyperlink" Target="mailto:franklin.castaneda@mininterior.gov.co" TargetMode="External"/><Relationship Id="rId67" Type="http://schemas.openxmlformats.org/officeDocument/2006/relationships/hyperlink" Target="mailto:yuly.manosalva@mininterior.gov.co" TargetMode="External"/><Relationship Id="rId272" Type="http://schemas.openxmlformats.org/officeDocument/2006/relationships/hyperlink" Target="mailto:rodolfo.vega@mininterior.gov.co" TargetMode="External"/><Relationship Id="rId88" Type="http://schemas.openxmlformats.org/officeDocument/2006/relationships/hyperlink" Target="mailto:edgar.gonzalez@mininterior.gov.co" TargetMode="External"/><Relationship Id="rId111" Type="http://schemas.openxmlformats.org/officeDocument/2006/relationships/hyperlink" Target="mailto:edgar.gonzalez@mininterior.gov.co" TargetMode="External"/><Relationship Id="rId132" Type="http://schemas.openxmlformats.org/officeDocument/2006/relationships/hyperlink" Target="mailto:edgar.gonzalez@mininterior.gov.co" TargetMode="External"/><Relationship Id="rId153" Type="http://schemas.openxmlformats.org/officeDocument/2006/relationships/hyperlink" Target="mailto:edgar.gonzalez@mininterior.gov.co" TargetMode="External"/><Relationship Id="rId174" Type="http://schemas.openxmlformats.org/officeDocument/2006/relationships/hyperlink" Target="mailto:edgar.gonzalez@mininterior.gov.co" TargetMode="External"/><Relationship Id="rId195" Type="http://schemas.openxmlformats.org/officeDocument/2006/relationships/hyperlink" Target="mailto:edgar.gonzalez@mininterior.gov.co" TargetMode="External"/><Relationship Id="rId209" Type="http://schemas.openxmlformats.org/officeDocument/2006/relationships/hyperlink" Target="mailto:sandra.contreras@mininterior.gov.co" TargetMode="External"/><Relationship Id="rId220" Type="http://schemas.openxmlformats.org/officeDocument/2006/relationships/hyperlink" Target="mailto:rodolfo.vega@mininterior.gov.co" TargetMode="External"/><Relationship Id="rId241" Type="http://schemas.openxmlformats.org/officeDocument/2006/relationships/hyperlink" Target="mailto:rodolfo.vega@mininterior.gov.co" TargetMode="External"/><Relationship Id="rId15" Type="http://schemas.openxmlformats.org/officeDocument/2006/relationships/hyperlink" Target="mailto:victor.moreno@mininterior.gov.co" TargetMode="External"/><Relationship Id="rId36" Type="http://schemas.openxmlformats.org/officeDocument/2006/relationships/hyperlink" Target="mailto:victor.moreno@mininterior.gov.co" TargetMode="External"/><Relationship Id="rId57" Type="http://schemas.openxmlformats.org/officeDocument/2006/relationships/hyperlink" Target="mailto:diana.vivas@mininterior.gov.co" TargetMode="External"/><Relationship Id="rId262" Type="http://schemas.openxmlformats.org/officeDocument/2006/relationships/hyperlink" Target="mailto:rodolfo.vega@mininterior.gov.co" TargetMode="External"/><Relationship Id="rId283" Type="http://schemas.openxmlformats.org/officeDocument/2006/relationships/hyperlink" Target="mailto:sandra.contreras@mininterior.gov.co" TargetMode="External"/><Relationship Id="rId78" Type="http://schemas.openxmlformats.org/officeDocument/2006/relationships/hyperlink" Target="mailto:edgar.gonzalez@mininterior.gov.co" TargetMode="External"/><Relationship Id="rId99" Type="http://schemas.openxmlformats.org/officeDocument/2006/relationships/hyperlink" Target="mailto:edgar.gonzalez@mininterior.gov.co" TargetMode="External"/><Relationship Id="rId101" Type="http://schemas.openxmlformats.org/officeDocument/2006/relationships/hyperlink" Target="mailto:edgar.gonzalez@mininterior.gov.co" TargetMode="External"/><Relationship Id="rId122" Type="http://schemas.openxmlformats.org/officeDocument/2006/relationships/hyperlink" Target="mailto:edgar.gonzalez@mininterior.gov.co" TargetMode="External"/><Relationship Id="rId143" Type="http://schemas.openxmlformats.org/officeDocument/2006/relationships/hyperlink" Target="mailto:edgar.gonzalez@mininterior.gov.co" TargetMode="External"/><Relationship Id="rId164" Type="http://schemas.openxmlformats.org/officeDocument/2006/relationships/hyperlink" Target="mailto:edgar.gonzalez@mininterior.gov.co" TargetMode="External"/><Relationship Id="rId185" Type="http://schemas.openxmlformats.org/officeDocument/2006/relationships/hyperlink" Target="mailto:edgar.gonzalez@mininterior.gov.co" TargetMode="External"/><Relationship Id="rId9" Type="http://schemas.openxmlformats.org/officeDocument/2006/relationships/hyperlink" Target="mailto:victor.moreno@mininterior.gov.co" TargetMode="External"/><Relationship Id="rId210" Type="http://schemas.openxmlformats.org/officeDocument/2006/relationships/hyperlink" Target="mailto:sandra.contreras@mininterior.gov.co" TargetMode="External"/><Relationship Id="rId26" Type="http://schemas.openxmlformats.org/officeDocument/2006/relationships/hyperlink" Target="mailto:victor.moreno@mininterior.gov.co" TargetMode="External"/><Relationship Id="rId231" Type="http://schemas.openxmlformats.org/officeDocument/2006/relationships/hyperlink" Target="mailto:rodolfo.vega@mininterior.gov.co" TargetMode="External"/><Relationship Id="rId252" Type="http://schemas.openxmlformats.org/officeDocument/2006/relationships/hyperlink" Target="mailto:rodolfo.vega@mininterior.gov.co" TargetMode="External"/><Relationship Id="rId273" Type="http://schemas.openxmlformats.org/officeDocument/2006/relationships/hyperlink" Target="mailto:yuly.manosalva@mininterior.gov.co" TargetMode="External"/><Relationship Id="rId47" Type="http://schemas.openxmlformats.org/officeDocument/2006/relationships/hyperlink" Target="mailto:franklin.castaneda@mininterior.gov.co" TargetMode="External"/><Relationship Id="rId68" Type="http://schemas.openxmlformats.org/officeDocument/2006/relationships/hyperlink" Target="mailto:yuly.manosalva@mininterior.gov.co" TargetMode="External"/><Relationship Id="rId89" Type="http://schemas.openxmlformats.org/officeDocument/2006/relationships/hyperlink" Target="mailto:edgar.gonzalez@mininterior.gov.co" TargetMode="External"/><Relationship Id="rId112" Type="http://schemas.openxmlformats.org/officeDocument/2006/relationships/hyperlink" Target="mailto:edgar.gonzalez@mininterior.gov.co" TargetMode="External"/><Relationship Id="rId133" Type="http://schemas.openxmlformats.org/officeDocument/2006/relationships/hyperlink" Target="mailto:edgar.gonzalez@mininterior.gov.co" TargetMode="External"/><Relationship Id="rId154" Type="http://schemas.openxmlformats.org/officeDocument/2006/relationships/hyperlink" Target="mailto:edgar.gonzalez@mininterior.gov.co" TargetMode="External"/><Relationship Id="rId175" Type="http://schemas.openxmlformats.org/officeDocument/2006/relationships/hyperlink" Target="mailto:edgar.gonzalez@mininterior.gov.co" TargetMode="External"/><Relationship Id="rId196" Type="http://schemas.openxmlformats.org/officeDocument/2006/relationships/hyperlink" Target="mailto:edgar.gonzalez@mininterior.gov.co" TargetMode="External"/><Relationship Id="rId200" Type="http://schemas.openxmlformats.org/officeDocument/2006/relationships/hyperlink" Target="mailto:esperanza.moreno@mininterior.gov.co" TargetMode="External"/><Relationship Id="rId16" Type="http://schemas.openxmlformats.org/officeDocument/2006/relationships/hyperlink" Target="mailto:victor.moreno@mininterior.gov.co" TargetMode="External"/><Relationship Id="rId221" Type="http://schemas.openxmlformats.org/officeDocument/2006/relationships/hyperlink" Target="mailto:rodolfo.vega@mininterior.gov.co" TargetMode="External"/><Relationship Id="rId242" Type="http://schemas.openxmlformats.org/officeDocument/2006/relationships/hyperlink" Target="mailto:rodolfo.vega@mininterior.gov.co" TargetMode="External"/><Relationship Id="rId263" Type="http://schemas.openxmlformats.org/officeDocument/2006/relationships/hyperlink" Target="mailto:rodolfo.vega@mininterior.gov.co" TargetMode="External"/><Relationship Id="rId284" Type="http://schemas.openxmlformats.org/officeDocument/2006/relationships/hyperlink" Target="mailto:sandra.contreras@mininterior.gov.co" TargetMode="External"/><Relationship Id="rId37" Type="http://schemas.openxmlformats.org/officeDocument/2006/relationships/hyperlink" Target="mailto:esperanza.moreno@mininterior.gov.co" TargetMode="External"/><Relationship Id="rId58" Type="http://schemas.openxmlformats.org/officeDocument/2006/relationships/hyperlink" Target="mailto:diana.vivas@mininterior.gov.co" TargetMode="External"/><Relationship Id="rId79" Type="http://schemas.openxmlformats.org/officeDocument/2006/relationships/hyperlink" Target="mailto:edgar.gonzalez@mininterior.gov.co" TargetMode="External"/><Relationship Id="rId102" Type="http://schemas.openxmlformats.org/officeDocument/2006/relationships/hyperlink" Target="mailto:edgar.gonzalez@mininterior.gov.co" TargetMode="External"/><Relationship Id="rId123" Type="http://schemas.openxmlformats.org/officeDocument/2006/relationships/hyperlink" Target="mailto:edgar.gonzalez@mininterior.gov.co" TargetMode="External"/><Relationship Id="rId144" Type="http://schemas.openxmlformats.org/officeDocument/2006/relationships/hyperlink" Target="mailto:edgar.gonzalez@mininterior.gov.co" TargetMode="External"/><Relationship Id="rId90" Type="http://schemas.openxmlformats.org/officeDocument/2006/relationships/hyperlink" Target="mailto:edgar.gonzalez@mininterior.gov.co" TargetMode="External"/><Relationship Id="rId165" Type="http://schemas.openxmlformats.org/officeDocument/2006/relationships/hyperlink" Target="mailto:edgar.gonzalez@mininterior.gov.co" TargetMode="External"/><Relationship Id="rId186" Type="http://schemas.openxmlformats.org/officeDocument/2006/relationships/hyperlink" Target="mailto:edgar.gonzalez@mininterior.gov.co" TargetMode="External"/><Relationship Id="rId211" Type="http://schemas.openxmlformats.org/officeDocument/2006/relationships/hyperlink" Target="mailto:sandra.contreras@mininterior.gov.co" TargetMode="External"/><Relationship Id="rId232" Type="http://schemas.openxmlformats.org/officeDocument/2006/relationships/hyperlink" Target="mailto:rodolfo.vega@mininterior.gov.co" TargetMode="External"/><Relationship Id="rId253" Type="http://schemas.openxmlformats.org/officeDocument/2006/relationships/hyperlink" Target="mailto:rodolfo.vega@mininterior.gov.co" TargetMode="External"/><Relationship Id="rId274" Type="http://schemas.openxmlformats.org/officeDocument/2006/relationships/hyperlink" Target="mailto:yuly.manosalva@mininterior.gov.co" TargetMode="External"/><Relationship Id="rId27" Type="http://schemas.openxmlformats.org/officeDocument/2006/relationships/hyperlink" Target="mailto:victor.moreno@mininterior.gov.co" TargetMode="External"/><Relationship Id="rId48" Type="http://schemas.openxmlformats.org/officeDocument/2006/relationships/hyperlink" Target="mailto:franklin.castaneda@mininterior.gov.co" TargetMode="External"/><Relationship Id="rId69" Type="http://schemas.openxmlformats.org/officeDocument/2006/relationships/hyperlink" Target="mailto:yuly.manosalva@mininterior.gov.co" TargetMode="External"/><Relationship Id="rId113" Type="http://schemas.openxmlformats.org/officeDocument/2006/relationships/hyperlink" Target="mailto:edgar.gonzalez@mininterior.gov.co" TargetMode="External"/><Relationship Id="rId134" Type="http://schemas.openxmlformats.org/officeDocument/2006/relationships/hyperlink" Target="mailto:edgar.gonzalez@mininterior.gov.co" TargetMode="External"/><Relationship Id="rId80" Type="http://schemas.openxmlformats.org/officeDocument/2006/relationships/hyperlink" Target="mailto:edgar.gonzalez@mininterior.gov.co" TargetMode="External"/><Relationship Id="rId155" Type="http://schemas.openxmlformats.org/officeDocument/2006/relationships/hyperlink" Target="mailto:edgar.gonzalez@mininterior.gov.co" TargetMode="External"/><Relationship Id="rId176" Type="http://schemas.openxmlformats.org/officeDocument/2006/relationships/hyperlink" Target="mailto:edgar.gonzalez@mininterior.gov.co" TargetMode="External"/><Relationship Id="rId197" Type="http://schemas.openxmlformats.org/officeDocument/2006/relationships/hyperlink" Target="mailto:sonia.bernal@mininterior.gov.co" TargetMode="External"/><Relationship Id="rId201" Type="http://schemas.openxmlformats.org/officeDocument/2006/relationships/hyperlink" Target="mailto:esperanza.moreno@mininterior.gov.co" TargetMode="External"/><Relationship Id="rId222" Type="http://schemas.openxmlformats.org/officeDocument/2006/relationships/hyperlink" Target="mailto:rodolfo.vega@mininterior.gov.co" TargetMode="External"/><Relationship Id="rId243" Type="http://schemas.openxmlformats.org/officeDocument/2006/relationships/hyperlink" Target="mailto:rodolfo.vega@mininterior.gov.co" TargetMode="External"/><Relationship Id="rId264" Type="http://schemas.openxmlformats.org/officeDocument/2006/relationships/hyperlink" Target="mailto:rodolfo.vega@mininterior.gov.co" TargetMode="External"/><Relationship Id="rId285" Type="http://schemas.openxmlformats.org/officeDocument/2006/relationships/hyperlink" Target="mailto:esperanza.moreno@mininterior.gov.co" TargetMode="External"/><Relationship Id="rId17" Type="http://schemas.openxmlformats.org/officeDocument/2006/relationships/hyperlink" Target="mailto:victor.moreno@mininterior.gov.co" TargetMode="External"/><Relationship Id="rId38" Type="http://schemas.openxmlformats.org/officeDocument/2006/relationships/hyperlink" Target="mailto:victor.moreno@mininterior.gov.co" TargetMode="External"/><Relationship Id="rId59" Type="http://schemas.openxmlformats.org/officeDocument/2006/relationships/hyperlink" Target="mailto:diana.vivas@mininterior.gov.co" TargetMode="External"/><Relationship Id="rId103" Type="http://schemas.openxmlformats.org/officeDocument/2006/relationships/hyperlink" Target="mailto:edgar.gonzalez@mininterior.gov.co" TargetMode="External"/><Relationship Id="rId124" Type="http://schemas.openxmlformats.org/officeDocument/2006/relationships/hyperlink" Target="mailto:edgar.gonzalez@mininterior.gov.co" TargetMode="External"/><Relationship Id="rId70" Type="http://schemas.openxmlformats.org/officeDocument/2006/relationships/hyperlink" Target="mailto:yuly.manosalva@mininterior.gov.co" TargetMode="External"/><Relationship Id="rId91" Type="http://schemas.openxmlformats.org/officeDocument/2006/relationships/hyperlink" Target="mailto:edgar.gonzalez@mininterior.gov.co" TargetMode="External"/><Relationship Id="rId145" Type="http://schemas.openxmlformats.org/officeDocument/2006/relationships/hyperlink" Target="mailto:edgar.gonzalez@mininterior.gov.co" TargetMode="External"/><Relationship Id="rId166" Type="http://schemas.openxmlformats.org/officeDocument/2006/relationships/hyperlink" Target="mailto:edgar.gonzalez@mininterior.gov.co" TargetMode="External"/><Relationship Id="rId187" Type="http://schemas.openxmlformats.org/officeDocument/2006/relationships/hyperlink" Target="mailto:edgar.gonzalez@mininterior.gov.co" TargetMode="External"/><Relationship Id="rId1" Type="http://schemas.openxmlformats.org/officeDocument/2006/relationships/hyperlink" Target="mailto:victor.moreno@mininterior.gov.co" TargetMode="External"/><Relationship Id="rId212" Type="http://schemas.openxmlformats.org/officeDocument/2006/relationships/hyperlink" Target="mailto:sonia.bernal@mininterior.gov.co" TargetMode="External"/><Relationship Id="rId233" Type="http://schemas.openxmlformats.org/officeDocument/2006/relationships/hyperlink" Target="mailto:rodolfo.vega@mininterior.gov.co" TargetMode="External"/><Relationship Id="rId254" Type="http://schemas.openxmlformats.org/officeDocument/2006/relationships/hyperlink" Target="mailto:rodolfo.vega@mininterior.gov.co" TargetMode="External"/><Relationship Id="rId28" Type="http://schemas.openxmlformats.org/officeDocument/2006/relationships/hyperlink" Target="mailto:victor.moreno@mininterior.gov.co" TargetMode="External"/><Relationship Id="rId49" Type="http://schemas.openxmlformats.org/officeDocument/2006/relationships/hyperlink" Target="mailto:franklin.castaneda@mininterior.gov.co" TargetMode="External"/><Relationship Id="rId114" Type="http://schemas.openxmlformats.org/officeDocument/2006/relationships/hyperlink" Target="mailto:edgar.gonzalez@mininterior.gov.co" TargetMode="External"/><Relationship Id="rId275" Type="http://schemas.openxmlformats.org/officeDocument/2006/relationships/hyperlink" Target="mailto:edgar.gonzalez@mininterior.gov.co" TargetMode="External"/><Relationship Id="rId60" Type="http://schemas.openxmlformats.org/officeDocument/2006/relationships/hyperlink" Target="mailto:diana.vivas@mininterior.gov.co" TargetMode="External"/><Relationship Id="rId81" Type="http://schemas.openxmlformats.org/officeDocument/2006/relationships/hyperlink" Target="mailto:edgar.gonzalez@mininterior.gov.co" TargetMode="External"/><Relationship Id="rId135" Type="http://schemas.openxmlformats.org/officeDocument/2006/relationships/hyperlink" Target="mailto:edgar.gonzalez@mininterior.gov.co" TargetMode="External"/><Relationship Id="rId156" Type="http://schemas.openxmlformats.org/officeDocument/2006/relationships/hyperlink" Target="mailto:edgar.gonzalez@mininterior.gov.co" TargetMode="External"/><Relationship Id="rId177" Type="http://schemas.openxmlformats.org/officeDocument/2006/relationships/hyperlink" Target="mailto:edgar.gonzalez@mininterior.gov.co" TargetMode="External"/><Relationship Id="rId198" Type="http://schemas.openxmlformats.org/officeDocument/2006/relationships/hyperlink" Target="mailto:esperanza.moreno@mininterior.gov.co" TargetMode="External"/><Relationship Id="rId202" Type="http://schemas.openxmlformats.org/officeDocument/2006/relationships/hyperlink" Target="mailto:esperanza.moreno@mininterior.gov.co" TargetMode="External"/><Relationship Id="rId223" Type="http://schemas.openxmlformats.org/officeDocument/2006/relationships/hyperlink" Target="mailto:rodolfo.vega@mininterior.gov.co" TargetMode="External"/><Relationship Id="rId244" Type="http://schemas.openxmlformats.org/officeDocument/2006/relationships/hyperlink" Target="mailto:rodolfo.vega@mininterior.gov.co" TargetMode="External"/><Relationship Id="rId18" Type="http://schemas.openxmlformats.org/officeDocument/2006/relationships/hyperlink" Target="mailto:victor.moreno@mininterior.gov.co" TargetMode="External"/><Relationship Id="rId39" Type="http://schemas.openxmlformats.org/officeDocument/2006/relationships/hyperlink" Target="mailto:diana.vivas@mininterior.gov.co" TargetMode="External"/><Relationship Id="rId265" Type="http://schemas.openxmlformats.org/officeDocument/2006/relationships/hyperlink" Target="mailto:rodolfo.vega@mininterior.gov.co" TargetMode="External"/><Relationship Id="rId286" Type="http://schemas.openxmlformats.org/officeDocument/2006/relationships/hyperlink" Target="mailto:alvaro.echeverry@mininterior.gov.co" TargetMode="External"/><Relationship Id="rId50" Type="http://schemas.openxmlformats.org/officeDocument/2006/relationships/hyperlink" Target="mailto:franklin.castaneda@mininterior.gov.co" TargetMode="External"/><Relationship Id="rId104" Type="http://schemas.openxmlformats.org/officeDocument/2006/relationships/hyperlink" Target="mailto:edgar.gonzalez@mininterior.gov.co" TargetMode="External"/><Relationship Id="rId125" Type="http://schemas.openxmlformats.org/officeDocument/2006/relationships/hyperlink" Target="mailto:edgar.gonzalez@mininterior.gov.co" TargetMode="External"/><Relationship Id="rId146" Type="http://schemas.openxmlformats.org/officeDocument/2006/relationships/hyperlink" Target="mailto:edgar.gonzalez@mininterior.gov.co" TargetMode="External"/><Relationship Id="rId167" Type="http://schemas.openxmlformats.org/officeDocument/2006/relationships/hyperlink" Target="mailto:edgar.gonzalez@mininterior.gov.co" TargetMode="External"/><Relationship Id="rId188" Type="http://schemas.openxmlformats.org/officeDocument/2006/relationships/hyperlink" Target="mailto:edgar.gonzalez@mininterior.gov.co" TargetMode="External"/><Relationship Id="rId71" Type="http://schemas.openxmlformats.org/officeDocument/2006/relationships/hyperlink" Target="mailto:yuly.manosalva@mininterior.gov.co" TargetMode="External"/><Relationship Id="rId92" Type="http://schemas.openxmlformats.org/officeDocument/2006/relationships/hyperlink" Target="mailto:edgar.gonzalez@mininterior.gov.co" TargetMode="External"/><Relationship Id="rId213" Type="http://schemas.openxmlformats.org/officeDocument/2006/relationships/hyperlink" Target="mailto:rodolfo.vega@mininterior.gov.co" TargetMode="External"/><Relationship Id="rId234" Type="http://schemas.openxmlformats.org/officeDocument/2006/relationships/hyperlink" Target="mailto:rodolfo.vega@mininterior.gov.co" TargetMode="External"/><Relationship Id="rId2" Type="http://schemas.openxmlformats.org/officeDocument/2006/relationships/hyperlink" Target="mailto:victor.moreno@mininterior.gov.co" TargetMode="External"/><Relationship Id="rId29" Type="http://schemas.openxmlformats.org/officeDocument/2006/relationships/hyperlink" Target="mailto:victor.moreno@mininterior.gov.co" TargetMode="External"/><Relationship Id="rId255" Type="http://schemas.openxmlformats.org/officeDocument/2006/relationships/hyperlink" Target="mailto:rodolfo.vega@mininterior.gov.co" TargetMode="External"/><Relationship Id="rId276" Type="http://schemas.openxmlformats.org/officeDocument/2006/relationships/hyperlink" Target="mailto:edgar.gonzalez@mininterior.gov.co" TargetMode="External"/><Relationship Id="rId40" Type="http://schemas.openxmlformats.org/officeDocument/2006/relationships/hyperlink" Target="mailto:sandra.contreras@mininterior.gov.co" TargetMode="External"/><Relationship Id="rId115" Type="http://schemas.openxmlformats.org/officeDocument/2006/relationships/hyperlink" Target="mailto:edgar.gonzalez@mininterior.gov.co" TargetMode="External"/><Relationship Id="rId136" Type="http://schemas.openxmlformats.org/officeDocument/2006/relationships/hyperlink" Target="mailto:edgar.gonzalez@mininterior.gov.co" TargetMode="External"/><Relationship Id="rId157" Type="http://schemas.openxmlformats.org/officeDocument/2006/relationships/hyperlink" Target="mailto:edgar.gonzalez@mininterior.gov.co" TargetMode="External"/><Relationship Id="rId178" Type="http://schemas.openxmlformats.org/officeDocument/2006/relationships/hyperlink" Target="mailto:edgar.gonzalez@mininterior.gov.co" TargetMode="External"/><Relationship Id="rId61" Type="http://schemas.openxmlformats.org/officeDocument/2006/relationships/hyperlink" Target="mailto:diana.vivas@mininterior.gov.co" TargetMode="External"/><Relationship Id="rId82" Type="http://schemas.openxmlformats.org/officeDocument/2006/relationships/hyperlink" Target="mailto:edgar.gonzalez@mininterior.gov.co" TargetMode="External"/><Relationship Id="rId199" Type="http://schemas.openxmlformats.org/officeDocument/2006/relationships/hyperlink" Target="mailto:esperanza.moreno@mininterior.gov.co" TargetMode="External"/><Relationship Id="rId203" Type="http://schemas.openxmlformats.org/officeDocument/2006/relationships/hyperlink" Target="mailto:sandra.contreras@mininterior.gov.co" TargetMode="External"/><Relationship Id="rId19" Type="http://schemas.openxmlformats.org/officeDocument/2006/relationships/hyperlink" Target="mailto:victor.moreno@mininterior.gov.co" TargetMode="External"/><Relationship Id="rId224" Type="http://schemas.openxmlformats.org/officeDocument/2006/relationships/hyperlink" Target="mailto:rodolfo.vega@mininterior.gov.co" TargetMode="External"/><Relationship Id="rId245" Type="http://schemas.openxmlformats.org/officeDocument/2006/relationships/hyperlink" Target="mailto:rodolfo.vega@mininterior.gov.co" TargetMode="External"/><Relationship Id="rId266" Type="http://schemas.openxmlformats.org/officeDocument/2006/relationships/hyperlink" Target="mailto:rodolfo.vega@mininterior.gov.co" TargetMode="External"/><Relationship Id="rId287" Type="http://schemas.openxmlformats.org/officeDocument/2006/relationships/printerSettings" Target="../printerSettings/printerSettings2.bin"/><Relationship Id="rId30" Type="http://schemas.openxmlformats.org/officeDocument/2006/relationships/hyperlink" Target="mailto:victor.moreno@mininterior.gov.co" TargetMode="External"/><Relationship Id="rId105" Type="http://schemas.openxmlformats.org/officeDocument/2006/relationships/hyperlink" Target="mailto:edgar.gonzalez@mininterior.gov.co" TargetMode="External"/><Relationship Id="rId126" Type="http://schemas.openxmlformats.org/officeDocument/2006/relationships/hyperlink" Target="mailto:edgar.gonzalez@mininterior.gov.co" TargetMode="External"/><Relationship Id="rId147" Type="http://schemas.openxmlformats.org/officeDocument/2006/relationships/hyperlink" Target="mailto:edgar.gonzalez@mininterior.gov.co" TargetMode="External"/><Relationship Id="rId168" Type="http://schemas.openxmlformats.org/officeDocument/2006/relationships/hyperlink" Target="mailto:edgar.gonzalez@mininterior.gov.co" TargetMode="External"/><Relationship Id="rId51" Type="http://schemas.openxmlformats.org/officeDocument/2006/relationships/hyperlink" Target="mailto:franklin.castaneda@mininterior.gov.co" TargetMode="External"/><Relationship Id="rId72" Type="http://schemas.openxmlformats.org/officeDocument/2006/relationships/hyperlink" Target="mailto:yuly.manosalva@mininterior.gov.co" TargetMode="External"/><Relationship Id="rId93" Type="http://schemas.openxmlformats.org/officeDocument/2006/relationships/hyperlink" Target="mailto:edgar.gonzalez@mininterior.gov.co" TargetMode="External"/><Relationship Id="rId189" Type="http://schemas.openxmlformats.org/officeDocument/2006/relationships/hyperlink" Target="mailto:edgar.gonzalez@mininterior.gov.co" TargetMode="External"/><Relationship Id="rId3" Type="http://schemas.openxmlformats.org/officeDocument/2006/relationships/hyperlink" Target="mailto:victor.moreno@mininterior.gov.co" TargetMode="External"/><Relationship Id="rId214" Type="http://schemas.openxmlformats.org/officeDocument/2006/relationships/hyperlink" Target="mailto:rodolfo.vega@mininterior.gov.co" TargetMode="External"/><Relationship Id="rId235" Type="http://schemas.openxmlformats.org/officeDocument/2006/relationships/hyperlink" Target="mailto:rodolfo.vega@mininterior.gov.co" TargetMode="External"/><Relationship Id="rId256" Type="http://schemas.openxmlformats.org/officeDocument/2006/relationships/hyperlink" Target="mailto:rodolfo.vega@mininterior.gov.co" TargetMode="External"/><Relationship Id="rId277" Type="http://schemas.openxmlformats.org/officeDocument/2006/relationships/hyperlink" Target="mailto:amelia.cotes@mininterior.gov.co" TargetMode="External"/><Relationship Id="rId116" Type="http://schemas.openxmlformats.org/officeDocument/2006/relationships/hyperlink" Target="mailto:edgar.gonzalez@mininterior.gov.co" TargetMode="External"/><Relationship Id="rId137" Type="http://schemas.openxmlformats.org/officeDocument/2006/relationships/hyperlink" Target="mailto:edgar.gonzalez@mininterior.gov.co" TargetMode="External"/><Relationship Id="rId158" Type="http://schemas.openxmlformats.org/officeDocument/2006/relationships/hyperlink" Target="mailto:edgar.gonzalez@mininterior.gov.co" TargetMode="External"/><Relationship Id="rId20" Type="http://schemas.openxmlformats.org/officeDocument/2006/relationships/hyperlink" Target="mailto:victor.moreno@mininterior.gov.co" TargetMode="External"/><Relationship Id="rId41" Type="http://schemas.openxmlformats.org/officeDocument/2006/relationships/hyperlink" Target="mailto:jarmandoserrano@mininterior.gov.co" TargetMode="External"/><Relationship Id="rId62" Type="http://schemas.openxmlformats.org/officeDocument/2006/relationships/hyperlink" Target="mailto:diana.vivas@mininterior.gov.co" TargetMode="External"/><Relationship Id="rId83" Type="http://schemas.openxmlformats.org/officeDocument/2006/relationships/hyperlink" Target="mailto:edgar.gonzalez@mininterior.gov.co" TargetMode="External"/><Relationship Id="rId179" Type="http://schemas.openxmlformats.org/officeDocument/2006/relationships/hyperlink" Target="mailto:edgar.gonzalez@mininterior.gov.co" TargetMode="External"/><Relationship Id="rId190" Type="http://schemas.openxmlformats.org/officeDocument/2006/relationships/hyperlink" Target="mailto:edgar.gonzalez@mininterior.gov.co" TargetMode="External"/><Relationship Id="rId204" Type="http://schemas.openxmlformats.org/officeDocument/2006/relationships/hyperlink" Target="mailto:sandra.contreras@mininterior.gov.co" TargetMode="External"/><Relationship Id="rId225" Type="http://schemas.openxmlformats.org/officeDocument/2006/relationships/hyperlink" Target="mailto:rodolfo.vega@mininterior.gov.co" TargetMode="External"/><Relationship Id="rId246" Type="http://schemas.openxmlformats.org/officeDocument/2006/relationships/hyperlink" Target="mailto:rodolfo.vega@mininterior.gov.co" TargetMode="External"/><Relationship Id="rId267" Type="http://schemas.openxmlformats.org/officeDocument/2006/relationships/hyperlink" Target="mailto:rodolfo.vega@mininterior.gov.co" TargetMode="External"/><Relationship Id="rId288" Type="http://schemas.openxmlformats.org/officeDocument/2006/relationships/drawing" Target="../drawings/drawing2.xml"/><Relationship Id="rId106" Type="http://schemas.openxmlformats.org/officeDocument/2006/relationships/hyperlink" Target="mailto:edgar.gonzalez@mininterior.gov.co" TargetMode="External"/><Relationship Id="rId127" Type="http://schemas.openxmlformats.org/officeDocument/2006/relationships/hyperlink" Target="mailto:edgar.gonzalez@mininterior.gov.co" TargetMode="External"/><Relationship Id="rId10" Type="http://schemas.openxmlformats.org/officeDocument/2006/relationships/hyperlink" Target="mailto:victor.moreno@mininterior.gov.co" TargetMode="External"/><Relationship Id="rId31" Type="http://schemas.openxmlformats.org/officeDocument/2006/relationships/hyperlink" Target="mailto:victor.moreno@mininterior.gov.co" TargetMode="External"/><Relationship Id="rId52" Type="http://schemas.openxmlformats.org/officeDocument/2006/relationships/hyperlink" Target="mailto:franklin.castaneda@mininterior.gov.co" TargetMode="External"/><Relationship Id="rId73" Type="http://schemas.openxmlformats.org/officeDocument/2006/relationships/hyperlink" Target="mailto:yuly.manosalva@mininterior.gov.co" TargetMode="External"/><Relationship Id="rId94" Type="http://schemas.openxmlformats.org/officeDocument/2006/relationships/hyperlink" Target="mailto:edgar.gonzalez@mininterior.gov.co" TargetMode="External"/><Relationship Id="rId148" Type="http://schemas.openxmlformats.org/officeDocument/2006/relationships/hyperlink" Target="mailto:edgar.gonzalez@mininterior.gov.co" TargetMode="External"/><Relationship Id="rId169" Type="http://schemas.openxmlformats.org/officeDocument/2006/relationships/hyperlink" Target="mailto:edgar.gonzalez@mininterior.gov.co" TargetMode="External"/><Relationship Id="rId4" Type="http://schemas.openxmlformats.org/officeDocument/2006/relationships/hyperlink" Target="mailto:victor.moreno@mininterior.gov.co" TargetMode="External"/><Relationship Id="rId180" Type="http://schemas.openxmlformats.org/officeDocument/2006/relationships/hyperlink" Target="mailto:edgar.gonzalez@mininterior.gov.co" TargetMode="External"/><Relationship Id="rId215" Type="http://schemas.openxmlformats.org/officeDocument/2006/relationships/hyperlink" Target="mailto:rodolfo.vega@mininterior.gov.co" TargetMode="External"/><Relationship Id="rId236" Type="http://schemas.openxmlformats.org/officeDocument/2006/relationships/hyperlink" Target="mailto:rodolfo.vega@mininterior.gov.co" TargetMode="External"/><Relationship Id="rId257" Type="http://schemas.openxmlformats.org/officeDocument/2006/relationships/hyperlink" Target="mailto:rodolfo.vega@mininterior.gov.co" TargetMode="External"/><Relationship Id="rId278" Type="http://schemas.openxmlformats.org/officeDocument/2006/relationships/hyperlink" Target="mailto:diana.vivas@mininterior.gov.co" TargetMode="External"/><Relationship Id="rId42" Type="http://schemas.openxmlformats.org/officeDocument/2006/relationships/hyperlink" Target="mailto:diana.vivas@mininterior.gov.co" TargetMode="External"/><Relationship Id="rId84" Type="http://schemas.openxmlformats.org/officeDocument/2006/relationships/hyperlink" Target="mailto:edgar.gonzalez@mininterior.gov.co" TargetMode="External"/><Relationship Id="rId138" Type="http://schemas.openxmlformats.org/officeDocument/2006/relationships/hyperlink" Target="mailto:edgar.gonzalez@mininterior.gov.co" TargetMode="External"/><Relationship Id="rId191" Type="http://schemas.openxmlformats.org/officeDocument/2006/relationships/hyperlink" Target="mailto:edgar.gonzalez@mininterior.gov.co" TargetMode="External"/><Relationship Id="rId205" Type="http://schemas.openxmlformats.org/officeDocument/2006/relationships/hyperlink" Target="mailto:sandra.contreras@mininterior.gov.co" TargetMode="External"/><Relationship Id="rId247" Type="http://schemas.openxmlformats.org/officeDocument/2006/relationships/hyperlink" Target="mailto:rodolfo.vega@mininterior.gov.co" TargetMode="External"/><Relationship Id="rId107" Type="http://schemas.openxmlformats.org/officeDocument/2006/relationships/hyperlink" Target="mailto:edgar.gonzalez@mininterior.gov.co" TargetMode="External"/><Relationship Id="rId11" Type="http://schemas.openxmlformats.org/officeDocument/2006/relationships/hyperlink" Target="mailto:victor.moreno@mininterior.gov.co" TargetMode="External"/><Relationship Id="rId53" Type="http://schemas.openxmlformats.org/officeDocument/2006/relationships/hyperlink" Target="mailto:franklin.castaneda@mininterior.gov.co" TargetMode="External"/><Relationship Id="rId149" Type="http://schemas.openxmlformats.org/officeDocument/2006/relationships/hyperlink" Target="mailto:edgar.gonzalez@mininterior.gov.co" TargetMode="External"/><Relationship Id="rId95" Type="http://schemas.openxmlformats.org/officeDocument/2006/relationships/hyperlink" Target="mailto:edgar.gonzalez@mininterior.gov.co" TargetMode="External"/><Relationship Id="rId160" Type="http://schemas.openxmlformats.org/officeDocument/2006/relationships/hyperlink" Target="mailto:edgar.gonzalez@mininterior.gov.co" TargetMode="External"/><Relationship Id="rId216" Type="http://schemas.openxmlformats.org/officeDocument/2006/relationships/hyperlink" Target="mailto:rodolfo.vega@mininterior.gov.co" TargetMode="External"/><Relationship Id="rId258" Type="http://schemas.openxmlformats.org/officeDocument/2006/relationships/hyperlink" Target="mailto:rodolfo.vega@mininterior.gov.co" TargetMode="External"/><Relationship Id="rId22" Type="http://schemas.openxmlformats.org/officeDocument/2006/relationships/hyperlink" Target="mailto:victor.moreno@mininterior.gov.co" TargetMode="External"/><Relationship Id="rId64" Type="http://schemas.openxmlformats.org/officeDocument/2006/relationships/hyperlink" Target="mailto:yuly.manosalva@mininterior.gov.co" TargetMode="External"/><Relationship Id="rId118" Type="http://schemas.openxmlformats.org/officeDocument/2006/relationships/hyperlink" Target="mailto:edgar.gonzalez@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opLeftCell="A8" workbookViewId="0">
      <selection activeCell="C15" sqref="C15"/>
    </sheetView>
  </sheetViews>
  <sheetFormatPr baseColWidth="10" defaultColWidth="9.140625" defaultRowHeight="15" x14ac:dyDescent="0.25"/>
  <cols>
    <col min="1" max="1" width="10.85546875" customWidth="1"/>
    <col min="2" max="2" width="25.7109375" style="93"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294" t="s">
        <v>217</v>
      </c>
      <c r="C1" s="295"/>
      <c r="D1" s="295"/>
      <c r="E1" s="295"/>
      <c r="F1" s="295"/>
      <c r="G1" s="295"/>
      <c r="H1" s="295"/>
      <c r="I1" s="296"/>
    </row>
    <row r="2" spans="1:9" s="7" customFormat="1" ht="16.5" thickBot="1" x14ac:dyDescent="0.3">
      <c r="A2" s="6"/>
      <c r="B2" s="297" t="s">
        <v>0</v>
      </c>
      <c r="C2" s="297"/>
      <c r="D2" s="297"/>
      <c r="E2" s="297"/>
      <c r="F2" s="297"/>
      <c r="G2" s="297"/>
      <c r="H2" s="297"/>
      <c r="I2" s="297"/>
    </row>
    <row r="3" spans="1:9" s="7" customFormat="1" ht="15.75" x14ac:dyDescent="0.25">
      <c r="A3" s="6"/>
      <c r="B3" s="94" t="s">
        <v>1</v>
      </c>
      <c r="C3" s="95" t="s">
        <v>2</v>
      </c>
      <c r="D3" s="8"/>
      <c r="E3" s="8"/>
      <c r="F3" s="8"/>
      <c r="G3" s="8"/>
      <c r="H3" s="6"/>
      <c r="I3" s="6"/>
    </row>
    <row r="4" spans="1:9" s="7" customFormat="1" ht="31.5" x14ac:dyDescent="0.25">
      <c r="A4" s="6"/>
      <c r="B4" s="96" t="s">
        <v>3</v>
      </c>
      <c r="C4" s="97" t="s">
        <v>4</v>
      </c>
      <c r="D4" s="8"/>
      <c r="E4" s="8"/>
      <c r="F4" s="8"/>
      <c r="G4" s="8"/>
      <c r="H4" s="6"/>
      <c r="I4" s="6"/>
    </row>
    <row r="5" spans="1:9" s="7" customFormat="1" ht="15.75" x14ac:dyDescent="0.25">
      <c r="A5" s="6"/>
      <c r="B5" s="96" t="s">
        <v>5</v>
      </c>
      <c r="C5" s="98" t="s">
        <v>6</v>
      </c>
      <c r="D5" s="8"/>
      <c r="E5" s="8"/>
      <c r="F5" s="8"/>
      <c r="G5" s="8"/>
      <c r="H5" s="6"/>
      <c r="I5" s="6"/>
    </row>
    <row r="6" spans="1:9" s="7" customFormat="1" ht="15.75" x14ac:dyDescent="0.25">
      <c r="A6" s="6"/>
      <c r="B6" s="96" t="s">
        <v>7</v>
      </c>
      <c r="C6" s="99" t="s">
        <v>8</v>
      </c>
      <c r="D6" s="8"/>
      <c r="E6" s="8"/>
      <c r="F6" s="8"/>
      <c r="G6" s="8"/>
      <c r="H6" s="6"/>
      <c r="I6" s="6"/>
    </row>
    <row r="7" spans="1:9" s="7" customFormat="1" ht="186.75" customHeight="1" x14ac:dyDescent="0.2">
      <c r="A7" s="6"/>
      <c r="B7" s="96" t="s">
        <v>9</v>
      </c>
      <c r="C7" s="90" t="s">
        <v>10</v>
      </c>
      <c r="D7" s="8"/>
      <c r="E7" s="8"/>
      <c r="F7" s="8"/>
      <c r="G7" s="298"/>
      <c r="H7" s="298"/>
      <c r="I7" s="6"/>
    </row>
    <row r="8" spans="1:9" s="7" customFormat="1" ht="108.75" customHeight="1" thickBot="1" x14ac:dyDescent="0.25">
      <c r="A8" s="6"/>
      <c r="B8" s="96" t="s">
        <v>11</v>
      </c>
      <c r="C8" s="88" t="s">
        <v>12</v>
      </c>
      <c r="D8" s="8"/>
      <c r="E8" s="8"/>
      <c r="F8" s="8"/>
      <c r="G8" s="8"/>
      <c r="H8" s="8"/>
      <c r="I8" s="8"/>
    </row>
    <row r="9" spans="1:9" s="7" customFormat="1" ht="31.5" x14ac:dyDescent="0.2">
      <c r="A9" s="6"/>
      <c r="B9" s="96" t="s">
        <v>13</v>
      </c>
      <c r="C9" s="92" t="s">
        <v>14</v>
      </c>
      <c r="D9" s="299" t="s">
        <v>15</v>
      </c>
      <c r="E9" s="300"/>
      <c r="F9" s="300"/>
      <c r="G9" s="300"/>
      <c r="H9" s="300"/>
      <c r="I9" s="301"/>
    </row>
    <row r="10" spans="1:9" s="7" customFormat="1" ht="31.5" x14ac:dyDescent="0.2">
      <c r="A10" s="6"/>
      <c r="B10" s="96" t="s">
        <v>16</v>
      </c>
      <c r="C10" s="89" t="s">
        <v>674</v>
      </c>
      <c r="D10" s="302"/>
      <c r="E10" s="303"/>
      <c r="F10" s="303"/>
      <c r="G10" s="303"/>
      <c r="H10" s="303"/>
      <c r="I10" s="304"/>
    </row>
    <row r="11" spans="1:9" s="7" customFormat="1" ht="31.5" x14ac:dyDescent="0.2">
      <c r="A11" s="6"/>
      <c r="B11" s="96" t="s">
        <v>17</v>
      </c>
      <c r="C11" s="89" t="s">
        <v>666</v>
      </c>
      <c r="D11" s="302"/>
      <c r="E11" s="303"/>
      <c r="F11" s="303"/>
      <c r="G11" s="303"/>
      <c r="H11" s="303"/>
      <c r="I11" s="304"/>
    </row>
    <row r="12" spans="1:9" s="7" customFormat="1" ht="32.25" thickBot="1" x14ac:dyDescent="0.25">
      <c r="A12" s="6"/>
      <c r="B12" s="100" t="s">
        <v>18</v>
      </c>
      <c r="C12" s="91">
        <v>45338</v>
      </c>
      <c r="D12" s="305"/>
      <c r="E12" s="306"/>
      <c r="F12" s="306"/>
      <c r="G12" s="306"/>
      <c r="H12" s="306"/>
      <c r="I12" s="307"/>
    </row>
    <row r="13" spans="1:9" ht="18.75" x14ac:dyDescent="0.3">
      <c r="A13" s="4"/>
      <c r="B13" s="101"/>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G713"/>
  <sheetViews>
    <sheetView tabSelected="1" zoomScaleNormal="100" workbookViewId="0">
      <pane ySplit="6" topLeftCell="A359" activePane="bottomLeft" state="frozen"/>
      <selection pane="bottomLeft" activeCell="F374" sqref="F374"/>
    </sheetView>
  </sheetViews>
  <sheetFormatPr baseColWidth="10" defaultColWidth="16.42578125" defaultRowHeight="15" customHeight="1" x14ac:dyDescent="0.2"/>
  <cols>
    <col min="1" max="1" width="16.42578125" style="122"/>
    <col min="2" max="2" width="7.85546875" style="122" customWidth="1"/>
    <col min="3" max="3" width="45.28515625" style="123" customWidth="1"/>
    <col min="4" max="4" width="25.28515625" style="123" customWidth="1"/>
    <col min="5" max="5" width="33.28515625" style="124" hidden="1" customWidth="1"/>
    <col min="6" max="6" width="18.28515625" style="124" bestFit="1" customWidth="1"/>
    <col min="7" max="7" width="33.28515625" style="124" hidden="1" customWidth="1"/>
    <col min="8" max="8" width="25" style="125" customWidth="1"/>
    <col min="9" max="9" width="57.28515625" style="126" customWidth="1"/>
    <col min="10" max="10" width="16.7109375" style="110" customWidth="1"/>
    <col min="11" max="11" width="17.85546875" style="110" customWidth="1"/>
    <col min="12" max="12" width="15" style="110" customWidth="1"/>
    <col min="13" max="13" width="17.140625" style="122" customWidth="1"/>
    <col min="14" max="14" width="26.42578125" style="122" customWidth="1"/>
    <col min="15" max="15" width="58.5703125" style="110" customWidth="1"/>
    <col min="16" max="16" width="19.5703125" style="110" customWidth="1"/>
    <col min="17" max="17" width="23.5703125" style="124" customWidth="1"/>
    <col min="18" max="18" width="34.42578125" style="124" customWidth="1"/>
    <col min="19" max="19" width="21.28515625" style="122" customWidth="1"/>
    <col min="20" max="20" width="19.5703125" style="122" customWidth="1"/>
    <col min="21" max="21" width="45.85546875" style="110" customWidth="1"/>
    <col min="22" max="22" width="18.42578125" style="122" customWidth="1"/>
    <col min="23" max="23" width="24.85546875" style="110" bestFit="1" customWidth="1"/>
    <col min="24" max="24" width="31.85546875" style="123" customWidth="1"/>
    <col min="25" max="25" width="32.7109375" style="122" customWidth="1"/>
    <col min="26" max="26" width="44.42578125" style="123" customWidth="1"/>
    <col min="27" max="46" width="10.42578125" style="110" customWidth="1"/>
    <col min="47" max="16384" width="16.42578125" style="110"/>
  </cols>
  <sheetData>
    <row r="1" spans="1:46" ht="40.5" customHeight="1" x14ac:dyDescent="0.2">
      <c r="A1" s="102"/>
      <c r="B1" s="103"/>
      <c r="C1" s="104"/>
      <c r="D1" s="104"/>
      <c r="E1" s="106"/>
      <c r="F1" s="106"/>
      <c r="G1" s="106"/>
      <c r="H1" s="107"/>
      <c r="I1" s="108"/>
      <c r="J1" s="105"/>
      <c r="K1" s="105"/>
      <c r="L1" s="105"/>
      <c r="M1" s="103"/>
      <c r="N1" s="103"/>
      <c r="O1" s="105"/>
      <c r="P1" s="105"/>
      <c r="Q1" s="106"/>
      <c r="R1" s="106"/>
      <c r="S1" s="103"/>
      <c r="T1" s="103"/>
      <c r="U1" s="105"/>
      <c r="V1" s="103"/>
      <c r="W1" s="105"/>
      <c r="X1" s="104"/>
      <c r="Y1" s="103"/>
      <c r="Z1" s="104"/>
      <c r="AA1" s="109"/>
      <c r="AB1" s="109"/>
      <c r="AC1" s="109"/>
      <c r="AD1" s="109"/>
      <c r="AE1" s="109"/>
      <c r="AF1" s="109"/>
      <c r="AG1" s="109"/>
      <c r="AH1" s="109"/>
      <c r="AI1" s="109"/>
      <c r="AJ1" s="109"/>
      <c r="AK1" s="109"/>
      <c r="AL1" s="109"/>
      <c r="AM1" s="109"/>
      <c r="AN1" s="109"/>
      <c r="AO1" s="109"/>
      <c r="AP1" s="109"/>
      <c r="AQ1" s="109"/>
      <c r="AR1" s="109"/>
      <c r="AS1" s="109"/>
      <c r="AT1" s="109"/>
    </row>
    <row r="2" spans="1:46" ht="36" customHeight="1" x14ac:dyDescent="0.2">
      <c r="A2" s="102"/>
      <c r="B2" s="111"/>
      <c r="C2" s="112"/>
      <c r="D2" s="112"/>
      <c r="E2" s="114"/>
      <c r="F2" s="114"/>
      <c r="G2" s="114"/>
      <c r="H2" s="115"/>
      <c r="I2" s="116"/>
      <c r="J2" s="113"/>
      <c r="K2" s="113"/>
      <c r="L2" s="113"/>
      <c r="M2" s="111"/>
      <c r="N2" s="111"/>
      <c r="O2" s="113"/>
      <c r="P2" s="113"/>
      <c r="Q2" s="114"/>
      <c r="R2" s="114"/>
      <c r="S2" s="111"/>
      <c r="T2" s="111"/>
      <c r="U2" s="113"/>
      <c r="V2" s="111"/>
      <c r="W2" s="113"/>
      <c r="X2" s="112"/>
      <c r="Y2" s="111"/>
      <c r="Z2" s="112"/>
      <c r="AA2" s="109"/>
      <c r="AB2" s="109"/>
      <c r="AC2" s="109"/>
      <c r="AD2" s="109"/>
      <c r="AE2" s="109"/>
      <c r="AF2" s="109"/>
      <c r="AG2" s="109"/>
      <c r="AH2" s="109"/>
      <c r="AI2" s="109"/>
      <c r="AJ2" s="109"/>
      <c r="AK2" s="109"/>
      <c r="AL2" s="109"/>
      <c r="AM2" s="109"/>
      <c r="AN2" s="109"/>
      <c r="AO2" s="109"/>
      <c r="AP2" s="109"/>
      <c r="AQ2" s="109"/>
      <c r="AR2" s="109"/>
      <c r="AS2" s="109"/>
      <c r="AT2" s="109"/>
    </row>
    <row r="3" spans="1:46" ht="11.25" customHeight="1" x14ac:dyDescent="0.2">
      <c r="A3" s="102"/>
      <c r="B3" s="111"/>
      <c r="C3" s="112"/>
      <c r="D3" s="112"/>
      <c r="E3" s="114"/>
      <c r="F3" s="114"/>
      <c r="G3" s="114"/>
      <c r="H3" s="115"/>
      <c r="I3" s="116"/>
      <c r="J3" s="113"/>
      <c r="K3" s="113"/>
      <c r="L3" s="113"/>
      <c r="M3" s="111"/>
      <c r="N3" s="111"/>
      <c r="O3" s="113"/>
      <c r="P3" s="113"/>
      <c r="Q3" s="114"/>
      <c r="R3" s="114"/>
      <c r="S3" s="111"/>
      <c r="T3" s="111"/>
      <c r="U3" s="113"/>
      <c r="V3" s="111"/>
      <c r="W3" s="113"/>
      <c r="X3" s="112"/>
      <c r="Y3" s="111"/>
      <c r="Z3" s="112"/>
      <c r="AA3" s="109"/>
      <c r="AB3" s="109"/>
      <c r="AC3" s="109"/>
      <c r="AD3" s="109"/>
      <c r="AE3" s="109"/>
      <c r="AF3" s="109"/>
      <c r="AG3" s="109"/>
      <c r="AH3" s="109"/>
      <c r="AI3" s="109"/>
      <c r="AJ3" s="109"/>
      <c r="AK3" s="109"/>
      <c r="AL3" s="109"/>
      <c r="AM3" s="109"/>
      <c r="AN3" s="109"/>
      <c r="AO3" s="109"/>
      <c r="AP3" s="109"/>
      <c r="AQ3" s="109"/>
      <c r="AR3" s="109"/>
      <c r="AS3" s="109"/>
      <c r="AT3" s="109"/>
    </row>
    <row r="4" spans="1:46" ht="19.5" customHeight="1" x14ac:dyDescent="0.2">
      <c r="A4" s="102"/>
      <c r="B4" s="111"/>
      <c r="C4" s="112"/>
      <c r="D4" s="112"/>
      <c r="E4" s="114"/>
      <c r="F4" s="114"/>
      <c r="G4" s="114"/>
      <c r="H4" s="115"/>
      <c r="I4" s="116"/>
      <c r="J4" s="113"/>
      <c r="K4" s="113"/>
      <c r="L4" s="113"/>
      <c r="M4" s="111" t="s">
        <v>221</v>
      </c>
      <c r="N4" s="111"/>
      <c r="O4" s="113" t="s">
        <v>221</v>
      </c>
      <c r="P4" s="113" t="s">
        <v>221</v>
      </c>
      <c r="Q4" s="114" t="s">
        <v>221</v>
      </c>
      <c r="R4" s="114" t="s">
        <v>221</v>
      </c>
      <c r="S4" s="111"/>
      <c r="T4" s="111" t="s">
        <v>221</v>
      </c>
      <c r="U4" s="113" t="s">
        <v>221</v>
      </c>
      <c r="V4" s="111" t="s">
        <v>221</v>
      </c>
      <c r="W4" s="113" t="s">
        <v>221</v>
      </c>
      <c r="X4" s="112"/>
      <c r="Y4" s="111"/>
      <c r="Z4" s="112"/>
      <c r="AA4" s="109"/>
      <c r="AB4" s="109"/>
      <c r="AC4" s="109"/>
      <c r="AD4" s="109"/>
      <c r="AE4" s="109"/>
      <c r="AF4" s="109"/>
      <c r="AG4" s="109"/>
      <c r="AH4" s="109"/>
      <c r="AI4" s="109"/>
      <c r="AJ4" s="109"/>
      <c r="AK4" s="109"/>
      <c r="AL4" s="109"/>
      <c r="AM4" s="109"/>
      <c r="AN4" s="109"/>
      <c r="AO4" s="109"/>
      <c r="AP4" s="109"/>
      <c r="AQ4" s="109"/>
      <c r="AR4" s="109"/>
      <c r="AS4" s="109"/>
      <c r="AT4" s="109"/>
    </row>
    <row r="5" spans="1:46" s="118" customFormat="1" ht="71.25" customHeight="1" x14ac:dyDescent="0.2">
      <c r="A5" s="310" t="s">
        <v>19</v>
      </c>
      <c r="B5" s="310" t="s">
        <v>20</v>
      </c>
      <c r="C5" s="310" t="s">
        <v>183</v>
      </c>
      <c r="D5" s="310" t="s">
        <v>184</v>
      </c>
      <c r="E5" s="312" t="s">
        <v>185</v>
      </c>
      <c r="F5" s="313"/>
      <c r="G5" s="314"/>
      <c r="H5" s="315" t="s">
        <v>186</v>
      </c>
      <c r="I5" s="317" t="s">
        <v>187</v>
      </c>
      <c r="J5" s="308" t="s">
        <v>21</v>
      </c>
      <c r="K5" s="308" t="s">
        <v>22</v>
      </c>
      <c r="L5" s="308" t="s">
        <v>23</v>
      </c>
      <c r="M5" s="308" t="s">
        <v>24</v>
      </c>
      <c r="N5" s="308" t="s">
        <v>188</v>
      </c>
      <c r="O5" s="308" t="s">
        <v>25</v>
      </c>
      <c r="P5" s="308" t="s">
        <v>26</v>
      </c>
      <c r="Q5" s="321" t="s">
        <v>189</v>
      </c>
      <c r="R5" s="321" t="s">
        <v>190</v>
      </c>
      <c r="S5" s="308" t="s">
        <v>27</v>
      </c>
      <c r="T5" s="308" t="s">
        <v>28</v>
      </c>
      <c r="U5" s="308" t="s">
        <v>191</v>
      </c>
      <c r="V5" s="308" t="s">
        <v>193</v>
      </c>
      <c r="W5" s="308" t="s">
        <v>192</v>
      </c>
      <c r="X5" s="308" t="s">
        <v>194</v>
      </c>
      <c r="Y5" s="323" t="s">
        <v>195</v>
      </c>
      <c r="Z5" s="319" t="s">
        <v>196</v>
      </c>
      <c r="AA5" s="117"/>
      <c r="AB5" s="117"/>
      <c r="AC5" s="117"/>
      <c r="AD5" s="117"/>
      <c r="AE5" s="117"/>
      <c r="AF5" s="117"/>
      <c r="AG5" s="117"/>
      <c r="AH5" s="117"/>
      <c r="AI5" s="117"/>
      <c r="AJ5" s="117"/>
      <c r="AK5" s="117"/>
      <c r="AL5" s="117"/>
      <c r="AM5" s="117"/>
      <c r="AN5" s="117"/>
      <c r="AO5" s="117"/>
      <c r="AP5" s="117"/>
      <c r="AQ5" s="117"/>
      <c r="AR5" s="117"/>
      <c r="AS5" s="117"/>
      <c r="AT5" s="117"/>
    </row>
    <row r="6" spans="1:46" s="118" customFormat="1" ht="60.75" customHeight="1" x14ac:dyDescent="0.2">
      <c r="A6" s="311"/>
      <c r="B6" s="311"/>
      <c r="C6" s="311"/>
      <c r="D6" s="311"/>
      <c r="E6" s="119" t="s">
        <v>218</v>
      </c>
      <c r="F6" s="120" t="s">
        <v>219</v>
      </c>
      <c r="G6" s="120" t="s">
        <v>220</v>
      </c>
      <c r="H6" s="316"/>
      <c r="I6" s="318"/>
      <c r="J6" s="309"/>
      <c r="K6" s="309"/>
      <c r="L6" s="309"/>
      <c r="M6" s="309"/>
      <c r="N6" s="309"/>
      <c r="O6" s="309"/>
      <c r="P6" s="309"/>
      <c r="Q6" s="322"/>
      <c r="R6" s="322"/>
      <c r="S6" s="309"/>
      <c r="T6" s="309"/>
      <c r="U6" s="309"/>
      <c r="V6" s="309"/>
      <c r="W6" s="309"/>
      <c r="X6" s="309"/>
      <c r="Y6" s="324"/>
      <c r="Z6" s="320"/>
      <c r="AA6" s="121"/>
      <c r="AB6" s="121"/>
      <c r="AC6" s="121"/>
      <c r="AD6" s="121"/>
      <c r="AE6" s="121"/>
      <c r="AF6" s="121"/>
      <c r="AG6" s="121"/>
      <c r="AH6" s="121"/>
      <c r="AI6" s="121"/>
      <c r="AJ6" s="121"/>
      <c r="AK6" s="121"/>
      <c r="AL6" s="121"/>
      <c r="AM6" s="121"/>
      <c r="AN6" s="121"/>
      <c r="AO6" s="121"/>
      <c r="AP6" s="121"/>
      <c r="AQ6" s="121"/>
      <c r="AR6" s="121"/>
      <c r="AS6" s="121"/>
      <c r="AT6" s="121"/>
    </row>
    <row r="7" spans="1:46" s="10" customFormat="1" ht="12.75" customHeight="1" x14ac:dyDescent="0.2">
      <c r="A7" s="131" t="s">
        <v>32</v>
      </c>
      <c r="B7" s="132">
        <v>1</v>
      </c>
      <c r="C7" s="133" t="s">
        <v>33</v>
      </c>
      <c r="D7" s="133" t="s">
        <v>34</v>
      </c>
      <c r="E7" s="129"/>
      <c r="F7" s="129">
        <v>1337212800</v>
      </c>
      <c r="G7" s="129"/>
      <c r="H7" s="134">
        <v>80111600</v>
      </c>
      <c r="I7" s="135" t="s">
        <v>222</v>
      </c>
      <c r="J7" s="136">
        <v>1</v>
      </c>
      <c r="K7" s="137">
        <v>1</v>
      </c>
      <c r="L7" s="138">
        <v>12</v>
      </c>
      <c r="M7" s="132">
        <f t="shared" ref="M7:M76" si="0">IF(ISBLANK(J7),"",1)</f>
        <v>1</v>
      </c>
      <c r="N7" s="139" t="s">
        <v>216</v>
      </c>
      <c r="O7" s="140" t="str">
        <f>IF(ISBLANK(N7),"",VLOOKUP(N7,[1]Parámetros!$G$2:$H$23,2,FALSE))</f>
        <v>Contratación directa.</v>
      </c>
      <c r="P7" s="141">
        <f t="shared" ref="P7:P38" si="1">IF(ISBLANK(N7),"",1)</f>
        <v>1</v>
      </c>
      <c r="Q7" s="142">
        <f t="shared" ref="Q7:Q76" si="2">+E7+F7+G7</f>
        <v>1337212800</v>
      </c>
      <c r="R7" s="142">
        <f t="shared" ref="R7:R76" si="3">+F7</f>
        <v>1337212800</v>
      </c>
      <c r="S7" s="143" t="s">
        <v>223</v>
      </c>
      <c r="T7" s="139">
        <f t="shared" ref="T7:T38" si="4">IF(ISBLANK(S7),"",IF(VALUE(S7)=0,0,IF(VALUE(S7)=1,3,"")))</f>
        <v>0</v>
      </c>
      <c r="U7" s="48" t="str">
        <f t="shared" ref="U7:U76" si="5">IF(ISBLANK(N7),"","SUBDIRECCION DE GESTION CONTRACTUAL")</f>
        <v>SUBDIRECCION DE GESTION CONTRACTUAL</v>
      </c>
      <c r="V7" s="132" t="str">
        <f t="shared" ref="V7:V38" si="6">IF(ISBLANK(N7),"","CO-DC")</f>
        <v>CO-DC</v>
      </c>
      <c r="W7" s="48" t="str">
        <f t="shared" ref="W7:W38" si="7">IF(ISBLANK(N7),"","Distrito Capital de Bogotá")</f>
        <v>Distrito Capital de Bogotá</v>
      </c>
      <c r="X7" s="144" t="s">
        <v>40</v>
      </c>
      <c r="Y7" s="145">
        <v>2427400</v>
      </c>
      <c r="Z7" s="146" t="s">
        <v>41</v>
      </c>
    </row>
    <row r="8" spans="1:46" s="10" customFormat="1" ht="12.75" customHeight="1" x14ac:dyDescent="0.2">
      <c r="A8" s="131" t="s">
        <v>32</v>
      </c>
      <c r="B8" s="132">
        <v>2</v>
      </c>
      <c r="C8" s="133" t="s">
        <v>33</v>
      </c>
      <c r="D8" s="133" t="s">
        <v>34</v>
      </c>
      <c r="E8" s="129"/>
      <c r="F8" s="129">
        <v>1150688000</v>
      </c>
      <c r="G8" s="129"/>
      <c r="H8" s="134">
        <v>80111600</v>
      </c>
      <c r="I8" s="135" t="s">
        <v>222</v>
      </c>
      <c r="J8" s="136">
        <v>1</v>
      </c>
      <c r="K8" s="137">
        <v>1</v>
      </c>
      <c r="L8" s="138">
        <v>12</v>
      </c>
      <c r="M8" s="132">
        <f t="shared" si="0"/>
        <v>1</v>
      </c>
      <c r="N8" s="139" t="s">
        <v>216</v>
      </c>
      <c r="O8" s="140" t="str">
        <f>IF(ISBLANK(N8),"",VLOOKUP(N8,[1]Parámetros!$G$2:$H$23,2,FALSE))</f>
        <v>Contratación directa.</v>
      </c>
      <c r="P8" s="141">
        <f t="shared" si="1"/>
        <v>1</v>
      </c>
      <c r="Q8" s="142">
        <f t="shared" si="2"/>
        <v>1150688000</v>
      </c>
      <c r="R8" s="142">
        <f t="shared" si="3"/>
        <v>1150688000</v>
      </c>
      <c r="S8" s="143" t="s">
        <v>223</v>
      </c>
      <c r="T8" s="139">
        <f t="shared" si="4"/>
        <v>0</v>
      </c>
      <c r="U8" s="48" t="str">
        <f t="shared" si="5"/>
        <v>SUBDIRECCION DE GESTION CONTRACTUAL</v>
      </c>
      <c r="V8" s="132" t="str">
        <f t="shared" si="6"/>
        <v>CO-DC</v>
      </c>
      <c r="W8" s="48" t="str">
        <f t="shared" si="7"/>
        <v>Distrito Capital de Bogotá</v>
      </c>
      <c r="X8" s="144" t="s">
        <v>40</v>
      </c>
      <c r="Y8" s="132">
        <v>2427381</v>
      </c>
      <c r="Z8" s="146" t="s">
        <v>41</v>
      </c>
    </row>
    <row r="9" spans="1:46" s="10" customFormat="1" ht="12.75" customHeight="1" x14ac:dyDescent="0.2">
      <c r="A9" s="131" t="s">
        <v>32</v>
      </c>
      <c r="B9" s="132">
        <v>3</v>
      </c>
      <c r="C9" s="133" t="s">
        <v>33</v>
      </c>
      <c r="D9" s="133" t="s">
        <v>34</v>
      </c>
      <c r="E9" s="129"/>
      <c r="F9" s="129">
        <v>136434513</v>
      </c>
      <c r="G9" s="129"/>
      <c r="H9" s="134" t="s">
        <v>42</v>
      </c>
      <c r="I9" s="135" t="s">
        <v>621</v>
      </c>
      <c r="J9" s="136">
        <v>3</v>
      </c>
      <c r="K9" s="137">
        <v>4</v>
      </c>
      <c r="L9" s="138">
        <v>9</v>
      </c>
      <c r="M9" s="132">
        <f t="shared" si="0"/>
        <v>1</v>
      </c>
      <c r="N9" s="139" t="s">
        <v>61</v>
      </c>
      <c r="O9" s="140" t="str">
        <f>IF(ISBLANK(N9),"",VLOOKUP(N9,[1]Parámetros!$G$2:$H$23,2,FALSE))</f>
        <v>Contratación régimen especial - Selección de comisionista</v>
      </c>
      <c r="P9" s="141">
        <f t="shared" si="1"/>
        <v>1</v>
      </c>
      <c r="Q9" s="142">
        <f t="shared" si="2"/>
        <v>136434513</v>
      </c>
      <c r="R9" s="142">
        <f t="shared" si="3"/>
        <v>136434513</v>
      </c>
      <c r="S9" s="143" t="s">
        <v>223</v>
      </c>
      <c r="T9" s="139">
        <f t="shared" si="4"/>
        <v>0</v>
      </c>
      <c r="U9" s="48" t="str">
        <f t="shared" si="5"/>
        <v>SUBDIRECCION DE GESTION CONTRACTUAL</v>
      </c>
      <c r="V9" s="132" t="str">
        <f t="shared" si="6"/>
        <v>CO-DC</v>
      </c>
      <c r="W9" s="48" t="str">
        <f t="shared" si="7"/>
        <v>Distrito Capital de Bogotá</v>
      </c>
      <c r="X9" s="144" t="s">
        <v>40</v>
      </c>
      <c r="Y9" s="132">
        <v>2427382</v>
      </c>
      <c r="Z9" s="146" t="s">
        <v>41</v>
      </c>
    </row>
    <row r="10" spans="1:46" s="10" customFormat="1" ht="12.75" customHeight="1" x14ac:dyDescent="0.2">
      <c r="A10" s="131" t="s">
        <v>32</v>
      </c>
      <c r="B10" s="132">
        <v>4</v>
      </c>
      <c r="C10" s="133" t="s">
        <v>33</v>
      </c>
      <c r="D10" s="133" t="s">
        <v>34</v>
      </c>
      <c r="E10" s="129"/>
      <c r="F10" s="129">
        <v>1200000000</v>
      </c>
      <c r="G10" s="129"/>
      <c r="H10" s="134" t="s">
        <v>224</v>
      </c>
      <c r="I10" s="135" t="s">
        <v>225</v>
      </c>
      <c r="J10" s="136">
        <v>2</v>
      </c>
      <c r="K10" s="137">
        <v>2</v>
      </c>
      <c r="L10" s="138">
        <v>6</v>
      </c>
      <c r="M10" s="132">
        <f t="shared" si="0"/>
        <v>1</v>
      </c>
      <c r="N10" s="139" t="s">
        <v>36</v>
      </c>
      <c r="O10" s="140" t="str">
        <f>IF(ISBLANK(N10),"",VLOOKUP(N10,[1]Parámetros!$G$2:$H$23,2,FALSE))</f>
        <v xml:space="preserve">Contratación directa (con ofertas) </v>
      </c>
      <c r="P10" s="141">
        <f t="shared" si="1"/>
        <v>1</v>
      </c>
      <c r="Q10" s="142">
        <f t="shared" si="2"/>
        <v>1200000000</v>
      </c>
      <c r="R10" s="142">
        <f t="shared" si="3"/>
        <v>1200000000</v>
      </c>
      <c r="S10" s="143" t="s">
        <v>223</v>
      </c>
      <c r="T10" s="139">
        <f t="shared" si="4"/>
        <v>0</v>
      </c>
      <c r="U10" s="48" t="str">
        <f t="shared" si="5"/>
        <v>SUBDIRECCION DE GESTION CONTRACTUAL</v>
      </c>
      <c r="V10" s="132" t="str">
        <f t="shared" si="6"/>
        <v>CO-DC</v>
      </c>
      <c r="W10" s="48" t="str">
        <f t="shared" si="7"/>
        <v>Distrito Capital de Bogotá</v>
      </c>
      <c r="X10" s="144" t="s">
        <v>40</v>
      </c>
      <c r="Y10" s="132">
        <v>2427383</v>
      </c>
      <c r="Z10" s="146" t="s">
        <v>41</v>
      </c>
    </row>
    <row r="11" spans="1:46" s="10" customFormat="1" ht="12.75" customHeight="1" x14ac:dyDescent="0.2">
      <c r="A11" s="131" t="s">
        <v>32</v>
      </c>
      <c r="B11" s="132">
        <v>5</v>
      </c>
      <c r="C11" s="133" t="s">
        <v>45</v>
      </c>
      <c r="D11" s="133" t="s">
        <v>34</v>
      </c>
      <c r="E11" s="129"/>
      <c r="F11" s="129">
        <v>2584736000</v>
      </c>
      <c r="G11" s="129"/>
      <c r="H11" s="134">
        <v>80111600</v>
      </c>
      <c r="I11" s="135" t="s">
        <v>222</v>
      </c>
      <c r="J11" s="136">
        <v>1</v>
      </c>
      <c r="K11" s="137">
        <v>1</v>
      </c>
      <c r="L11" s="138">
        <v>12</v>
      </c>
      <c r="M11" s="132">
        <f t="shared" si="0"/>
        <v>1</v>
      </c>
      <c r="N11" s="139" t="s">
        <v>216</v>
      </c>
      <c r="O11" s="140" t="str">
        <f>IF(ISBLANK(N11),"",VLOOKUP(N11,[1]Parámetros!$G$2:$H$23,2,FALSE))</f>
        <v>Contratación directa.</v>
      </c>
      <c r="P11" s="141">
        <f t="shared" si="1"/>
        <v>1</v>
      </c>
      <c r="Q11" s="142">
        <f t="shared" si="2"/>
        <v>2584736000</v>
      </c>
      <c r="R11" s="142">
        <f t="shared" si="3"/>
        <v>2584736000</v>
      </c>
      <c r="S11" s="143" t="s">
        <v>223</v>
      </c>
      <c r="T11" s="139">
        <f t="shared" si="4"/>
        <v>0</v>
      </c>
      <c r="U11" s="48" t="str">
        <f t="shared" si="5"/>
        <v>SUBDIRECCION DE GESTION CONTRACTUAL</v>
      </c>
      <c r="V11" s="132" t="str">
        <f t="shared" si="6"/>
        <v>CO-DC</v>
      </c>
      <c r="W11" s="48" t="str">
        <f t="shared" si="7"/>
        <v>Distrito Capital de Bogotá</v>
      </c>
      <c r="X11" s="144" t="s">
        <v>40</v>
      </c>
      <c r="Y11" s="132">
        <v>2427384</v>
      </c>
      <c r="Z11" s="146" t="s">
        <v>41</v>
      </c>
    </row>
    <row r="12" spans="1:46" s="10" customFormat="1" ht="12.75" customHeight="1" x14ac:dyDescent="0.2">
      <c r="A12" s="131" t="s">
        <v>32</v>
      </c>
      <c r="B12" s="132">
        <v>6</v>
      </c>
      <c r="C12" s="133" t="s">
        <v>45</v>
      </c>
      <c r="D12" s="133" t="s">
        <v>34</v>
      </c>
      <c r="E12" s="129"/>
      <c r="F12" s="129">
        <v>2277330194</v>
      </c>
      <c r="G12" s="129"/>
      <c r="H12" s="134">
        <v>80111600</v>
      </c>
      <c r="I12" s="135" t="s">
        <v>222</v>
      </c>
      <c r="J12" s="136">
        <v>1</v>
      </c>
      <c r="K12" s="137">
        <v>1</v>
      </c>
      <c r="L12" s="138">
        <v>12</v>
      </c>
      <c r="M12" s="132">
        <f t="shared" si="0"/>
        <v>1</v>
      </c>
      <c r="N12" s="139" t="s">
        <v>216</v>
      </c>
      <c r="O12" s="140" t="str">
        <f>IF(ISBLANK(N12),"",VLOOKUP(N12,[1]Parámetros!$G$2:$H$23,2,FALSE))</f>
        <v>Contratación directa.</v>
      </c>
      <c r="P12" s="141">
        <f t="shared" si="1"/>
        <v>1</v>
      </c>
      <c r="Q12" s="142">
        <f t="shared" si="2"/>
        <v>2277330194</v>
      </c>
      <c r="R12" s="142">
        <f t="shared" si="3"/>
        <v>2277330194</v>
      </c>
      <c r="S12" s="143" t="s">
        <v>223</v>
      </c>
      <c r="T12" s="139">
        <f t="shared" si="4"/>
        <v>0</v>
      </c>
      <c r="U12" s="48" t="str">
        <f t="shared" si="5"/>
        <v>SUBDIRECCION DE GESTION CONTRACTUAL</v>
      </c>
      <c r="V12" s="132" t="str">
        <f t="shared" si="6"/>
        <v>CO-DC</v>
      </c>
      <c r="W12" s="48" t="str">
        <f t="shared" si="7"/>
        <v>Distrito Capital de Bogotá</v>
      </c>
      <c r="X12" s="144" t="s">
        <v>40</v>
      </c>
      <c r="Y12" s="132">
        <v>2427385</v>
      </c>
      <c r="Z12" s="146" t="s">
        <v>41</v>
      </c>
    </row>
    <row r="13" spans="1:46" s="10" customFormat="1" ht="12.75" customHeight="1" x14ac:dyDescent="0.2">
      <c r="A13" s="131" t="s">
        <v>32</v>
      </c>
      <c r="B13" s="132">
        <v>7</v>
      </c>
      <c r="C13" s="133" t="s">
        <v>45</v>
      </c>
      <c r="D13" s="133" t="s">
        <v>34</v>
      </c>
      <c r="E13" s="129"/>
      <c r="F13" s="129">
        <v>586432000</v>
      </c>
      <c r="G13" s="129"/>
      <c r="H13" s="134">
        <v>80111600</v>
      </c>
      <c r="I13" s="135" t="s">
        <v>222</v>
      </c>
      <c r="J13" s="136">
        <v>1</v>
      </c>
      <c r="K13" s="137">
        <v>1</v>
      </c>
      <c r="L13" s="138">
        <v>12</v>
      </c>
      <c r="M13" s="132">
        <f t="shared" si="0"/>
        <v>1</v>
      </c>
      <c r="N13" s="139" t="s">
        <v>216</v>
      </c>
      <c r="O13" s="140" t="str">
        <f>IF(ISBLANK(N13),"",VLOOKUP(N13,[1]Parámetros!$G$2:$H$23,2,FALSE))</f>
        <v>Contratación directa.</v>
      </c>
      <c r="P13" s="141">
        <f t="shared" si="1"/>
        <v>1</v>
      </c>
      <c r="Q13" s="142">
        <f t="shared" si="2"/>
        <v>586432000</v>
      </c>
      <c r="R13" s="142">
        <f t="shared" si="3"/>
        <v>586432000</v>
      </c>
      <c r="S13" s="143" t="s">
        <v>223</v>
      </c>
      <c r="T13" s="139">
        <f t="shared" si="4"/>
        <v>0</v>
      </c>
      <c r="U13" s="48" t="str">
        <f t="shared" si="5"/>
        <v>SUBDIRECCION DE GESTION CONTRACTUAL</v>
      </c>
      <c r="V13" s="132" t="str">
        <f t="shared" si="6"/>
        <v>CO-DC</v>
      </c>
      <c r="W13" s="48" t="str">
        <f t="shared" si="7"/>
        <v>Distrito Capital de Bogotá</v>
      </c>
      <c r="X13" s="144" t="s">
        <v>40</v>
      </c>
      <c r="Y13" s="132">
        <v>2427386</v>
      </c>
      <c r="Z13" s="146" t="s">
        <v>41</v>
      </c>
    </row>
    <row r="14" spans="1:46" s="10" customFormat="1" ht="12.75" customHeight="1" x14ac:dyDescent="0.2">
      <c r="A14" s="131" t="s">
        <v>32</v>
      </c>
      <c r="B14" s="132">
        <v>8</v>
      </c>
      <c r="C14" s="133" t="s">
        <v>45</v>
      </c>
      <c r="D14" s="133" t="s">
        <v>34</v>
      </c>
      <c r="E14" s="129">
        <v>371842677</v>
      </c>
      <c r="F14" s="202">
        <f>1778365240+1363958</f>
        <v>1779729198</v>
      </c>
      <c r="G14" s="129"/>
      <c r="H14" s="134" t="s">
        <v>42</v>
      </c>
      <c r="I14" s="135" t="s">
        <v>621</v>
      </c>
      <c r="J14" s="136">
        <v>3</v>
      </c>
      <c r="K14" s="137">
        <v>4</v>
      </c>
      <c r="L14" s="138">
        <v>9</v>
      </c>
      <c r="M14" s="132">
        <f t="shared" si="0"/>
        <v>1</v>
      </c>
      <c r="N14" s="139" t="s">
        <v>61</v>
      </c>
      <c r="O14" s="140" t="str">
        <f>IF(ISBLANK(N14),"",VLOOKUP(N14,[1]Parámetros!$G$2:$H$23,2,FALSE))</f>
        <v>Contratación régimen especial - Selección de comisionista</v>
      </c>
      <c r="P14" s="141">
        <f t="shared" si="1"/>
        <v>1</v>
      </c>
      <c r="Q14" s="142">
        <f t="shared" si="2"/>
        <v>2151571875</v>
      </c>
      <c r="R14" s="142">
        <f t="shared" si="3"/>
        <v>1779729198</v>
      </c>
      <c r="S14" s="143" t="s">
        <v>223</v>
      </c>
      <c r="T14" s="139">
        <f t="shared" si="4"/>
        <v>0</v>
      </c>
      <c r="U14" s="48" t="str">
        <f t="shared" si="5"/>
        <v>SUBDIRECCION DE GESTION CONTRACTUAL</v>
      </c>
      <c r="V14" s="132" t="str">
        <f t="shared" si="6"/>
        <v>CO-DC</v>
      </c>
      <c r="W14" s="48" t="str">
        <f t="shared" si="7"/>
        <v>Distrito Capital de Bogotá</v>
      </c>
      <c r="X14" s="144" t="s">
        <v>40</v>
      </c>
      <c r="Y14" s="132">
        <v>2427387</v>
      </c>
      <c r="Z14" s="146" t="s">
        <v>41</v>
      </c>
    </row>
    <row r="15" spans="1:46" s="10" customFormat="1" ht="12.75" customHeight="1" x14ac:dyDescent="0.2">
      <c r="A15" s="131" t="s">
        <v>32</v>
      </c>
      <c r="B15" s="132">
        <v>9</v>
      </c>
      <c r="C15" s="133" t="s">
        <v>45</v>
      </c>
      <c r="D15" s="133" t="s">
        <v>34</v>
      </c>
      <c r="E15" s="129"/>
      <c r="F15" s="129">
        <v>600000000</v>
      </c>
      <c r="G15" s="129"/>
      <c r="H15" s="134" t="s">
        <v>224</v>
      </c>
      <c r="I15" s="135" t="s">
        <v>225</v>
      </c>
      <c r="J15" s="147">
        <v>2</v>
      </c>
      <c r="K15" s="148">
        <v>2</v>
      </c>
      <c r="L15" s="149">
        <v>6</v>
      </c>
      <c r="M15" s="132">
        <f t="shared" si="0"/>
        <v>1</v>
      </c>
      <c r="N15" s="139" t="s">
        <v>36</v>
      </c>
      <c r="O15" s="140" t="str">
        <f>IF(ISBLANK(N15),"",VLOOKUP(N15,[1]Parámetros!$G$2:$H$23,2,FALSE))</f>
        <v xml:space="preserve">Contratación directa (con ofertas) </v>
      </c>
      <c r="P15" s="141">
        <f t="shared" si="1"/>
        <v>1</v>
      </c>
      <c r="Q15" s="142">
        <f t="shared" si="2"/>
        <v>600000000</v>
      </c>
      <c r="R15" s="142">
        <f t="shared" si="3"/>
        <v>600000000</v>
      </c>
      <c r="S15" s="143" t="s">
        <v>223</v>
      </c>
      <c r="T15" s="139">
        <f t="shared" si="4"/>
        <v>0</v>
      </c>
      <c r="U15" s="48" t="str">
        <f t="shared" si="5"/>
        <v>SUBDIRECCION DE GESTION CONTRACTUAL</v>
      </c>
      <c r="V15" s="132" t="str">
        <f t="shared" si="6"/>
        <v>CO-DC</v>
      </c>
      <c r="W15" s="48" t="str">
        <f t="shared" si="7"/>
        <v>Distrito Capital de Bogotá</v>
      </c>
      <c r="X15" s="144" t="s">
        <v>40</v>
      </c>
      <c r="Y15" s="132">
        <v>2427388</v>
      </c>
      <c r="Z15" s="146" t="s">
        <v>41</v>
      </c>
    </row>
    <row r="16" spans="1:46" s="10" customFormat="1" ht="12.75" customHeight="1" x14ac:dyDescent="0.2">
      <c r="A16" s="131" t="s">
        <v>32</v>
      </c>
      <c r="B16" s="132">
        <v>10</v>
      </c>
      <c r="C16" s="133" t="s">
        <v>45</v>
      </c>
      <c r="D16" s="133" t="s">
        <v>34</v>
      </c>
      <c r="E16" s="129"/>
      <c r="F16" s="202">
        <f>2000000000-1200000000+1200000000</f>
        <v>2000000000</v>
      </c>
      <c r="G16" s="129"/>
      <c r="H16" s="134" t="s">
        <v>795</v>
      </c>
      <c r="I16" s="135" t="s">
        <v>227</v>
      </c>
      <c r="J16" s="211">
        <v>2</v>
      </c>
      <c r="K16" s="211">
        <v>3</v>
      </c>
      <c r="L16" s="211">
        <v>9</v>
      </c>
      <c r="M16" s="132">
        <f t="shared" si="0"/>
        <v>1</v>
      </c>
      <c r="N16" s="212" t="s">
        <v>233</v>
      </c>
      <c r="O16" s="213" t="str">
        <f>IF(ISBLANK(N16),"",VLOOKUP(N16,[1]Parámetros!$G$2:$H$23,2,FALSE))</f>
        <v>Licitación pública</v>
      </c>
      <c r="P16" s="141">
        <f t="shared" si="1"/>
        <v>1</v>
      </c>
      <c r="Q16" s="142">
        <f t="shared" si="2"/>
        <v>2000000000</v>
      </c>
      <c r="R16" s="142">
        <f t="shared" si="3"/>
        <v>2000000000</v>
      </c>
      <c r="S16" s="143" t="s">
        <v>223</v>
      </c>
      <c r="T16" s="139">
        <f t="shared" si="4"/>
        <v>0</v>
      </c>
      <c r="U16" s="48" t="str">
        <f t="shared" si="5"/>
        <v>SUBDIRECCION DE GESTION CONTRACTUAL</v>
      </c>
      <c r="V16" s="132" t="str">
        <f t="shared" si="6"/>
        <v>CO-DC</v>
      </c>
      <c r="W16" s="48" t="str">
        <f t="shared" si="7"/>
        <v>Distrito Capital de Bogotá</v>
      </c>
      <c r="X16" s="144" t="s">
        <v>40</v>
      </c>
      <c r="Y16" s="132">
        <v>2427389</v>
      </c>
      <c r="Z16" s="146" t="s">
        <v>41</v>
      </c>
    </row>
    <row r="17" spans="1:85" s="10" customFormat="1" ht="12.75" customHeight="1" x14ac:dyDescent="0.2">
      <c r="A17" s="131" t="s">
        <v>32</v>
      </c>
      <c r="B17" s="132">
        <v>11</v>
      </c>
      <c r="C17" s="133" t="s">
        <v>45</v>
      </c>
      <c r="D17" s="133" t="s">
        <v>34</v>
      </c>
      <c r="E17" s="129"/>
      <c r="F17" s="129">
        <v>700000000</v>
      </c>
      <c r="G17" s="129"/>
      <c r="H17" s="134" t="s">
        <v>103</v>
      </c>
      <c r="I17" s="135" t="s">
        <v>626</v>
      </c>
      <c r="J17" s="136">
        <v>2</v>
      </c>
      <c r="K17" s="137">
        <v>3</v>
      </c>
      <c r="L17" s="138">
        <v>10</v>
      </c>
      <c r="M17" s="132">
        <f t="shared" si="0"/>
        <v>1</v>
      </c>
      <c r="N17" s="139" t="s">
        <v>36</v>
      </c>
      <c r="O17" s="140" t="str">
        <f>IF(ISBLANK(N17),"",VLOOKUP(N17,[1]Parámetros!$G$2:$H$23,2,FALSE))</f>
        <v xml:space="preserve">Contratación directa (con ofertas) </v>
      </c>
      <c r="P17" s="141">
        <f t="shared" si="1"/>
        <v>1</v>
      </c>
      <c r="Q17" s="142">
        <f t="shared" si="2"/>
        <v>700000000</v>
      </c>
      <c r="R17" s="142">
        <f t="shared" si="3"/>
        <v>700000000</v>
      </c>
      <c r="S17" s="143" t="s">
        <v>223</v>
      </c>
      <c r="T17" s="139">
        <f t="shared" si="4"/>
        <v>0</v>
      </c>
      <c r="U17" s="48" t="str">
        <f t="shared" si="5"/>
        <v>SUBDIRECCION DE GESTION CONTRACTUAL</v>
      </c>
      <c r="V17" s="132" t="str">
        <f t="shared" si="6"/>
        <v>CO-DC</v>
      </c>
      <c r="W17" s="48" t="str">
        <f t="shared" si="7"/>
        <v>Distrito Capital de Bogotá</v>
      </c>
      <c r="X17" s="144" t="s">
        <v>40</v>
      </c>
      <c r="Y17" s="132">
        <v>2427390</v>
      </c>
      <c r="Z17" s="146" t="s">
        <v>41</v>
      </c>
    </row>
    <row r="18" spans="1:85" s="10" customFormat="1" ht="12.75" customHeight="1" x14ac:dyDescent="0.2">
      <c r="A18" s="131" t="s">
        <v>32</v>
      </c>
      <c r="B18" s="132">
        <v>12</v>
      </c>
      <c r="C18" s="133" t="s">
        <v>45</v>
      </c>
      <c r="D18" s="133" t="s">
        <v>34</v>
      </c>
      <c r="E18" s="129"/>
      <c r="F18" s="129">
        <v>3147788700</v>
      </c>
      <c r="G18" s="129"/>
      <c r="H18" s="203" t="s">
        <v>66</v>
      </c>
      <c r="I18" s="204" t="s">
        <v>228</v>
      </c>
      <c r="J18" s="205">
        <v>3</v>
      </c>
      <c r="K18" s="206">
        <v>3</v>
      </c>
      <c r="L18" s="138">
        <v>3</v>
      </c>
      <c r="M18" s="132">
        <f t="shared" si="0"/>
        <v>1</v>
      </c>
      <c r="N18" s="139" t="s">
        <v>36</v>
      </c>
      <c r="O18" s="140" t="str">
        <f>IF(ISBLANK(N18),"",VLOOKUP(N18,[1]Parámetros!$G$2:$H$23,2,FALSE))</f>
        <v xml:space="preserve">Contratación directa (con ofertas) </v>
      </c>
      <c r="P18" s="141">
        <f t="shared" si="1"/>
        <v>1</v>
      </c>
      <c r="Q18" s="142">
        <f t="shared" si="2"/>
        <v>3147788700</v>
      </c>
      <c r="R18" s="142">
        <f t="shared" si="3"/>
        <v>3147788700</v>
      </c>
      <c r="S18" s="143" t="s">
        <v>223</v>
      </c>
      <c r="T18" s="139">
        <f t="shared" si="4"/>
        <v>0</v>
      </c>
      <c r="U18" s="48" t="str">
        <f t="shared" si="5"/>
        <v>SUBDIRECCION DE GESTION CONTRACTUAL</v>
      </c>
      <c r="V18" s="132" t="str">
        <f t="shared" si="6"/>
        <v>CO-DC</v>
      </c>
      <c r="W18" s="48" t="str">
        <f t="shared" si="7"/>
        <v>Distrito Capital de Bogotá</v>
      </c>
      <c r="X18" s="144" t="s">
        <v>40</v>
      </c>
      <c r="Y18" s="132">
        <v>2427391</v>
      </c>
      <c r="Z18" s="146" t="s">
        <v>41</v>
      </c>
    </row>
    <row r="19" spans="1:85" s="10" customFormat="1" ht="12.75" customHeight="1" x14ac:dyDescent="0.2">
      <c r="A19" s="131" t="s">
        <v>32</v>
      </c>
      <c r="B19" s="132">
        <v>13</v>
      </c>
      <c r="C19" s="133" t="s">
        <v>45</v>
      </c>
      <c r="D19" s="133" t="s">
        <v>34</v>
      </c>
      <c r="E19" s="129"/>
      <c r="F19" s="202">
        <f>2300000000+1700000000</f>
        <v>4000000000</v>
      </c>
      <c r="G19" s="129"/>
      <c r="H19" s="134" t="s">
        <v>229</v>
      </c>
      <c r="I19" s="135" t="s">
        <v>230</v>
      </c>
      <c r="J19" s="136">
        <v>3</v>
      </c>
      <c r="K19" s="137">
        <v>3</v>
      </c>
      <c r="L19" s="138">
        <v>6</v>
      </c>
      <c r="M19" s="132">
        <f t="shared" si="0"/>
        <v>1</v>
      </c>
      <c r="N19" s="139" t="s">
        <v>36</v>
      </c>
      <c r="O19" s="140" t="str">
        <f>IF(ISBLANK(N19),"",VLOOKUP(N19,[1]Parámetros!$G$2:$H$23,2,FALSE))</f>
        <v xml:space="preserve">Contratación directa (con ofertas) </v>
      </c>
      <c r="P19" s="141">
        <f t="shared" si="1"/>
        <v>1</v>
      </c>
      <c r="Q19" s="142">
        <f t="shared" si="2"/>
        <v>4000000000</v>
      </c>
      <c r="R19" s="142">
        <f t="shared" si="3"/>
        <v>4000000000</v>
      </c>
      <c r="S19" s="143" t="s">
        <v>223</v>
      </c>
      <c r="T19" s="139">
        <f t="shared" si="4"/>
        <v>0</v>
      </c>
      <c r="U19" s="48" t="str">
        <f t="shared" si="5"/>
        <v>SUBDIRECCION DE GESTION CONTRACTUAL</v>
      </c>
      <c r="V19" s="132" t="str">
        <f t="shared" si="6"/>
        <v>CO-DC</v>
      </c>
      <c r="W19" s="48" t="str">
        <f t="shared" si="7"/>
        <v>Distrito Capital de Bogotá</v>
      </c>
      <c r="X19" s="144" t="s">
        <v>40</v>
      </c>
      <c r="Y19" s="132">
        <v>2427392</v>
      </c>
      <c r="Z19" s="146" t="s">
        <v>41</v>
      </c>
    </row>
    <row r="20" spans="1:85" s="10" customFormat="1" ht="12.75" customHeight="1" x14ac:dyDescent="0.2">
      <c r="A20" s="131" t="s">
        <v>32</v>
      </c>
      <c r="B20" s="132">
        <v>14</v>
      </c>
      <c r="C20" s="133" t="s">
        <v>45</v>
      </c>
      <c r="D20" s="133" t="s">
        <v>34</v>
      </c>
      <c r="E20" s="129"/>
      <c r="F20" s="202">
        <f>2200000000+1800000000</f>
        <v>4000000000</v>
      </c>
      <c r="G20" s="129"/>
      <c r="H20" s="134" t="s">
        <v>229</v>
      </c>
      <c r="I20" s="135" t="s">
        <v>231</v>
      </c>
      <c r="J20" s="136">
        <v>3</v>
      </c>
      <c r="K20" s="137">
        <v>3</v>
      </c>
      <c r="L20" s="138">
        <v>6</v>
      </c>
      <c r="M20" s="132">
        <f t="shared" si="0"/>
        <v>1</v>
      </c>
      <c r="N20" s="139" t="s">
        <v>36</v>
      </c>
      <c r="O20" s="140" t="str">
        <f>IF(ISBLANK(N20),"",VLOOKUP(N20,[1]Parámetros!$G$2:$H$23,2,FALSE))</f>
        <v xml:space="preserve">Contratación directa (con ofertas) </v>
      </c>
      <c r="P20" s="141">
        <f t="shared" si="1"/>
        <v>1</v>
      </c>
      <c r="Q20" s="142">
        <f t="shared" si="2"/>
        <v>4000000000</v>
      </c>
      <c r="R20" s="142">
        <f t="shared" si="3"/>
        <v>4000000000</v>
      </c>
      <c r="S20" s="143" t="s">
        <v>223</v>
      </c>
      <c r="T20" s="139">
        <f t="shared" si="4"/>
        <v>0</v>
      </c>
      <c r="U20" s="48" t="str">
        <f t="shared" si="5"/>
        <v>SUBDIRECCION DE GESTION CONTRACTUAL</v>
      </c>
      <c r="V20" s="132" t="str">
        <f t="shared" si="6"/>
        <v>CO-DC</v>
      </c>
      <c r="W20" s="48" t="str">
        <f t="shared" si="7"/>
        <v>Distrito Capital de Bogotá</v>
      </c>
      <c r="X20" s="144" t="s">
        <v>40</v>
      </c>
      <c r="Y20" s="132">
        <v>2427393</v>
      </c>
      <c r="Z20" s="146" t="s">
        <v>41</v>
      </c>
    </row>
    <row r="21" spans="1:85" s="10" customFormat="1" ht="12.75" customHeight="1" x14ac:dyDescent="0.2">
      <c r="A21" s="131" t="s">
        <v>32</v>
      </c>
      <c r="B21" s="132">
        <v>15</v>
      </c>
      <c r="C21" s="133" t="s">
        <v>45</v>
      </c>
      <c r="D21" s="133" t="s">
        <v>34</v>
      </c>
      <c r="E21" s="129"/>
      <c r="F21" s="202">
        <f>1700000000+2300000000</f>
        <v>4000000000</v>
      </c>
      <c r="G21" s="129"/>
      <c r="H21" s="134" t="s">
        <v>229</v>
      </c>
      <c r="I21" s="135" t="s">
        <v>232</v>
      </c>
      <c r="J21" s="136">
        <v>3</v>
      </c>
      <c r="K21" s="137">
        <v>3</v>
      </c>
      <c r="L21" s="138">
        <v>6</v>
      </c>
      <c r="M21" s="132">
        <f t="shared" si="0"/>
        <v>1</v>
      </c>
      <c r="N21" s="139" t="s">
        <v>36</v>
      </c>
      <c r="O21" s="140" t="str">
        <f>IF(ISBLANK(N21),"",VLOOKUP(N21,[1]Parámetros!$G$2:$H$23,2,FALSE))</f>
        <v xml:space="preserve">Contratación directa (con ofertas) </v>
      </c>
      <c r="P21" s="141">
        <f t="shared" si="1"/>
        <v>1</v>
      </c>
      <c r="Q21" s="142">
        <f t="shared" si="2"/>
        <v>4000000000</v>
      </c>
      <c r="R21" s="142">
        <f t="shared" si="3"/>
        <v>4000000000</v>
      </c>
      <c r="S21" s="143" t="s">
        <v>223</v>
      </c>
      <c r="T21" s="139">
        <f t="shared" si="4"/>
        <v>0</v>
      </c>
      <c r="U21" s="48" t="str">
        <f t="shared" si="5"/>
        <v>SUBDIRECCION DE GESTION CONTRACTUAL</v>
      </c>
      <c r="V21" s="132" t="str">
        <f t="shared" si="6"/>
        <v>CO-DC</v>
      </c>
      <c r="W21" s="48" t="str">
        <f t="shared" si="7"/>
        <v>Distrito Capital de Bogotá</v>
      </c>
      <c r="X21" s="144" t="s">
        <v>40</v>
      </c>
      <c r="Y21" s="132">
        <v>2427394</v>
      </c>
      <c r="Z21" s="146" t="s">
        <v>41</v>
      </c>
    </row>
    <row r="22" spans="1:85" s="10" customFormat="1" ht="12.75" customHeight="1" x14ac:dyDescent="0.2">
      <c r="A22" s="131" t="s">
        <v>32</v>
      </c>
      <c r="B22" s="132">
        <v>16</v>
      </c>
      <c r="C22" s="133" t="s">
        <v>45</v>
      </c>
      <c r="D22" s="133" t="s">
        <v>34</v>
      </c>
      <c r="E22" s="129"/>
      <c r="F22" s="202">
        <f>2991363958-501363958</f>
        <v>2490000000</v>
      </c>
      <c r="G22" s="129"/>
      <c r="H22" s="203" t="s">
        <v>66</v>
      </c>
      <c r="I22" s="207" t="s">
        <v>867</v>
      </c>
      <c r="J22" s="147">
        <v>3</v>
      </c>
      <c r="K22" s="148">
        <v>3</v>
      </c>
      <c r="L22" s="149">
        <v>6</v>
      </c>
      <c r="M22" s="132">
        <f t="shared" si="0"/>
        <v>1</v>
      </c>
      <c r="N22" s="139" t="s">
        <v>36</v>
      </c>
      <c r="O22" s="140" t="str">
        <f>IF(ISBLANK(N22),"",VLOOKUP(N22,[1]Parámetros!$G$2:$H$23,2,FALSE))</f>
        <v xml:space="preserve">Contratación directa (con ofertas) </v>
      </c>
      <c r="P22" s="141">
        <f t="shared" si="1"/>
        <v>1</v>
      </c>
      <c r="Q22" s="142">
        <f t="shared" si="2"/>
        <v>2490000000</v>
      </c>
      <c r="R22" s="142">
        <f t="shared" si="3"/>
        <v>2490000000</v>
      </c>
      <c r="S22" s="143" t="s">
        <v>223</v>
      </c>
      <c r="T22" s="139">
        <f t="shared" si="4"/>
        <v>0</v>
      </c>
      <c r="U22" s="48" t="str">
        <f t="shared" si="5"/>
        <v>SUBDIRECCION DE GESTION CONTRACTUAL</v>
      </c>
      <c r="V22" s="132" t="str">
        <f t="shared" si="6"/>
        <v>CO-DC</v>
      </c>
      <c r="W22" s="48" t="str">
        <f t="shared" si="7"/>
        <v>Distrito Capital de Bogotá</v>
      </c>
      <c r="X22" s="144" t="s">
        <v>40</v>
      </c>
      <c r="Y22" s="132">
        <v>2427395</v>
      </c>
      <c r="Z22" s="146" t="s">
        <v>41</v>
      </c>
    </row>
    <row r="23" spans="1:85" s="10" customFormat="1" ht="12.75" customHeight="1" x14ac:dyDescent="0.2">
      <c r="A23" s="131" t="s">
        <v>32</v>
      </c>
      <c r="B23" s="132">
        <v>17</v>
      </c>
      <c r="C23" s="133" t="s">
        <v>45</v>
      </c>
      <c r="D23" s="133" t="s">
        <v>34</v>
      </c>
      <c r="E23" s="129"/>
      <c r="F23" s="202">
        <f>7000000000+1200000000-6500000000</f>
        <v>1700000000</v>
      </c>
      <c r="G23" s="129"/>
      <c r="H23" s="134" t="s">
        <v>795</v>
      </c>
      <c r="I23" s="135" t="s">
        <v>227</v>
      </c>
      <c r="J23" s="211">
        <v>2</v>
      </c>
      <c r="K23" s="211">
        <v>3</v>
      </c>
      <c r="L23" s="211">
        <v>9</v>
      </c>
      <c r="M23" s="132">
        <f t="shared" si="0"/>
        <v>1</v>
      </c>
      <c r="N23" s="212" t="s">
        <v>233</v>
      </c>
      <c r="O23" s="213" t="str">
        <f>IF(ISBLANK(N23),"",VLOOKUP(N23,[1]Parámetros!$G$2:$H$23,2,FALSE))</f>
        <v>Licitación pública</v>
      </c>
      <c r="P23" s="141">
        <f t="shared" si="1"/>
        <v>1</v>
      </c>
      <c r="Q23" s="142">
        <f t="shared" si="2"/>
        <v>1700000000</v>
      </c>
      <c r="R23" s="142">
        <f t="shared" si="3"/>
        <v>1700000000</v>
      </c>
      <c r="S23" s="143" t="s">
        <v>223</v>
      </c>
      <c r="T23" s="139">
        <f t="shared" si="4"/>
        <v>0</v>
      </c>
      <c r="U23" s="48" t="str">
        <f t="shared" si="5"/>
        <v>SUBDIRECCION DE GESTION CONTRACTUAL</v>
      </c>
      <c r="V23" s="132" t="str">
        <f t="shared" si="6"/>
        <v>CO-DC</v>
      </c>
      <c r="W23" s="48" t="str">
        <f t="shared" si="7"/>
        <v>Distrito Capital de Bogotá</v>
      </c>
      <c r="X23" s="144" t="s">
        <v>40</v>
      </c>
      <c r="Y23" s="132">
        <v>2427396</v>
      </c>
      <c r="Z23" s="146" t="s">
        <v>41</v>
      </c>
    </row>
    <row r="24" spans="1:85" s="10" customFormat="1" ht="12.75" customHeight="1" x14ac:dyDescent="0.25">
      <c r="A24" s="131" t="s">
        <v>32</v>
      </c>
      <c r="B24" s="132">
        <v>18</v>
      </c>
      <c r="C24" s="133" t="s">
        <v>234</v>
      </c>
      <c r="D24" s="133" t="s">
        <v>34</v>
      </c>
      <c r="E24" s="129"/>
      <c r="F24" s="202">
        <f>3380608000+500000000+2000000000</f>
        <v>5880608000</v>
      </c>
      <c r="G24" s="129"/>
      <c r="H24" s="134">
        <v>80111600</v>
      </c>
      <c r="I24" s="135" t="s">
        <v>222</v>
      </c>
      <c r="J24" s="136">
        <v>1</v>
      </c>
      <c r="K24" s="137">
        <v>1</v>
      </c>
      <c r="L24" s="138">
        <v>12</v>
      </c>
      <c r="M24" s="132">
        <f t="shared" si="0"/>
        <v>1</v>
      </c>
      <c r="N24" s="139" t="s">
        <v>216</v>
      </c>
      <c r="O24" s="140" t="str">
        <f>IF(ISBLANK(N24),"",VLOOKUP(N24,[1]Parámetros!$G$2:$H$23,2,FALSE))</f>
        <v>Contratación directa.</v>
      </c>
      <c r="P24" s="141">
        <f t="shared" si="1"/>
        <v>1</v>
      </c>
      <c r="Q24" s="142">
        <f t="shared" si="2"/>
        <v>5880608000</v>
      </c>
      <c r="R24" s="142">
        <f t="shared" si="3"/>
        <v>5880608000</v>
      </c>
      <c r="S24" s="143" t="s">
        <v>223</v>
      </c>
      <c r="T24" s="139">
        <f t="shared" si="4"/>
        <v>0</v>
      </c>
      <c r="U24" s="48" t="str">
        <f t="shared" si="5"/>
        <v>SUBDIRECCION DE GESTION CONTRACTUAL</v>
      </c>
      <c r="V24" s="132" t="str">
        <f t="shared" si="6"/>
        <v>CO-DC</v>
      </c>
      <c r="W24" s="48" t="str">
        <f t="shared" si="7"/>
        <v>Distrito Capital de Bogotá</v>
      </c>
      <c r="X24" s="144" t="s">
        <v>40</v>
      </c>
      <c r="Y24" s="132">
        <v>2427397</v>
      </c>
      <c r="Z24" s="151" t="s">
        <v>41</v>
      </c>
    </row>
    <row r="25" spans="1:85" s="10" customFormat="1" ht="12.75" customHeight="1" x14ac:dyDescent="0.2">
      <c r="A25" s="131" t="s">
        <v>32</v>
      </c>
      <c r="B25" s="132">
        <v>19</v>
      </c>
      <c r="C25" s="133" t="s">
        <v>234</v>
      </c>
      <c r="D25" s="133" t="s">
        <v>34</v>
      </c>
      <c r="E25" s="129"/>
      <c r="F25" s="129">
        <v>1146049905</v>
      </c>
      <c r="G25" s="129"/>
      <c r="H25" s="134" t="s">
        <v>42</v>
      </c>
      <c r="I25" s="135" t="s">
        <v>621</v>
      </c>
      <c r="J25" s="136">
        <v>3</v>
      </c>
      <c r="K25" s="137">
        <v>4</v>
      </c>
      <c r="L25" s="138">
        <v>9</v>
      </c>
      <c r="M25" s="132">
        <f t="shared" si="0"/>
        <v>1</v>
      </c>
      <c r="N25" s="139" t="s">
        <v>61</v>
      </c>
      <c r="O25" s="140" t="str">
        <f>IF(ISBLANK(N25),"",VLOOKUP(N25,[1]Parámetros!$G$2:$H$23,2,FALSE))</f>
        <v>Contratación régimen especial - Selección de comisionista</v>
      </c>
      <c r="P25" s="141">
        <f t="shared" si="1"/>
        <v>1</v>
      </c>
      <c r="Q25" s="142">
        <f t="shared" si="2"/>
        <v>1146049905</v>
      </c>
      <c r="R25" s="142">
        <f t="shared" si="3"/>
        <v>1146049905</v>
      </c>
      <c r="S25" s="143" t="s">
        <v>223</v>
      </c>
      <c r="T25" s="139">
        <f t="shared" si="4"/>
        <v>0</v>
      </c>
      <c r="U25" s="48" t="str">
        <f t="shared" si="5"/>
        <v>SUBDIRECCION DE GESTION CONTRACTUAL</v>
      </c>
      <c r="V25" s="132" t="str">
        <f t="shared" si="6"/>
        <v>CO-DC</v>
      </c>
      <c r="W25" s="48" t="str">
        <f t="shared" si="7"/>
        <v>Distrito Capital de Bogotá</v>
      </c>
      <c r="X25" s="144" t="s">
        <v>40</v>
      </c>
      <c r="Y25" s="132">
        <v>2427398</v>
      </c>
      <c r="Z25" s="146" t="s">
        <v>41</v>
      </c>
    </row>
    <row r="26" spans="1:85" s="10" customFormat="1" ht="12.75" customHeight="1" x14ac:dyDescent="0.2">
      <c r="A26" s="131" t="s">
        <v>32</v>
      </c>
      <c r="B26" s="132">
        <v>20</v>
      </c>
      <c r="C26" s="133" t="s">
        <v>234</v>
      </c>
      <c r="D26" s="133" t="s">
        <v>34</v>
      </c>
      <c r="E26" s="129"/>
      <c r="F26" s="202">
        <f>1000000000-500000000+1225466250</f>
        <v>1725466250</v>
      </c>
      <c r="G26" s="129"/>
      <c r="H26" s="134" t="s">
        <v>235</v>
      </c>
      <c r="I26" s="135" t="s">
        <v>236</v>
      </c>
      <c r="J26" s="136">
        <v>3</v>
      </c>
      <c r="K26" s="137">
        <v>3</v>
      </c>
      <c r="L26" s="138">
        <v>6</v>
      </c>
      <c r="M26" s="132">
        <f t="shared" si="0"/>
        <v>1</v>
      </c>
      <c r="N26" s="139" t="s">
        <v>36</v>
      </c>
      <c r="O26" s="140" t="str">
        <f>IF(ISBLANK(N26),"",VLOOKUP(N26,[1]Parámetros!$G$2:$H$23,2,FALSE))</f>
        <v xml:space="preserve">Contratación directa (con ofertas) </v>
      </c>
      <c r="P26" s="141">
        <f t="shared" si="1"/>
        <v>1</v>
      </c>
      <c r="Q26" s="142">
        <f t="shared" si="2"/>
        <v>1725466250</v>
      </c>
      <c r="R26" s="142">
        <f t="shared" si="3"/>
        <v>1725466250</v>
      </c>
      <c r="S26" s="143" t="s">
        <v>223</v>
      </c>
      <c r="T26" s="139">
        <f t="shared" si="4"/>
        <v>0</v>
      </c>
      <c r="U26" s="48" t="str">
        <f t="shared" si="5"/>
        <v>SUBDIRECCION DE GESTION CONTRACTUAL</v>
      </c>
      <c r="V26" s="132" t="str">
        <f t="shared" si="6"/>
        <v>CO-DC</v>
      </c>
      <c r="W26" s="48" t="str">
        <f t="shared" si="7"/>
        <v>Distrito Capital de Bogotá</v>
      </c>
      <c r="X26" s="144" t="s">
        <v>40</v>
      </c>
      <c r="Y26" s="132">
        <v>2427399</v>
      </c>
      <c r="Z26" s="146" t="s">
        <v>41</v>
      </c>
    </row>
    <row r="27" spans="1:85" s="10" customFormat="1" ht="12.75" customHeight="1" x14ac:dyDescent="0.2">
      <c r="A27" s="131" t="s">
        <v>32</v>
      </c>
      <c r="B27" s="132">
        <v>21</v>
      </c>
      <c r="C27" s="133" t="s">
        <v>234</v>
      </c>
      <c r="D27" s="133" t="s">
        <v>34</v>
      </c>
      <c r="E27" s="129"/>
      <c r="F27" s="202">
        <f>8725466250-4725466250</f>
        <v>4000000000</v>
      </c>
      <c r="G27" s="129"/>
      <c r="H27" s="134" t="s">
        <v>66</v>
      </c>
      <c r="I27" s="135" t="s">
        <v>237</v>
      </c>
      <c r="J27" s="136">
        <v>3</v>
      </c>
      <c r="K27" s="137">
        <v>3</v>
      </c>
      <c r="L27" s="138">
        <v>6</v>
      </c>
      <c r="M27" s="132">
        <f t="shared" si="0"/>
        <v>1</v>
      </c>
      <c r="N27" s="139" t="s">
        <v>36</v>
      </c>
      <c r="O27" s="140" t="str">
        <f>IF(ISBLANK(N27),"",VLOOKUP(N27,[1]Parámetros!$G$2:$H$23,2,FALSE))</f>
        <v xml:space="preserve">Contratación directa (con ofertas) </v>
      </c>
      <c r="P27" s="141">
        <f t="shared" si="1"/>
        <v>1</v>
      </c>
      <c r="Q27" s="142">
        <f t="shared" si="2"/>
        <v>4000000000</v>
      </c>
      <c r="R27" s="142">
        <f t="shared" si="3"/>
        <v>4000000000</v>
      </c>
      <c r="S27" s="143" t="s">
        <v>223</v>
      </c>
      <c r="T27" s="139">
        <f t="shared" si="4"/>
        <v>0</v>
      </c>
      <c r="U27" s="48" t="str">
        <f t="shared" si="5"/>
        <v>SUBDIRECCION DE GESTION CONTRACTUAL</v>
      </c>
      <c r="V27" s="132" t="str">
        <f t="shared" si="6"/>
        <v>CO-DC</v>
      </c>
      <c r="W27" s="48" t="str">
        <f t="shared" si="7"/>
        <v>Distrito Capital de Bogotá</v>
      </c>
      <c r="X27" s="144" t="s">
        <v>40</v>
      </c>
      <c r="Y27" s="132">
        <v>2427400</v>
      </c>
      <c r="Z27" s="146" t="s">
        <v>41</v>
      </c>
    </row>
    <row r="28" spans="1:85" s="10" customFormat="1" ht="12.75" customHeight="1" x14ac:dyDescent="0.2">
      <c r="A28" s="131" t="s">
        <v>32</v>
      </c>
      <c r="B28" s="132">
        <v>22</v>
      </c>
      <c r="C28" s="133" t="s">
        <v>238</v>
      </c>
      <c r="D28" s="133" t="s">
        <v>34</v>
      </c>
      <c r="E28" s="129"/>
      <c r="F28" s="129">
        <v>712096000</v>
      </c>
      <c r="G28" s="129"/>
      <c r="H28" s="134">
        <v>80111600</v>
      </c>
      <c r="I28" s="135" t="s">
        <v>222</v>
      </c>
      <c r="J28" s="136">
        <v>1</v>
      </c>
      <c r="K28" s="137">
        <v>1</v>
      </c>
      <c r="L28" s="138">
        <v>12</v>
      </c>
      <c r="M28" s="132">
        <f t="shared" si="0"/>
        <v>1</v>
      </c>
      <c r="N28" s="139" t="s">
        <v>216</v>
      </c>
      <c r="O28" s="140" t="str">
        <f>IF(ISBLANK(N28),"",VLOOKUP(N28,[1]Parámetros!$G$2:$H$23,2,FALSE))</f>
        <v>Contratación directa.</v>
      </c>
      <c r="P28" s="141">
        <f t="shared" si="1"/>
        <v>1</v>
      </c>
      <c r="Q28" s="142">
        <f t="shared" si="2"/>
        <v>712096000</v>
      </c>
      <c r="R28" s="142">
        <f t="shared" si="3"/>
        <v>712096000</v>
      </c>
      <c r="S28" s="143" t="s">
        <v>223</v>
      </c>
      <c r="T28" s="139">
        <f t="shared" si="4"/>
        <v>0</v>
      </c>
      <c r="U28" s="48" t="str">
        <f t="shared" si="5"/>
        <v>SUBDIRECCION DE GESTION CONTRACTUAL</v>
      </c>
      <c r="V28" s="132" t="str">
        <f t="shared" si="6"/>
        <v>CO-DC</v>
      </c>
      <c r="W28" s="48" t="str">
        <f t="shared" si="7"/>
        <v>Distrito Capital de Bogotá</v>
      </c>
      <c r="X28" s="144" t="s">
        <v>40</v>
      </c>
      <c r="Y28" s="132">
        <v>2427401</v>
      </c>
      <c r="Z28" s="146" t="s">
        <v>41</v>
      </c>
    </row>
    <row r="29" spans="1:85" s="10" customFormat="1" ht="12.75" customHeight="1" x14ac:dyDescent="0.2">
      <c r="A29" s="131" t="s">
        <v>32</v>
      </c>
      <c r="B29" s="132">
        <v>23</v>
      </c>
      <c r="C29" s="133" t="s">
        <v>238</v>
      </c>
      <c r="D29" s="133" t="s">
        <v>34</v>
      </c>
      <c r="E29" s="129"/>
      <c r="F29" s="129">
        <v>60031186</v>
      </c>
      <c r="G29" s="129"/>
      <c r="H29" s="134" t="s">
        <v>42</v>
      </c>
      <c r="I29" s="135" t="s">
        <v>621</v>
      </c>
      <c r="J29" s="136">
        <v>3</v>
      </c>
      <c r="K29" s="137">
        <v>4</v>
      </c>
      <c r="L29" s="138">
        <v>9</v>
      </c>
      <c r="M29" s="132">
        <f t="shared" si="0"/>
        <v>1</v>
      </c>
      <c r="N29" s="139" t="s">
        <v>61</v>
      </c>
      <c r="O29" s="140" t="str">
        <f>IF(ISBLANK(N29),"",VLOOKUP(N29,[1]Parámetros!$G$2:$H$23,2,FALSE))</f>
        <v>Contratación régimen especial - Selección de comisionista</v>
      </c>
      <c r="P29" s="141">
        <f t="shared" si="1"/>
        <v>1</v>
      </c>
      <c r="Q29" s="142">
        <f t="shared" si="2"/>
        <v>60031186</v>
      </c>
      <c r="R29" s="142">
        <f t="shared" si="3"/>
        <v>60031186</v>
      </c>
      <c r="S29" s="143" t="s">
        <v>223</v>
      </c>
      <c r="T29" s="139">
        <f t="shared" si="4"/>
        <v>0</v>
      </c>
      <c r="U29" s="48" t="str">
        <f t="shared" si="5"/>
        <v>SUBDIRECCION DE GESTION CONTRACTUAL</v>
      </c>
      <c r="V29" s="132" t="str">
        <f t="shared" si="6"/>
        <v>CO-DC</v>
      </c>
      <c r="W29" s="48" t="str">
        <f t="shared" si="7"/>
        <v>Distrito Capital de Bogotá</v>
      </c>
      <c r="X29" s="144" t="s">
        <v>40</v>
      </c>
      <c r="Y29" s="132">
        <v>2427402</v>
      </c>
      <c r="Z29" s="146" t="s">
        <v>41</v>
      </c>
    </row>
    <row r="30" spans="1:85" s="10" customFormat="1" ht="12.75" customHeight="1" x14ac:dyDescent="0.2">
      <c r="A30" s="131" t="s">
        <v>32</v>
      </c>
      <c r="B30" s="132">
        <v>24</v>
      </c>
      <c r="C30" s="133" t="s">
        <v>238</v>
      </c>
      <c r="D30" s="133" t="s">
        <v>34</v>
      </c>
      <c r="E30" s="129"/>
      <c r="F30" s="129">
        <v>180000000</v>
      </c>
      <c r="G30" s="129"/>
      <c r="H30" s="134" t="s">
        <v>239</v>
      </c>
      <c r="I30" s="135" t="s">
        <v>662</v>
      </c>
      <c r="J30" s="152">
        <v>2</v>
      </c>
      <c r="K30" s="152">
        <v>3</v>
      </c>
      <c r="L30" s="152">
        <v>4</v>
      </c>
      <c r="M30" s="132">
        <f t="shared" si="0"/>
        <v>1</v>
      </c>
      <c r="N30" s="139" t="s">
        <v>43</v>
      </c>
      <c r="O30" s="140" t="str">
        <f>IF(ISBLANK(N30),"",VLOOKUP(N30,[1]Parámetros!$G$2:$H$23,2,FALSE))</f>
        <v>Selección abreviada subasta inversa</v>
      </c>
      <c r="P30" s="141">
        <f t="shared" si="1"/>
        <v>1</v>
      </c>
      <c r="Q30" s="142">
        <f t="shared" si="2"/>
        <v>180000000</v>
      </c>
      <c r="R30" s="142">
        <f t="shared" si="3"/>
        <v>180000000</v>
      </c>
      <c r="S30" s="143" t="s">
        <v>223</v>
      </c>
      <c r="T30" s="139">
        <f t="shared" si="4"/>
        <v>0</v>
      </c>
      <c r="U30" s="48" t="str">
        <f t="shared" si="5"/>
        <v>SUBDIRECCION DE GESTION CONTRACTUAL</v>
      </c>
      <c r="V30" s="132" t="str">
        <f t="shared" si="6"/>
        <v>CO-DC</v>
      </c>
      <c r="W30" s="48" t="str">
        <f t="shared" si="7"/>
        <v>Distrito Capital de Bogotá</v>
      </c>
      <c r="X30" s="144" t="s">
        <v>331</v>
      </c>
      <c r="Y30" s="132">
        <v>2427400</v>
      </c>
      <c r="Z30" s="146" t="s">
        <v>94</v>
      </c>
    </row>
    <row r="31" spans="1:85" s="10" customFormat="1" ht="12.75" customHeight="1" x14ac:dyDescent="0.2">
      <c r="A31" s="131" t="s">
        <v>32</v>
      </c>
      <c r="B31" s="132">
        <v>25</v>
      </c>
      <c r="C31" s="133" t="s">
        <v>238</v>
      </c>
      <c r="D31" s="133" t="s">
        <v>34</v>
      </c>
      <c r="E31" s="129"/>
      <c r="F31" s="202">
        <f>820000000-130000000-70000000</f>
        <v>620000000</v>
      </c>
      <c r="G31" s="129"/>
      <c r="H31" s="134">
        <v>43211500</v>
      </c>
      <c r="I31" s="135" t="s">
        <v>240</v>
      </c>
      <c r="J31" s="208">
        <v>3</v>
      </c>
      <c r="K31" s="209" t="s">
        <v>868</v>
      </c>
      <c r="L31" s="210">
        <v>2</v>
      </c>
      <c r="M31" s="132">
        <f t="shared" si="0"/>
        <v>1</v>
      </c>
      <c r="N31" s="139" t="s">
        <v>53</v>
      </c>
      <c r="O31" s="140" t="str">
        <f>IF(ISBLANK(N31),"",VLOOKUP(N31,[1]Parámetros!$G$2:$H$23,2,FALSE))</f>
        <v>Seléccion abreviada - acuerdo marco</v>
      </c>
      <c r="P31" s="141">
        <f t="shared" si="1"/>
        <v>1</v>
      </c>
      <c r="Q31" s="142">
        <f t="shared" si="2"/>
        <v>620000000</v>
      </c>
      <c r="R31" s="142">
        <f t="shared" si="3"/>
        <v>620000000</v>
      </c>
      <c r="S31" s="143" t="s">
        <v>223</v>
      </c>
      <c r="T31" s="139">
        <f t="shared" si="4"/>
        <v>0</v>
      </c>
      <c r="U31" s="48" t="str">
        <f t="shared" si="5"/>
        <v>SUBDIRECCION DE GESTION CONTRACTUAL</v>
      </c>
      <c r="V31" s="132" t="str">
        <f t="shared" si="6"/>
        <v>CO-DC</v>
      </c>
      <c r="W31" s="48" t="str">
        <f t="shared" si="7"/>
        <v>Distrito Capital de Bogotá</v>
      </c>
      <c r="X31" s="144" t="s">
        <v>40</v>
      </c>
      <c r="Y31" s="132">
        <v>2427404</v>
      </c>
      <c r="Z31" s="146" t="s">
        <v>41</v>
      </c>
    </row>
    <row r="32" spans="1:85" s="153" customFormat="1" ht="13.9" customHeight="1" x14ac:dyDescent="0.2">
      <c r="A32" s="131" t="s">
        <v>32</v>
      </c>
      <c r="B32" s="132">
        <v>26</v>
      </c>
      <c r="C32" s="133" t="s">
        <v>238</v>
      </c>
      <c r="D32" s="133" t="s">
        <v>34</v>
      </c>
      <c r="E32" s="129"/>
      <c r="F32" s="129">
        <v>1000000000</v>
      </c>
      <c r="G32" s="129"/>
      <c r="H32" s="134" t="s">
        <v>241</v>
      </c>
      <c r="I32" s="135" t="s">
        <v>242</v>
      </c>
      <c r="J32" s="136">
        <v>2</v>
      </c>
      <c r="K32" s="137">
        <v>2</v>
      </c>
      <c r="L32" s="138">
        <v>10</v>
      </c>
      <c r="M32" s="132">
        <f t="shared" si="0"/>
        <v>1</v>
      </c>
      <c r="N32" s="139" t="s">
        <v>36</v>
      </c>
      <c r="O32" s="140" t="str">
        <f>IF(ISBLANK(N32),"",VLOOKUP(N32,[1]Parámetros!$G$2:$H$23,2,FALSE))</f>
        <v xml:space="preserve">Contratación directa (con ofertas) </v>
      </c>
      <c r="P32" s="141">
        <f t="shared" si="1"/>
        <v>1</v>
      </c>
      <c r="Q32" s="142">
        <f t="shared" si="2"/>
        <v>1000000000</v>
      </c>
      <c r="R32" s="142">
        <f t="shared" si="3"/>
        <v>1000000000</v>
      </c>
      <c r="S32" s="143" t="s">
        <v>223</v>
      </c>
      <c r="T32" s="139">
        <f t="shared" si="4"/>
        <v>0</v>
      </c>
      <c r="U32" s="48" t="str">
        <f t="shared" si="5"/>
        <v>SUBDIRECCION DE GESTION CONTRACTUAL</v>
      </c>
      <c r="V32" s="132" t="str">
        <f t="shared" si="6"/>
        <v>CO-DC</v>
      </c>
      <c r="W32" s="48" t="str">
        <f t="shared" si="7"/>
        <v>Distrito Capital de Bogotá</v>
      </c>
      <c r="X32" s="144" t="s">
        <v>40</v>
      </c>
      <c r="Y32" s="132">
        <v>2427405</v>
      </c>
      <c r="Z32" s="146" t="s">
        <v>41</v>
      </c>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row>
    <row r="33" spans="1:85" s="10" customFormat="1" ht="12.75" customHeight="1" x14ac:dyDescent="0.2">
      <c r="A33" s="131" t="s">
        <v>32</v>
      </c>
      <c r="B33" s="132">
        <v>27</v>
      </c>
      <c r="C33" s="133" t="s">
        <v>46</v>
      </c>
      <c r="D33" s="133" t="s">
        <v>47</v>
      </c>
      <c r="E33" s="129"/>
      <c r="F33" s="129">
        <v>6740578</v>
      </c>
      <c r="G33" s="129"/>
      <c r="H33" s="134" t="s">
        <v>243</v>
      </c>
      <c r="I33" s="135" t="s">
        <v>244</v>
      </c>
      <c r="J33" s="136">
        <v>4</v>
      </c>
      <c r="K33" s="137">
        <v>4</v>
      </c>
      <c r="L33" s="138">
        <v>1</v>
      </c>
      <c r="M33" s="132">
        <f t="shared" si="0"/>
        <v>1</v>
      </c>
      <c r="N33" s="139" t="s">
        <v>48</v>
      </c>
      <c r="O33" s="140" t="str">
        <f>IF(ISBLANK(N33),"",VLOOKUP(N33,[1]Parámetros!$G$2:$H$23,2,FALSE))</f>
        <v>Mínima cuantía</v>
      </c>
      <c r="P33" s="141">
        <f t="shared" si="1"/>
        <v>1</v>
      </c>
      <c r="Q33" s="142">
        <f t="shared" si="2"/>
        <v>6740578</v>
      </c>
      <c r="R33" s="142">
        <f t="shared" si="3"/>
        <v>6740578</v>
      </c>
      <c r="S33" s="143" t="s">
        <v>223</v>
      </c>
      <c r="T33" s="139">
        <f t="shared" si="4"/>
        <v>0</v>
      </c>
      <c r="U33" s="48" t="str">
        <f t="shared" si="5"/>
        <v>SUBDIRECCION DE GESTION CONTRACTUAL</v>
      </c>
      <c r="V33" s="132" t="str">
        <f t="shared" si="6"/>
        <v>CO-DC</v>
      </c>
      <c r="W33" s="48" t="str">
        <f t="shared" si="7"/>
        <v>Distrito Capital de Bogotá</v>
      </c>
      <c r="X33" s="144" t="s">
        <v>40</v>
      </c>
      <c r="Y33" s="132">
        <v>2427406</v>
      </c>
      <c r="Z33" s="146" t="s">
        <v>41</v>
      </c>
    </row>
    <row r="34" spans="1:85" s="10" customFormat="1" ht="12.75" customHeight="1" x14ac:dyDescent="0.2">
      <c r="A34" s="131" t="s">
        <v>32</v>
      </c>
      <c r="B34" s="132">
        <v>28</v>
      </c>
      <c r="C34" s="133" t="s">
        <v>46</v>
      </c>
      <c r="D34" s="133" t="s">
        <v>50</v>
      </c>
      <c r="E34" s="129"/>
      <c r="F34" s="129">
        <v>15000000</v>
      </c>
      <c r="G34" s="129"/>
      <c r="H34" s="134" t="s">
        <v>51</v>
      </c>
      <c r="I34" s="135" t="s">
        <v>245</v>
      </c>
      <c r="J34" s="136">
        <v>4</v>
      </c>
      <c r="K34" s="137" t="s">
        <v>661</v>
      </c>
      <c r="L34" s="138">
        <v>1</v>
      </c>
      <c r="M34" s="132">
        <f t="shared" si="0"/>
        <v>1</v>
      </c>
      <c r="N34" s="139" t="s">
        <v>43</v>
      </c>
      <c r="O34" s="140" t="str">
        <f>IF(ISBLANK(N34),"",VLOOKUP(N34,[1]Parámetros!$G$2:$H$23,2,FALSE))</f>
        <v>Selección abreviada subasta inversa</v>
      </c>
      <c r="P34" s="141">
        <f t="shared" si="1"/>
        <v>1</v>
      </c>
      <c r="Q34" s="142">
        <f t="shared" si="2"/>
        <v>15000000</v>
      </c>
      <c r="R34" s="142">
        <f t="shared" si="3"/>
        <v>15000000</v>
      </c>
      <c r="S34" s="143" t="s">
        <v>223</v>
      </c>
      <c r="T34" s="139">
        <f t="shared" si="4"/>
        <v>0</v>
      </c>
      <c r="U34" s="48" t="str">
        <f t="shared" si="5"/>
        <v>SUBDIRECCION DE GESTION CONTRACTUAL</v>
      </c>
      <c r="V34" s="132" t="str">
        <f t="shared" si="6"/>
        <v>CO-DC</v>
      </c>
      <c r="W34" s="48" t="str">
        <f t="shared" si="7"/>
        <v>Distrito Capital de Bogotá</v>
      </c>
      <c r="X34" s="144" t="s">
        <v>40</v>
      </c>
      <c r="Y34" s="132">
        <v>2427407</v>
      </c>
      <c r="Z34" s="146" t="s">
        <v>41</v>
      </c>
    </row>
    <row r="35" spans="1:85" s="153" customFormat="1" ht="13.9" customHeight="1" x14ac:dyDescent="0.2">
      <c r="A35" s="131" t="s">
        <v>32</v>
      </c>
      <c r="B35" s="132">
        <v>29</v>
      </c>
      <c r="C35" s="133" t="s">
        <v>46</v>
      </c>
      <c r="D35" s="133" t="s">
        <v>52</v>
      </c>
      <c r="E35" s="129"/>
      <c r="F35" s="129">
        <v>8000000</v>
      </c>
      <c r="G35" s="129"/>
      <c r="H35" s="134" t="s">
        <v>132</v>
      </c>
      <c r="I35" s="135" t="s">
        <v>246</v>
      </c>
      <c r="J35" s="154">
        <v>10</v>
      </c>
      <c r="K35" s="154">
        <v>10</v>
      </c>
      <c r="L35" s="154">
        <v>12</v>
      </c>
      <c r="M35" s="132">
        <f t="shared" si="0"/>
        <v>1</v>
      </c>
      <c r="N35" s="139" t="s">
        <v>53</v>
      </c>
      <c r="O35" s="140" t="str">
        <f>IF(ISBLANK(N35),"",VLOOKUP(N35,[1]Parámetros!$G$2:$H$23,2,FALSE))</f>
        <v>Seléccion abreviada - acuerdo marco</v>
      </c>
      <c r="P35" s="141">
        <f t="shared" si="1"/>
        <v>1</v>
      </c>
      <c r="Q35" s="142">
        <f t="shared" si="2"/>
        <v>8000000</v>
      </c>
      <c r="R35" s="142">
        <f t="shared" si="3"/>
        <v>8000000</v>
      </c>
      <c r="S35" s="143" t="s">
        <v>223</v>
      </c>
      <c r="T35" s="139">
        <f t="shared" si="4"/>
        <v>0</v>
      </c>
      <c r="U35" s="48" t="str">
        <f t="shared" si="5"/>
        <v>SUBDIRECCION DE GESTION CONTRACTUAL</v>
      </c>
      <c r="V35" s="132" t="str">
        <f t="shared" si="6"/>
        <v>CO-DC</v>
      </c>
      <c r="W35" s="48" t="str">
        <f t="shared" si="7"/>
        <v>Distrito Capital de Bogotá</v>
      </c>
      <c r="X35" s="144" t="s">
        <v>40</v>
      </c>
      <c r="Y35" s="132">
        <v>2427408</v>
      </c>
      <c r="Z35" s="146" t="s">
        <v>41</v>
      </c>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row>
    <row r="36" spans="1:85" s="153" customFormat="1" ht="13.9" customHeight="1" x14ac:dyDescent="0.2">
      <c r="A36" s="131" t="s">
        <v>32</v>
      </c>
      <c r="B36" s="132">
        <v>30</v>
      </c>
      <c r="C36" s="133" t="s">
        <v>46</v>
      </c>
      <c r="D36" s="133" t="s">
        <v>55</v>
      </c>
      <c r="E36" s="129"/>
      <c r="F36" s="202">
        <f>595941595-395941595+250000000</f>
        <v>450000000</v>
      </c>
      <c r="G36" s="129"/>
      <c r="H36" s="134" t="s">
        <v>795</v>
      </c>
      <c r="I36" s="135" t="s">
        <v>227</v>
      </c>
      <c r="J36" s="211">
        <v>2</v>
      </c>
      <c r="K36" s="211">
        <v>3</v>
      </c>
      <c r="L36" s="211">
        <v>9</v>
      </c>
      <c r="M36" s="132">
        <f t="shared" si="0"/>
        <v>1</v>
      </c>
      <c r="N36" s="212" t="s">
        <v>233</v>
      </c>
      <c r="O36" s="213" t="str">
        <f>IF(ISBLANK(N36),"",VLOOKUP(N36,[1]Parámetros!$G$2:$H$23,2,FALSE))</f>
        <v>Licitación pública</v>
      </c>
      <c r="P36" s="141">
        <f t="shared" si="1"/>
        <v>1</v>
      </c>
      <c r="Q36" s="142">
        <f t="shared" si="2"/>
        <v>450000000</v>
      </c>
      <c r="R36" s="142">
        <f t="shared" si="3"/>
        <v>450000000</v>
      </c>
      <c r="S36" s="143" t="s">
        <v>223</v>
      </c>
      <c r="T36" s="139">
        <f t="shared" si="4"/>
        <v>0</v>
      </c>
      <c r="U36" s="48" t="str">
        <f t="shared" si="5"/>
        <v>SUBDIRECCION DE GESTION CONTRACTUAL</v>
      </c>
      <c r="V36" s="132" t="str">
        <f t="shared" si="6"/>
        <v>CO-DC</v>
      </c>
      <c r="W36" s="48" t="str">
        <f t="shared" si="7"/>
        <v>Distrito Capital de Bogotá</v>
      </c>
      <c r="X36" s="144" t="s">
        <v>40</v>
      </c>
      <c r="Y36" s="132">
        <v>2427409</v>
      </c>
      <c r="Z36" s="146" t="s">
        <v>41</v>
      </c>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row>
    <row r="37" spans="1:85" s="153" customFormat="1" ht="13.9" customHeight="1" x14ac:dyDescent="0.2">
      <c r="A37" s="131" t="s">
        <v>32</v>
      </c>
      <c r="B37" s="132">
        <v>31</v>
      </c>
      <c r="C37" s="133" t="s">
        <v>46</v>
      </c>
      <c r="D37" s="133" t="s">
        <v>56</v>
      </c>
      <c r="E37" s="129"/>
      <c r="F37" s="129">
        <f>91869000+58131000+50000000</f>
        <v>200000000</v>
      </c>
      <c r="G37" s="129"/>
      <c r="H37" s="155" t="s">
        <v>247</v>
      </c>
      <c r="I37" s="135" t="s">
        <v>636</v>
      </c>
      <c r="J37" s="145">
        <v>4</v>
      </c>
      <c r="K37" s="145">
        <v>5</v>
      </c>
      <c r="L37" s="145">
        <v>12</v>
      </c>
      <c r="M37" s="132">
        <f t="shared" si="0"/>
        <v>1</v>
      </c>
      <c r="N37" s="139" t="s">
        <v>328</v>
      </c>
      <c r="O37" s="140" t="str">
        <f>IF(ISBLANK(N37),"",VLOOKUP(N37,[2]Parámetros!$G$2:$H$23,2,FALSE))</f>
        <v>Selección abreviada menor cuantía</v>
      </c>
      <c r="P37" s="141">
        <f t="shared" si="1"/>
        <v>1</v>
      </c>
      <c r="Q37" s="142">
        <f t="shared" si="2"/>
        <v>200000000</v>
      </c>
      <c r="R37" s="142">
        <f t="shared" si="3"/>
        <v>200000000</v>
      </c>
      <c r="S37" s="143" t="s">
        <v>223</v>
      </c>
      <c r="T37" s="139">
        <f t="shared" si="4"/>
        <v>0</v>
      </c>
      <c r="U37" s="48" t="str">
        <f t="shared" si="5"/>
        <v>SUBDIRECCION DE GESTION CONTRACTUAL</v>
      </c>
      <c r="V37" s="132" t="str">
        <f t="shared" si="6"/>
        <v>CO-DC</v>
      </c>
      <c r="W37" s="48" t="str">
        <f t="shared" si="7"/>
        <v>Distrito Capital de Bogotá</v>
      </c>
      <c r="X37" s="144" t="s">
        <v>40</v>
      </c>
      <c r="Y37" s="132">
        <v>2427410</v>
      </c>
      <c r="Z37" s="146" t="s">
        <v>41</v>
      </c>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row>
    <row r="38" spans="1:85" s="153" customFormat="1" ht="13.9" customHeight="1" x14ac:dyDescent="0.2">
      <c r="A38" s="131" t="s">
        <v>32</v>
      </c>
      <c r="B38" s="132">
        <v>32</v>
      </c>
      <c r="C38" s="133" t="s">
        <v>46</v>
      </c>
      <c r="D38" s="133" t="s">
        <v>57</v>
      </c>
      <c r="E38" s="129">
        <f>186825271*3</f>
        <v>560475813</v>
      </c>
      <c r="F38" s="129">
        <v>1850447490</v>
      </c>
      <c r="G38" s="129"/>
      <c r="H38" s="134">
        <v>80131500</v>
      </c>
      <c r="I38" s="135" t="s">
        <v>248</v>
      </c>
      <c r="J38" s="136">
        <v>3</v>
      </c>
      <c r="K38" s="137">
        <v>3</v>
      </c>
      <c r="L38" s="138">
        <v>12</v>
      </c>
      <c r="M38" s="132">
        <f t="shared" si="0"/>
        <v>1</v>
      </c>
      <c r="N38" s="139" t="s">
        <v>36</v>
      </c>
      <c r="O38" s="140" t="str">
        <f>IF(ISBLANK(N38),"",VLOOKUP(N38,[1]Parámetros!$G$2:$H$23,2,FALSE))</f>
        <v xml:space="preserve">Contratación directa (con ofertas) </v>
      </c>
      <c r="P38" s="141">
        <f t="shared" si="1"/>
        <v>1</v>
      </c>
      <c r="Q38" s="142">
        <f t="shared" si="2"/>
        <v>2410923303</v>
      </c>
      <c r="R38" s="142">
        <f t="shared" si="3"/>
        <v>1850447490</v>
      </c>
      <c r="S38" s="143" t="s">
        <v>223</v>
      </c>
      <c r="T38" s="139">
        <f t="shared" si="4"/>
        <v>0</v>
      </c>
      <c r="U38" s="48" t="str">
        <f t="shared" si="5"/>
        <v>SUBDIRECCION DE GESTION CONTRACTUAL</v>
      </c>
      <c r="V38" s="132" t="str">
        <f t="shared" si="6"/>
        <v>CO-DC</v>
      </c>
      <c r="W38" s="48" t="str">
        <f t="shared" si="7"/>
        <v>Distrito Capital de Bogotá</v>
      </c>
      <c r="X38" s="144" t="s">
        <v>40</v>
      </c>
      <c r="Y38" s="132">
        <v>2427411</v>
      </c>
      <c r="Z38" s="146" t="s">
        <v>41</v>
      </c>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row>
    <row r="39" spans="1:85" s="153" customFormat="1" ht="13.9" customHeight="1" x14ac:dyDescent="0.2">
      <c r="A39" s="131" t="s">
        <v>32</v>
      </c>
      <c r="B39" s="132">
        <v>33</v>
      </c>
      <c r="C39" s="133" t="s">
        <v>46</v>
      </c>
      <c r="D39" s="133" t="s">
        <v>58</v>
      </c>
      <c r="E39" s="129"/>
      <c r="F39" s="129">
        <v>675136000</v>
      </c>
      <c r="G39" s="129"/>
      <c r="H39" s="134">
        <v>80111600</v>
      </c>
      <c r="I39" s="135" t="s">
        <v>222</v>
      </c>
      <c r="J39" s="136">
        <v>1</v>
      </c>
      <c r="K39" s="137">
        <v>1</v>
      </c>
      <c r="L39" s="138">
        <v>12</v>
      </c>
      <c r="M39" s="132">
        <f t="shared" si="0"/>
        <v>1</v>
      </c>
      <c r="N39" s="139" t="s">
        <v>216</v>
      </c>
      <c r="O39" s="140" t="str">
        <f>IF(ISBLANK(N39),"",VLOOKUP(N39,[1]Parámetros!$G$2:$H$23,2,FALSE))</f>
        <v>Contratación directa.</v>
      </c>
      <c r="P39" s="141">
        <f t="shared" ref="P39:P76" si="8">IF(ISBLANK(N39),"",1)</f>
        <v>1</v>
      </c>
      <c r="Q39" s="142">
        <f t="shared" si="2"/>
        <v>675136000</v>
      </c>
      <c r="R39" s="142">
        <f t="shared" si="3"/>
        <v>675136000</v>
      </c>
      <c r="S39" s="143" t="s">
        <v>223</v>
      </c>
      <c r="T39" s="139">
        <f t="shared" ref="T39:T76" si="9">IF(ISBLANK(S39),"",IF(VALUE(S39)=0,0,IF(VALUE(S39)=1,3,"")))</f>
        <v>0</v>
      </c>
      <c r="U39" s="48" t="str">
        <f t="shared" si="5"/>
        <v>SUBDIRECCION DE GESTION CONTRACTUAL</v>
      </c>
      <c r="V39" s="132" t="str">
        <f t="shared" ref="V39:V76" si="10">IF(ISBLANK(N39),"","CO-DC")</f>
        <v>CO-DC</v>
      </c>
      <c r="W39" s="48" t="str">
        <f t="shared" ref="W39:W76" si="11">IF(ISBLANK(N39),"","Distrito Capital de Bogotá")</f>
        <v>Distrito Capital de Bogotá</v>
      </c>
      <c r="X39" s="144" t="s">
        <v>40</v>
      </c>
      <c r="Y39" s="132">
        <v>2427412</v>
      </c>
      <c r="Z39" s="146" t="s">
        <v>41</v>
      </c>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row>
    <row r="40" spans="1:85" s="10" customFormat="1" ht="12.75" customHeight="1" x14ac:dyDescent="0.25">
      <c r="A40" s="131" t="s">
        <v>32</v>
      </c>
      <c r="B40" s="132">
        <v>34</v>
      </c>
      <c r="C40" s="133" t="s">
        <v>46</v>
      </c>
      <c r="D40" s="133" t="s">
        <v>59</v>
      </c>
      <c r="E40" s="129"/>
      <c r="F40" s="129">
        <f>162041458-45041458</f>
        <v>117000000</v>
      </c>
      <c r="G40" s="129"/>
      <c r="H40" s="134" t="s">
        <v>121</v>
      </c>
      <c r="I40" s="135" t="s">
        <v>855</v>
      </c>
      <c r="J40" s="150">
        <v>1</v>
      </c>
      <c r="K40" s="150">
        <v>2</v>
      </c>
      <c r="L40" s="150">
        <v>10</v>
      </c>
      <c r="M40" s="132">
        <f t="shared" si="0"/>
        <v>1</v>
      </c>
      <c r="N40" s="139" t="s">
        <v>43</v>
      </c>
      <c r="O40" s="140" t="str">
        <f>IF(ISBLANK(N40),"",VLOOKUP(N40,[1]Parámetros!$G$2:$H$23,2,FALSE))</f>
        <v>Selección abreviada subasta inversa</v>
      </c>
      <c r="P40" s="141">
        <f t="shared" si="8"/>
        <v>1</v>
      </c>
      <c r="Q40" s="142">
        <f t="shared" si="2"/>
        <v>117000000</v>
      </c>
      <c r="R40" s="142">
        <f t="shared" si="3"/>
        <v>117000000</v>
      </c>
      <c r="S40" s="143" t="s">
        <v>223</v>
      </c>
      <c r="T40" s="139">
        <f t="shared" si="9"/>
        <v>0</v>
      </c>
      <c r="U40" s="48" t="str">
        <f t="shared" si="5"/>
        <v>SUBDIRECCION DE GESTION CONTRACTUAL</v>
      </c>
      <c r="V40" s="132" t="str">
        <f t="shared" si="10"/>
        <v>CO-DC</v>
      </c>
      <c r="W40" s="48" t="str">
        <f t="shared" si="11"/>
        <v>Distrito Capital de Bogotá</v>
      </c>
      <c r="X40" s="144" t="s">
        <v>331</v>
      </c>
      <c r="Y40" s="132">
        <v>2427413</v>
      </c>
      <c r="Z40" s="151" t="s">
        <v>94</v>
      </c>
    </row>
    <row r="41" spans="1:85" s="10" customFormat="1" ht="12.75" customHeight="1" x14ac:dyDescent="0.2">
      <c r="A41" s="131" t="s">
        <v>32</v>
      </c>
      <c r="B41" s="132">
        <v>35</v>
      </c>
      <c r="C41" s="133" t="s">
        <v>46</v>
      </c>
      <c r="D41" s="133" t="s">
        <v>60</v>
      </c>
      <c r="E41" s="129">
        <v>188251248</v>
      </c>
      <c r="F41" s="129">
        <f>249309304+14386180</f>
        <v>263695484</v>
      </c>
      <c r="G41" s="129"/>
      <c r="H41" s="134">
        <v>92121500</v>
      </c>
      <c r="I41" s="135" t="s">
        <v>637</v>
      </c>
      <c r="J41" s="145">
        <v>1</v>
      </c>
      <c r="K41" s="145">
        <v>1</v>
      </c>
      <c r="L41" s="145">
        <v>11</v>
      </c>
      <c r="M41" s="132">
        <f t="shared" si="0"/>
        <v>1</v>
      </c>
      <c r="N41" s="139" t="s">
        <v>43</v>
      </c>
      <c r="O41" s="140" t="str">
        <f>IF(ISBLANK(N41),"",VLOOKUP(N41,[2]Parámetros!$G$2:$H$23,2,FALSE))</f>
        <v>Selección abreviada subasta inversa</v>
      </c>
      <c r="P41" s="141">
        <f t="shared" si="8"/>
        <v>1</v>
      </c>
      <c r="Q41" s="142">
        <f t="shared" si="2"/>
        <v>451946732</v>
      </c>
      <c r="R41" s="142">
        <f t="shared" si="3"/>
        <v>263695484</v>
      </c>
      <c r="S41" s="143" t="s">
        <v>223</v>
      </c>
      <c r="T41" s="139">
        <f t="shared" si="9"/>
        <v>0</v>
      </c>
      <c r="U41" s="48" t="str">
        <f t="shared" si="5"/>
        <v>SUBDIRECCION DE GESTION CONTRACTUAL</v>
      </c>
      <c r="V41" s="132" t="str">
        <f t="shared" si="10"/>
        <v>CO-DC</v>
      </c>
      <c r="W41" s="48" t="str">
        <f t="shared" si="11"/>
        <v>Distrito Capital de Bogotá</v>
      </c>
      <c r="X41" s="144" t="s">
        <v>40</v>
      </c>
      <c r="Y41" s="132">
        <v>2427414</v>
      </c>
      <c r="Z41" s="146" t="s">
        <v>41</v>
      </c>
    </row>
    <row r="42" spans="1:85" s="153" customFormat="1" ht="13.9" customHeight="1" x14ac:dyDescent="0.2">
      <c r="A42" s="131" t="s">
        <v>32</v>
      </c>
      <c r="B42" s="132">
        <v>36</v>
      </c>
      <c r="C42" s="133" t="s">
        <v>46</v>
      </c>
      <c r="D42" s="133" t="s">
        <v>60</v>
      </c>
      <c r="E42" s="156">
        <v>96346322.310000002</v>
      </c>
      <c r="F42" s="130">
        <f>79387070+8599621.69</f>
        <v>87986691.689999998</v>
      </c>
      <c r="G42" s="129"/>
      <c r="H42" s="134" t="s">
        <v>250</v>
      </c>
      <c r="I42" s="135" t="s">
        <v>638</v>
      </c>
      <c r="J42" s="145">
        <v>1</v>
      </c>
      <c r="K42" s="145">
        <v>1</v>
      </c>
      <c r="L42" s="145">
        <v>7</v>
      </c>
      <c r="M42" s="132">
        <f t="shared" si="0"/>
        <v>1</v>
      </c>
      <c r="N42" s="139" t="s">
        <v>53</v>
      </c>
      <c r="O42" s="140" t="str">
        <f>IF(ISBLANK(N42),"",VLOOKUP(N42,[1]Parámetros!$G$2:$H$23,2,FALSE))</f>
        <v>Seléccion abreviada - acuerdo marco</v>
      </c>
      <c r="P42" s="141">
        <f t="shared" si="8"/>
        <v>1</v>
      </c>
      <c r="Q42" s="142">
        <f t="shared" si="2"/>
        <v>184333014</v>
      </c>
      <c r="R42" s="142">
        <f t="shared" si="3"/>
        <v>87986691.689999998</v>
      </c>
      <c r="S42" s="143" t="s">
        <v>223</v>
      </c>
      <c r="T42" s="139">
        <f t="shared" si="9"/>
        <v>0</v>
      </c>
      <c r="U42" s="48" t="str">
        <f t="shared" si="5"/>
        <v>SUBDIRECCION DE GESTION CONTRACTUAL</v>
      </c>
      <c r="V42" s="132" t="str">
        <f t="shared" si="10"/>
        <v>CO-DC</v>
      </c>
      <c r="W42" s="48" t="str">
        <f t="shared" si="11"/>
        <v>Distrito Capital de Bogotá</v>
      </c>
      <c r="X42" s="155" t="s">
        <v>500</v>
      </c>
      <c r="Y42" s="145">
        <v>2427400</v>
      </c>
      <c r="Z42" s="157" t="s">
        <v>131</v>
      </c>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row>
    <row r="43" spans="1:85" s="153" customFormat="1" ht="13.9" customHeight="1" x14ac:dyDescent="0.2">
      <c r="A43" s="131" t="s">
        <v>32</v>
      </c>
      <c r="B43" s="132">
        <v>37</v>
      </c>
      <c r="C43" s="133" t="s">
        <v>46</v>
      </c>
      <c r="D43" s="133" t="s">
        <v>60</v>
      </c>
      <c r="E43" s="129"/>
      <c r="F43" s="129">
        <f>34000000+71000000</f>
        <v>105000000</v>
      </c>
      <c r="G43" s="129"/>
      <c r="H43" s="134" t="s">
        <v>62</v>
      </c>
      <c r="I43" s="135" t="s">
        <v>640</v>
      </c>
      <c r="J43" s="150">
        <v>1</v>
      </c>
      <c r="K43" s="150">
        <v>1</v>
      </c>
      <c r="L43" s="150">
        <v>10</v>
      </c>
      <c r="M43" s="132">
        <f t="shared" si="0"/>
        <v>1</v>
      </c>
      <c r="N43" s="139" t="s">
        <v>36</v>
      </c>
      <c r="O43" s="140" t="str">
        <f>IF(ISBLANK(N43),"",VLOOKUP(N43,[1]Parámetros!$G$2:$H$23,2,FALSE))</f>
        <v xml:space="preserve">Contratación directa (con ofertas) </v>
      </c>
      <c r="P43" s="141">
        <f t="shared" si="8"/>
        <v>1</v>
      </c>
      <c r="Q43" s="142">
        <f t="shared" si="2"/>
        <v>105000000</v>
      </c>
      <c r="R43" s="142">
        <f t="shared" si="3"/>
        <v>105000000</v>
      </c>
      <c r="S43" s="143" t="s">
        <v>223</v>
      </c>
      <c r="T43" s="139">
        <f t="shared" si="9"/>
        <v>0</v>
      </c>
      <c r="U43" s="48" t="str">
        <f t="shared" si="5"/>
        <v>SUBDIRECCION DE GESTION CONTRACTUAL</v>
      </c>
      <c r="V43" s="132" t="str">
        <f t="shared" si="10"/>
        <v>CO-DC</v>
      </c>
      <c r="W43" s="48" t="str">
        <f t="shared" si="11"/>
        <v>Distrito Capital de Bogotá</v>
      </c>
      <c r="X43" s="144" t="s">
        <v>331</v>
      </c>
      <c r="Y43" s="132">
        <v>2427400</v>
      </c>
      <c r="Z43" s="146" t="s">
        <v>94</v>
      </c>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row>
    <row r="44" spans="1:85" s="10" customFormat="1" ht="12.75" customHeight="1" x14ac:dyDescent="0.2">
      <c r="A44" s="131" t="s">
        <v>32</v>
      </c>
      <c r="B44" s="132">
        <v>38</v>
      </c>
      <c r="C44" s="133" t="s">
        <v>46</v>
      </c>
      <c r="D44" s="133" t="s">
        <v>63</v>
      </c>
      <c r="E44" s="129"/>
      <c r="F44" s="129">
        <v>12000000</v>
      </c>
      <c r="G44" s="129"/>
      <c r="H44" s="155" t="s">
        <v>251</v>
      </c>
      <c r="I44" s="135" t="s">
        <v>639</v>
      </c>
      <c r="J44" s="145">
        <v>11</v>
      </c>
      <c r="K44" s="145">
        <v>11</v>
      </c>
      <c r="L44" s="145">
        <v>12</v>
      </c>
      <c r="M44" s="132">
        <f t="shared" si="0"/>
        <v>1</v>
      </c>
      <c r="N44" s="139" t="s">
        <v>53</v>
      </c>
      <c r="O44" s="140" t="str">
        <f>IF(ISBLANK(N44),"",VLOOKUP(N44,[1]Parámetros!$G$2:$H$23,2,FALSE))</f>
        <v>Seléccion abreviada - acuerdo marco</v>
      </c>
      <c r="P44" s="141">
        <f t="shared" si="8"/>
        <v>1</v>
      </c>
      <c r="Q44" s="142">
        <f t="shared" si="2"/>
        <v>12000000</v>
      </c>
      <c r="R44" s="142">
        <f t="shared" si="3"/>
        <v>12000000</v>
      </c>
      <c r="S44" s="143" t="s">
        <v>223</v>
      </c>
      <c r="T44" s="139">
        <f t="shared" si="9"/>
        <v>0</v>
      </c>
      <c r="U44" s="48" t="str">
        <f t="shared" si="5"/>
        <v>SUBDIRECCION DE GESTION CONTRACTUAL</v>
      </c>
      <c r="V44" s="132" t="str">
        <f t="shared" si="10"/>
        <v>CO-DC</v>
      </c>
      <c r="W44" s="48" t="str">
        <f t="shared" si="11"/>
        <v>Distrito Capital de Bogotá</v>
      </c>
      <c r="X44" s="155" t="s">
        <v>511</v>
      </c>
      <c r="Y44" s="145">
        <v>2427400</v>
      </c>
      <c r="Z44" s="157" t="s">
        <v>512</v>
      </c>
    </row>
    <row r="45" spans="1:85" s="153" customFormat="1" ht="13.9" customHeight="1" x14ac:dyDescent="0.2">
      <c r="A45" s="131" t="s">
        <v>32</v>
      </c>
      <c r="B45" s="132">
        <v>39</v>
      </c>
      <c r="C45" s="133" t="s">
        <v>46</v>
      </c>
      <c r="D45" s="133" t="s">
        <v>64</v>
      </c>
      <c r="E45" s="129"/>
      <c r="F45" s="129">
        <v>6384500</v>
      </c>
      <c r="G45" s="129"/>
      <c r="H45" s="134">
        <v>85122201</v>
      </c>
      <c r="I45" s="135" t="s">
        <v>252</v>
      </c>
      <c r="J45" s="145">
        <v>2</v>
      </c>
      <c r="K45" s="145">
        <v>2</v>
      </c>
      <c r="L45" s="145">
        <v>10</v>
      </c>
      <c r="M45" s="132">
        <f t="shared" si="0"/>
        <v>1</v>
      </c>
      <c r="N45" s="139" t="s">
        <v>48</v>
      </c>
      <c r="O45" s="140" t="str">
        <f>IF(ISBLANK(N45),"",VLOOKUP(N45,[1]Parámetros!$G$2:$H$23,2,FALSE))</f>
        <v>Mínima cuantía</v>
      </c>
      <c r="P45" s="141">
        <f t="shared" si="8"/>
        <v>1</v>
      </c>
      <c r="Q45" s="142">
        <f t="shared" si="2"/>
        <v>6384500</v>
      </c>
      <c r="R45" s="142">
        <f t="shared" si="3"/>
        <v>6384500</v>
      </c>
      <c r="S45" s="143" t="s">
        <v>223</v>
      </c>
      <c r="T45" s="139">
        <f t="shared" si="9"/>
        <v>0</v>
      </c>
      <c r="U45" s="48" t="str">
        <f t="shared" si="5"/>
        <v>SUBDIRECCION DE GESTION CONTRACTUAL</v>
      </c>
      <c r="V45" s="132" t="str">
        <f t="shared" si="10"/>
        <v>CO-DC</v>
      </c>
      <c r="W45" s="48" t="str">
        <f t="shared" si="11"/>
        <v>Distrito Capital de Bogotá</v>
      </c>
      <c r="X45" s="144" t="s">
        <v>40</v>
      </c>
      <c r="Y45" s="132">
        <v>2427418</v>
      </c>
      <c r="Z45" s="144" t="s">
        <v>41</v>
      </c>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row>
    <row r="46" spans="1:85" s="153" customFormat="1" ht="13.9" customHeight="1" x14ac:dyDescent="0.25">
      <c r="A46" s="131" t="s">
        <v>32</v>
      </c>
      <c r="B46" s="132">
        <v>40</v>
      </c>
      <c r="C46" s="133" t="s">
        <v>856</v>
      </c>
      <c r="D46" s="226" t="s">
        <v>857</v>
      </c>
      <c r="E46" s="129"/>
      <c r="F46" s="202">
        <f>200000000+950000000</f>
        <v>1150000000</v>
      </c>
      <c r="G46" s="129"/>
      <c r="H46" s="224" t="s">
        <v>858</v>
      </c>
      <c r="I46" s="225" t="s">
        <v>227</v>
      </c>
      <c r="J46" s="214">
        <v>2</v>
      </c>
      <c r="K46" s="214">
        <v>3</v>
      </c>
      <c r="L46" s="214">
        <v>9</v>
      </c>
      <c r="M46" s="132">
        <f t="shared" si="0"/>
        <v>1</v>
      </c>
      <c r="N46" s="212" t="s">
        <v>233</v>
      </c>
      <c r="O46" s="213" t="str">
        <f>IF(ISBLANK(N46),"",VLOOKUP(N46,[3]Parámetros!$G$2:$H$23,2,FALSE))</f>
        <v>Licitación pública</v>
      </c>
      <c r="P46" s="141">
        <f t="shared" si="8"/>
        <v>1</v>
      </c>
      <c r="Q46" s="142">
        <f t="shared" ref="Q46:Q51" si="12">IF(VALUE(E46+F46+G46)=0,"",E46+F46+G46)</f>
        <v>1150000000</v>
      </c>
      <c r="R46" s="142">
        <f t="shared" ref="R46:R51" si="13">IF(VALUE(F46)=0,"",F46)</f>
        <v>1150000000</v>
      </c>
      <c r="S46" s="143" t="s">
        <v>223</v>
      </c>
      <c r="T46" s="139">
        <f t="shared" si="9"/>
        <v>0</v>
      </c>
      <c r="U46" s="48" t="str">
        <f t="shared" si="5"/>
        <v>SUBDIRECCION DE GESTION CONTRACTUAL</v>
      </c>
      <c r="V46" s="132" t="str">
        <f t="shared" si="10"/>
        <v>CO-DC</v>
      </c>
      <c r="W46" s="48" t="str">
        <f t="shared" si="11"/>
        <v>Distrito Capital de Bogotá</v>
      </c>
      <c r="X46" s="144" t="s">
        <v>40</v>
      </c>
      <c r="Y46" s="132">
        <v>2427418</v>
      </c>
      <c r="Z46" s="144" t="s">
        <v>41</v>
      </c>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row>
    <row r="47" spans="1:85" s="153" customFormat="1" ht="13.9" customHeight="1" x14ac:dyDescent="0.2">
      <c r="A47" s="131" t="s">
        <v>32</v>
      </c>
      <c r="B47" s="132">
        <v>41</v>
      </c>
      <c r="C47" s="133" t="s">
        <v>856</v>
      </c>
      <c r="D47" s="133" t="s">
        <v>857</v>
      </c>
      <c r="E47" s="129"/>
      <c r="F47" s="129">
        <v>332987072</v>
      </c>
      <c r="G47" s="129"/>
      <c r="H47" s="134">
        <v>80111600</v>
      </c>
      <c r="I47" s="135" t="s">
        <v>222</v>
      </c>
      <c r="J47" s="145">
        <v>2</v>
      </c>
      <c r="K47" s="145">
        <v>1</v>
      </c>
      <c r="L47" s="145">
        <v>11</v>
      </c>
      <c r="M47" s="132">
        <f t="shared" si="0"/>
        <v>1</v>
      </c>
      <c r="N47" s="139" t="s">
        <v>216</v>
      </c>
      <c r="O47" s="140" t="str">
        <f>IF(ISBLANK(N47),"",VLOOKUP(N47,[3]Parámetros!$G$2:$H$23,2,FALSE))</f>
        <v>Contratación directa.</v>
      </c>
      <c r="P47" s="141">
        <f t="shared" si="8"/>
        <v>1</v>
      </c>
      <c r="Q47" s="142">
        <f t="shared" si="12"/>
        <v>332987072</v>
      </c>
      <c r="R47" s="142">
        <f t="shared" si="13"/>
        <v>332987072</v>
      </c>
      <c r="S47" s="143" t="s">
        <v>223</v>
      </c>
      <c r="T47" s="139">
        <f t="shared" si="9"/>
        <v>0</v>
      </c>
      <c r="U47" s="48" t="str">
        <f t="shared" si="5"/>
        <v>SUBDIRECCION DE GESTION CONTRACTUAL</v>
      </c>
      <c r="V47" s="132" t="str">
        <f t="shared" si="10"/>
        <v>CO-DC</v>
      </c>
      <c r="W47" s="48" t="str">
        <f t="shared" si="11"/>
        <v>Distrito Capital de Bogotá</v>
      </c>
      <c r="X47" s="144" t="s">
        <v>40</v>
      </c>
      <c r="Y47" s="132">
        <v>2427418</v>
      </c>
      <c r="Z47" s="144" t="s">
        <v>41</v>
      </c>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row>
    <row r="48" spans="1:85" s="153" customFormat="1" ht="13.9" customHeight="1" x14ac:dyDescent="0.2">
      <c r="A48" s="131" t="s">
        <v>32</v>
      </c>
      <c r="B48" s="132">
        <v>42</v>
      </c>
      <c r="C48" s="133" t="s">
        <v>856</v>
      </c>
      <c r="D48" s="133" t="s">
        <v>857</v>
      </c>
      <c r="E48" s="129"/>
      <c r="F48" s="202">
        <f>3467012928-950000000</f>
        <v>2517012928</v>
      </c>
      <c r="G48" s="129"/>
      <c r="H48" s="134" t="s">
        <v>235</v>
      </c>
      <c r="I48" s="135" t="s">
        <v>859</v>
      </c>
      <c r="J48" s="214">
        <v>3</v>
      </c>
      <c r="K48" s="214">
        <v>3</v>
      </c>
      <c r="L48" s="214">
        <v>9</v>
      </c>
      <c r="M48" s="132">
        <f t="shared" si="0"/>
        <v>1</v>
      </c>
      <c r="N48" s="139" t="s">
        <v>36</v>
      </c>
      <c r="O48" s="140" t="str">
        <f>IF(ISBLANK(N48),"",VLOOKUP(N48,[3]Parámetros!$G$2:$H$23,2,FALSE))</f>
        <v xml:space="preserve">Contratación directa (con ofertas) </v>
      </c>
      <c r="P48" s="141">
        <f t="shared" si="8"/>
        <v>1</v>
      </c>
      <c r="Q48" s="142">
        <f t="shared" si="12"/>
        <v>2517012928</v>
      </c>
      <c r="R48" s="142">
        <f t="shared" si="13"/>
        <v>2517012928</v>
      </c>
      <c r="S48" s="143" t="s">
        <v>223</v>
      </c>
      <c r="T48" s="139">
        <f t="shared" si="9"/>
        <v>0</v>
      </c>
      <c r="U48" s="48" t="str">
        <f t="shared" si="5"/>
        <v>SUBDIRECCION DE GESTION CONTRACTUAL</v>
      </c>
      <c r="V48" s="132" t="str">
        <f t="shared" si="10"/>
        <v>CO-DC</v>
      </c>
      <c r="W48" s="48" t="str">
        <f t="shared" si="11"/>
        <v>Distrito Capital de Bogotá</v>
      </c>
      <c r="X48" s="144" t="s">
        <v>40</v>
      </c>
      <c r="Y48" s="132">
        <v>2427418</v>
      </c>
      <c r="Z48" s="144" t="s">
        <v>41</v>
      </c>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row>
    <row r="49" spans="1:85" s="153" customFormat="1" ht="13.9" customHeight="1" x14ac:dyDescent="0.2">
      <c r="A49" s="131" t="s">
        <v>32</v>
      </c>
      <c r="B49" s="132">
        <v>43</v>
      </c>
      <c r="C49" s="215" t="s">
        <v>234</v>
      </c>
      <c r="D49" s="215" t="s">
        <v>34</v>
      </c>
      <c r="E49" s="129"/>
      <c r="F49" s="202">
        <f>300000000-50000000+750000000</f>
        <v>1000000000</v>
      </c>
      <c r="G49" s="129"/>
      <c r="H49" s="134" t="s">
        <v>858</v>
      </c>
      <c r="I49" s="135" t="s">
        <v>227</v>
      </c>
      <c r="J49" s="145">
        <v>2</v>
      </c>
      <c r="K49" s="145">
        <v>3</v>
      </c>
      <c r="L49" s="145">
        <v>9</v>
      </c>
      <c r="M49" s="132">
        <f t="shared" si="0"/>
        <v>1</v>
      </c>
      <c r="N49" s="139" t="s">
        <v>233</v>
      </c>
      <c r="O49" s="140" t="str">
        <f>IF(ISBLANK(N49),"",VLOOKUP(N49,[3]Parámetros!$G$2:$H$23,2,FALSE))</f>
        <v>Licitación pública</v>
      </c>
      <c r="P49" s="141">
        <f t="shared" si="8"/>
        <v>1</v>
      </c>
      <c r="Q49" s="142">
        <f t="shared" si="12"/>
        <v>1000000000</v>
      </c>
      <c r="R49" s="142">
        <f t="shared" si="13"/>
        <v>1000000000</v>
      </c>
      <c r="S49" s="143" t="s">
        <v>223</v>
      </c>
      <c r="T49" s="139">
        <f t="shared" si="9"/>
        <v>0</v>
      </c>
      <c r="U49" s="48" t="str">
        <f t="shared" si="5"/>
        <v>SUBDIRECCION DE GESTION CONTRACTUAL</v>
      </c>
      <c r="V49" s="132" t="str">
        <f t="shared" si="10"/>
        <v>CO-DC</v>
      </c>
      <c r="W49" s="48" t="str">
        <f t="shared" si="11"/>
        <v>Distrito Capital de Bogotá</v>
      </c>
      <c r="X49" s="144" t="s">
        <v>40</v>
      </c>
      <c r="Y49" s="132">
        <v>2427418</v>
      </c>
      <c r="Z49" s="144" t="s">
        <v>41</v>
      </c>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row>
    <row r="50" spans="1:85" s="153" customFormat="1" ht="13.9" customHeight="1" x14ac:dyDescent="0.2">
      <c r="A50" s="131" t="s">
        <v>32</v>
      </c>
      <c r="B50" s="132">
        <v>44</v>
      </c>
      <c r="C50" s="133" t="s">
        <v>238</v>
      </c>
      <c r="D50" s="133" t="s">
        <v>34</v>
      </c>
      <c r="E50" s="129"/>
      <c r="F50" s="202">
        <f>130000000+70000000</f>
        <v>200000000</v>
      </c>
      <c r="G50" s="129"/>
      <c r="H50" s="134" t="s">
        <v>861</v>
      </c>
      <c r="I50" s="135" t="s">
        <v>860</v>
      </c>
      <c r="J50" s="145">
        <v>2</v>
      </c>
      <c r="K50" s="145">
        <v>2</v>
      </c>
      <c r="L50" s="145">
        <v>1</v>
      </c>
      <c r="M50" s="132">
        <f t="shared" si="0"/>
        <v>1</v>
      </c>
      <c r="N50" s="139" t="s">
        <v>53</v>
      </c>
      <c r="O50" s="140" t="str">
        <f>IF(ISBLANK(N50),"",VLOOKUP(N50,[3]Parámetros!$G$2:$H$23,2,FALSE))</f>
        <v>Seléccion abreviada - acuerdo marco</v>
      </c>
      <c r="P50" s="141">
        <f t="shared" si="8"/>
        <v>1</v>
      </c>
      <c r="Q50" s="142">
        <f t="shared" si="12"/>
        <v>200000000</v>
      </c>
      <c r="R50" s="142">
        <f t="shared" si="13"/>
        <v>200000000</v>
      </c>
      <c r="S50" s="143" t="s">
        <v>223</v>
      </c>
      <c r="T50" s="139">
        <f t="shared" si="9"/>
        <v>0</v>
      </c>
      <c r="U50" s="48" t="str">
        <f t="shared" si="5"/>
        <v>SUBDIRECCION DE GESTION CONTRACTUAL</v>
      </c>
      <c r="V50" s="132" t="str">
        <f t="shared" si="10"/>
        <v>CO-DC</v>
      </c>
      <c r="W50" s="48" t="str">
        <f t="shared" si="11"/>
        <v>Distrito Capital de Bogotá</v>
      </c>
      <c r="X50" s="144" t="s">
        <v>40</v>
      </c>
      <c r="Y50" s="132">
        <v>2427418</v>
      </c>
      <c r="Z50" s="144" t="s">
        <v>41</v>
      </c>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row>
    <row r="51" spans="1:85" s="223" customFormat="1" ht="12.75" customHeight="1" x14ac:dyDescent="0.25">
      <c r="A51" s="216" t="s">
        <v>32</v>
      </c>
      <c r="B51" s="217">
        <v>45</v>
      </c>
      <c r="C51" s="215" t="s">
        <v>234</v>
      </c>
      <c r="D51" s="215" t="s">
        <v>34</v>
      </c>
      <c r="E51" s="202"/>
      <c r="F51" s="202">
        <v>500000000</v>
      </c>
      <c r="G51" s="202"/>
      <c r="H51" s="218">
        <v>93141700</v>
      </c>
      <c r="I51" s="204" t="s">
        <v>228</v>
      </c>
      <c r="J51" s="214">
        <v>3</v>
      </c>
      <c r="K51" s="214">
        <v>3</v>
      </c>
      <c r="L51" s="214">
        <v>3</v>
      </c>
      <c r="M51" s="217">
        <f t="shared" si="0"/>
        <v>1</v>
      </c>
      <c r="N51" s="212" t="s">
        <v>36</v>
      </c>
      <c r="O51" s="213" t="str">
        <f>IF(ISBLANK(N51),"",VLOOKUP(N51,[4]Parámetros!$G$2:$H$23,2,FALSE))</f>
        <v xml:space="preserve">Contratación directa (con ofertas) </v>
      </c>
      <c r="P51" s="219">
        <f t="shared" si="8"/>
        <v>1</v>
      </c>
      <c r="Q51" s="220">
        <f t="shared" si="12"/>
        <v>500000000</v>
      </c>
      <c r="R51" s="220">
        <f t="shared" si="13"/>
        <v>500000000</v>
      </c>
      <c r="S51" s="221" t="s">
        <v>223</v>
      </c>
      <c r="T51" s="212">
        <f t="shared" ref="T51" si="14">IF(ISBLANK(S51),"",IF(VALUE(S51)=0,0,IF(VALUE(S51)=1,3,"")))</f>
        <v>0</v>
      </c>
      <c r="U51" s="222" t="str">
        <f t="shared" si="5"/>
        <v>SUBDIRECCION DE GESTION CONTRACTUAL</v>
      </c>
      <c r="V51" s="217" t="str">
        <f t="shared" si="10"/>
        <v>CO-DC</v>
      </c>
      <c r="W51" s="222" t="str">
        <f t="shared" si="11"/>
        <v>Distrito Capital de Bogotá</v>
      </c>
      <c r="X51" s="228" t="s">
        <v>40</v>
      </c>
      <c r="Y51" s="217">
        <v>2427418</v>
      </c>
      <c r="Z51" s="288" t="s">
        <v>41</v>
      </c>
    </row>
    <row r="52" spans="1:85" s="10" customFormat="1" ht="14.25" x14ac:dyDescent="0.2">
      <c r="A52" s="131" t="s">
        <v>176</v>
      </c>
      <c r="B52" s="132">
        <v>1</v>
      </c>
      <c r="C52" s="133" t="s">
        <v>253</v>
      </c>
      <c r="D52" s="133" t="s">
        <v>88</v>
      </c>
      <c r="E52" s="129"/>
      <c r="F52" s="129">
        <v>270000000</v>
      </c>
      <c r="G52" s="129"/>
      <c r="H52" s="134">
        <v>80111600</v>
      </c>
      <c r="I52" s="135" t="s">
        <v>254</v>
      </c>
      <c r="J52" s="136">
        <v>1</v>
      </c>
      <c r="K52" s="137">
        <v>1</v>
      </c>
      <c r="L52" s="138">
        <v>12</v>
      </c>
      <c r="M52" s="132">
        <f t="shared" si="0"/>
        <v>1</v>
      </c>
      <c r="N52" s="139" t="s">
        <v>216</v>
      </c>
      <c r="O52" s="140" t="str">
        <f>IF(ISBLANK(N52),"",VLOOKUP(N52,[5]Parámetros!$G$2:$H$23,2,FALSE))</f>
        <v>Contratación directa.</v>
      </c>
      <c r="P52" s="141">
        <f t="shared" si="8"/>
        <v>1</v>
      </c>
      <c r="Q52" s="142">
        <f t="shared" si="2"/>
        <v>270000000</v>
      </c>
      <c r="R52" s="142">
        <f t="shared" si="3"/>
        <v>270000000</v>
      </c>
      <c r="S52" s="143" t="s">
        <v>223</v>
      </c>
      <c r="T52" s="139">
        <f t="shared" si="9"/>
        <v>0</v>
      </c>
      <c r="U52" s="48" t="str">
        <f t="shared" si="5"/>
        <v>SUBDIRECCION DE GESTION CONTRACTUAL</v>
      </c>
      <c r="V52" s="132" t="str">
        <f t="shared" si="10"/>
        <v>CO-DC</v>
      </c>
      <c r="W52" s="48" t="str">
        <f t="shared" si="11"/>
        <v>Distrito Capital de Bogotá</v>
      </c>
      <c r="X52" s="144" t="s">
        <v>177</v>
      </c>
      <c r="Y52" s="132">
        <v>2427400</v>
      </c>
      <c r="Z52" s="146" t="s">
        <v>178</v>
      </c>
    </row>
    <row r="53" spans="1:85" s="10" customFormat="1" ht="12.75" customHeight="1" x14ac:dyDescent="0.2">
      <c r="A53" s="131" t="s">
        <v>176</v>
      </c>
      <c r="B53" s="132">
        <v>2</v>
      </c>
      <c r="C53" s="133" t="s">
        <v>253</v>
      </c>
      <c r="D53" s="133" t="s">
        <v>88</v>
      </c>
      <c r="E53" s="129"/>
      <c r="F53" s="129">
        <v>400000000</v>
      </c>
      <c r="G53" s="129"/>
      <c r="H53" s="134" t="s">
        <v>795</v>
      </c>
      <c r="I53" s="135" t="s">
        <v>255</v>
      </c>
      <c r="J53" s="136">
        <v>2</v>
      </c>
      <c r="K53" s="137">
        <v>3</v>
      </c>
      <c r="L53" s="138">
        <v>9</v>
      </c>
      <c r="M53" s="132">
        <f t="shared" si="0"/>
        <v>1</v>
      </c>
      <c r="N53" s="139" t="s">
        <v>233</v>
      </c>
      <c r="O53" s="140" t="str">
        <f>IF(ISBLANK(N53),"",VLOOKUP(N53,[5]Parámetros!$G$2:$H$23,2,FALSE))</f>
        <v>Licitación pública</v>
      </c>
      <c r="P53" s="141">
        <f t="shared" si="8"/>
        <v>1</v>
      </c>
      <c r="Q53" s="142">
        <f t="shared" si="2"/>
        <v>400000000</v>
      </c>
      <c r="R53" s="142">
        <f t="shared" si="3"/>
        <v>400000000</v>
      </c>
      <c r="S53" s="143" t="s">
        <v>223</v>
      </c>
      <c r="T53" s="139">
        <f t="shared" si="9"/>
        <v>0</v>
      </c>
      <c r="U53" s="48" t="str">
        <f t="shared" si="5"/>
        <v>SUBDIRECCION DE GESTION CONTRACTUAL</v>
      </c>
      <c r="V53" s="132" t="str">
        <f t="shared" si="10"/>
        <v>CO-DC</v>
      </c>
      <c r="W53" s="48" t="str">
        <f t="shared" si="11"/>
        <v>Distrito Capital de Bogotá</v>
      </c>
      <c r="X53" s="144" t="s">
        <v>177</v>
      </c>
      <c r="Y53" s="132">
        <v>2427400</v>
      </c>
      <c r="Z53" s="146" t="s">
        <v>178</v>
      </c>
    </row>
    <row r="54" spans="1:85" s="10" customFormat="1" ht="12.75" customHeight="1" x14ac:dyDescent="0.2">
      <c r="A54" s="131" t="s">
        <v>176</v>
      </c>
      <c r="B54" s="132">
        <v>3</v>
      </c>
      <c r="C54" s="133" t="s">
        <v>253</v>
      </c>
      <c r="D54" s="133" t="s">
        <v>88</v>
      </c>
      <c r="E54" s="129"/>
      <c r="F54" s="129">
        <v>6174796609</v>
      </c>
      <c r="G54" s="129"/>
      <c r="H54" s="134" t="s">
        <v>796</v>
      </c>
      <c r="I54" s="135" t="s">
        <v>256</v>
      </c>
      <c r="J54" s="136">
        <v>3</v>
      </c>
      <c r="K54" s="137">
        <v>4</v>
      </c>
      <c r="L54" s="138">
        <v>8</v>
      </c>
      <c r="M54" s="132">
        <f t="shared" si="0"/>
        <v>1</v>
      </c>
      <c r="N54" s="139" t="s">
        <v>36</v>
      </c>
      <c r="O54" s="140" t="str">
        <f>IF(ISBLANK(N54),"",VLOOKUP(N54,[5]Parámetros!$G$2:$H$23,2,FALSE))</f>
        <v xml:space="preserve">Contratación directa (con ofertas) </v>
      </c>
      <c r="P54" s="141">
        <f t="shared" si="8"/>
        <v>1</v>
      </c>
      <c r="Q54" s="142">
        <f t="shared" si="2"/>
        <v>6174796609</v>
      </c>
      <c r="R54" s="142">
        <f t="shared" si="3"/>
        <v>6174796609</v>
      </c>
      <c r="S54" s="143" t="s">
        <v>223</v>
      </c>
      <c r="T54" s="139">
        <f t="shared" si="9"/>
        <v>0</v>
      </c>
      <c r="U54" s="48" t="str">
        <f t="shared" si="5"/>
        <v>SUBDIRECCION DE GESTION CONTRACTUAL</v>
      </c>
      <c r="V54" s="132" t="str">
        <f t="shared" si="10"/>
        <v>CO-DC</v>
      </c>
      <c r="W54" s="48" t="str">
        <f t="shared" si="11"/>
        <v>Distrito Capital de Bogotá</v>
      </c>
      <c r="X54" s="144" t="s">
        <v>177</v>
      </c>
      <c r="Y54" s="132">
        <v>2427400</v>
      </c>
      <c r="Z54" s="146" t="s">
        <v>178</v>
      </c>
    </row>
    <row r="55" spans="1:85" s="10" customFormat="1" ht="12.75" customHeight="1" x14ac:dyDescent="0.2">
      <c r="A55" s="131" t="s">
        <v>176</v>
      </c>
      <c r="B55" s="132">
        <v>4</v>
      </c>
      <c r="C55" s="133" t="s">
        <v>253</v>
      </c>
      <c r="D55" s="133" t="s">
        <v>88</v>
      </c>
      <c r="E55" s="129"/>
      <c r="F55" s="129">
        <v>50000000</v>
      </c>
      <c r="G55" s="129"/>
      <c r="H55" s="134" t="s">
        <v>42</v>
      </c>
      <c r="I55" s="135" t="s">
        <v>278</v>
      </c>
      <c r="J55" s="136">
        <v>3</v>
      </c>
      <c r="K55" s="137">
        <v>4</v>
      </c>
      <c r="L55" s="138">
        <v>9</v>
      </c>
      <c r="M55" s="132">
        <f t="shared" si="0"/>
        <v>1</v>
      </c>
      <c r="N55" s="139" t="s">
        <v>61</v>
      </c>
      <c r="O55" s="140" t="str">
        <f>IF(ISBLANK(N55),"",VLOOKUP(N55,[1]Parámetros!$G$2:$H$23,2,FALSE))</f>
        <v>Contratación régimen especial - Selección de comisionista</v>
      </c>
      <c r="P55" s="141">
        <f t="shared" si="8"/>
        <v>1</v>
      </c>
      <c r="Q55" s="142">
        <f t="shared" si="2"/>
        <v>50000000</v>
      </c>
      <c r="R55" s="142">
        <f t="shared" si="3"/>
        <v>50000000</v>
      </c>
      <c r="S55" s="143" t="s">
        <v>223</v>
      </c>
      <c r="T55" s="139">
        <f t="shared" si="9"/>
        <v>0</v>
      </c>
      <c r="U55" s="48" t="str">
        <f t="shared" si="5"/>
        <v>SUBDIRECCION DE GESTION CONTRACTUAL</v>
      </c>
      <c r="V55" s="132" t="str">
        <f t="shared" si="10"/>
        <v>CO-DC</v>
      </c>
      <c r="W55" s="48" t="str">
        <f t="shared" si="11"/>
        <v>Distrito Capital de Bogotá</v>
      </c>
      <c r="X55" s="144" t="s">
        <v>358</v>
      </c>
      <c r="Y55" s="132">
        <v>2427400</v>
      </c>
      <c r="Z55" s="146" t="s">
        <v>75</v>
      </c>
    </row>
    <row r="56" spans="1:85" s="10" customFormat="1" ht="12.75" customHeight="1" x14ac:dyDescent="0.2">
      <c r="A56" s="131" t="s">
        <v>176</v>
      </c>
      <c r="B56" s="132">
        <v>5</v>
      </c>
      <c r="C56" s="133" t="s">
        <v>257</v>
      </c>
      <c r="D56" s="133" t="s">
        <v>179</v>
      </c>
      <c r="E56" s="129"/>
      <c r="F56" s="129">
        <v>2000000000</v>
      </c>
      <c r="G56" s="129"/>
      <c r="H56" s="134">
        <v>80111600</v>
      </c>
      <c r="I56" s="135" t="s">
        <v>254</v>
      </c>
      <c r="J56" s="136">
        <v>1</v>
      </c>
      <c r="K56" s="137">
        <v>1</v>
      </c>
      <c r="L56" s="138">
        <v>12</v>
      </c>
      <c r="M56" s="132">
        <f t="shared" si="0"/>
        <v>1</v>
      </c>
      <c r="N56" s="139" t="s">
        <v>216</v>
      </c>
      <c r="O56" s="140" t="str">
        <f>IF(ISBLANK(N56),"",VLOOKUP(N56,[5]Parámetros!$G$2:$H$23,2,FALSE))</f>
        <v>Contratación directa.</v>
      </c>
      <c r="P56" s="141">
        <f t="shared" si="8"/>
        <v>1</v>
      </c>
      <c r="Q56" s="142">
        <f t="shared" si="2"/>
        <v>2000000000</v>
      </c>
      <c r="R56" s="142">
        <f t="shared" si="3"/>
        <v>2000000000</v>
      </c>
      <c r="S56" s="143" t="s">
        <v>223</v>
      </c>
      <c r="T56" s="139">
        <f t="shared" si="9"/>
        <v>0</v>
      </c>
      <c r="U56" s="48" t="str">
        <f t="shared" si="5"/>
        <v>SUBDIRECCION DE GESTION CONTRACTUAL</v>
      </c>
      <c r="V56" s="132" t="str">
        <f t="shared" si="10"/>
        <v>CO-DC</v>
      </c>
      <c r="W56" s="48" t="str">
        <f t="shared" si="11"/>
        <v>Distrito Capital de Bogotá</v>
      </c>
      <c r="X56" s="144" t="s">
        <v>177</v>
      </c>
      <c r="Y56" s="132">
        <v>2427400</v>
      </c>
      <c r="Z56" s="146" t="s">
        <v>178</v>
      </c>
    </row>
    <row r="57" spans="1:85" s="10" customFormat="1" ht="12.75" customHeight="1" x14ac:dyDescent="0.2">
      <c r="A57" s="131" t="s">
        <v>176</v>
      </c>
      <c r="B57" s="132">
        <v>6</v>
      </c>
      <c r="C57" s="133" t="s">
        <v>257</v>
      </c>
      <c r="D57" s="133" t="s">
        <v>179</v>
      </c>
      <c r="E57" s="129"/>
      <c r="F57" s="129">
        <v>950000000</v>
      </c>
      <c r="G57" s="129"/>
      <c r="H57" s="134" t="s">
        <v>795</v>
      </c>
      <c r="I57" s="135" t="s">
        <v>255</v>
      </c>
      <c r="J57" s="136">
        <v>2</v>
      </c>
      <c r="K57" s="137">
        <v>3</v>
      </c>
      <c r="L57" s="138">
        <v>9</v>
      </c>
      <c r="M57" s="132">
        <f t="shared" si="0"/>
        <v>1</v>
      </c>
      <c r="N57" s="139" t="s">
        <v>233</v>
      </c>
      <c r="O57" s="140" t="str">
        <f>IF(ISBLANK(N57),"",VLOOKUP(N57,[5]Parámetros!$G$2:$H$23,2,FALSE))</f>
        <v>Licitación pública</v>
      </c>
      <c r="P57" s="141">
        <f t="shared" si="8"/>
        <v>1</v>
      </c>
      <c r="Q57" s="142">
        <f t="shared" si="2"/>
        <v>950000000</v>
      </c>
      <c r="R57" s="142">
        <f t="shared" si="3"/>
        <v>950000000</v>
      </c>
      <c r="S57" s="143" t="s">
        <v>223</v>
      </c>
      <c r="T57" s="139">
        <f t="shared" si="9"/>
        <v>0</v>
      </c>
      <c r="U57" s="48" t="str">
        <f t="shared" si="5"/>
        <v>SUBDIRECCION DE GESTION CONTRACTUAL</v>
      </c>
      <c r="V57" s="132" t="str">
        <f t="shared" si="10"/>
        <v>CO-DC</v>
      </c>
      <c r="W57" s="48" t="str">
        <f t="shared" si="11"/>
        <v>Distrito Capital de Bogotá</v>
      </c>
      <c r="X57" s="144" t="s">
        <v>177</v>
      </c>
      <c r="Y57" s="132">
        <v>2427400</v>
      </c>
      <c r="Z57" s="146" t="s">
        <v>178</v>
      </c>
    </row>
    <row r="58" spans="1:85" s="10" customFormat="1" ht="12.75" customHeight="1" x14ac:dyDescent="0.2">
      <c r="A58" s="131" t="s">
        <v>176</v>
      </c>
      <c r="B58" s="132">
        <v>7</v>
      </c>
      <c r="C58" s="133" t="s">
        <v>257</v>
      </c>
      <c r="D58" s="133" t="s">
        <v>179</v>
      </c>
      <c r="E58" s="129"/>
      <c r="F58" s="129">
        <v>350000000</v>
      </c>
      <c r="G58" s="129"/>
      <c r="H58" s="134" t="s">
        <v>796</v>
      </c>
      <c r="I58" s="135" t="s">
        <v>258</v>
      </c>
      <c r="J58" s="136">
        <v>4</v>
      </c>
      <c r="K58" s="137">
        <v>5</v>
      </c>
      <c r="L58" s="138">
        <v>6</v>
      </c>
      <c r="M58" s="132">
        <f t="shared" si="0"/>
        <v>1</v>
      </c>
      <c r="N58" s="139" t="s">
        <v>36</v>
      </c>
      <c r="O58" s="140" t="str">
        <f>IF(ISBLANK(N58),"",VLOOKUP(N58,[5]Parámetros!$G$2:$H$23,2,FALSE))</f>
        <v xml:space="preserve">Contratación directa (con ofertas) </v>
      </c>
      <c r="P58" s="141">
        <f t="shared" si="8"/>
        <v>1</v>
      </c>
      <c r="Q58" s="142">
        <f t="shared" si="2"/>
        <v>350000000</v>
      </c>
      <c r="R58" s="142">
        <f t="shared" si="3"/>
        <v>350000000</v>
      </c>
      <c r="S58" s="143" t="s">
        <v>223</v>
      </c>
      <c r="T58" s="139">
        <f t="shared" si="9"/>
        <v>0</v>
      </c>
      <c r="U58" s="48" t="str">
        <f t="shared" si="5"/>
        <v>SUBDIRECCION DE GESTION CONTRACTUAL</v>
      </c>
      <c r="V58" s="132" t="str">
        <f t="shared" si="10"/>
        <v>CO-DC</v>
      </c>
      <c r="W58" s="48" t="str">
        <f t="shared" si="11"/>
        <v>Distrito Capital de Bogotá</v>
      </c>
      <c r="X58" s="144" t="s">
        <v>177</v>
      </c>
      <c r="Y58" s="132">
        <v>2427400</v>
      </c>
      <c r="Z58" s="146" t="s">
        <v>178</v>
      </c>
    </row>
    <row r="59" spans="1:85" s="10" customFormat="1" ht="12.75" customHeight="1" x14ac:dyDescent="0.2">
      <c r="A59" s="131" t="s">
        <v>176</v>
      </c>
      <c r="B59" s="132">
        <v>8</v>
      </c>
      <c r="C59" s="133" t="s">
        <v>257</v>
      </c>
      <c r="D59" s="133" t="s">
        <v>179</v>
      </c>
      <c r="E59" s="129"/>
      <c r="F59" s="129">
        <v>200000000</v>
      </c>
      <c r="G59" s="129"/>
      <c r="H59" s="134" t="s">
        <v>796</v>
      </c>
      <c r="I59" s="135" t="s">
        <v>259</v>
      </c>
      <c r="J59" s="136">
        <v>4</v>
      </c>
      <c r="K59" s="137">
        <v>5</v>
      </c>
      <c r="L59" s="138">
        <v>6</v>
      </c>
      <c r="M59" s="132">
        <f t="shared" si="0"/>
        <v>1</v>
      </c>
      <c r="N59" s="139" t="s">
        <v>36</v>
      </c>
      <c r="O59" s="140" t="str">
        <f>IF(ISBLANK(N59),"",VLOOKUP(N59,[5]Parámetros!$G$2:$H$23,2,FALSE))</f>
        <v xml:space="preserve">Contratación directa (con ofertas) </v>
      </c>
      <c r="P59" s="141">
        <f t="shared" si="8"/>
        <v>1</v>
      </c>
      <c r="Q59" s="142">
        <f t="shared" si="2"/>
        <v>200000000</v>
      </c>
      <c r="R59" s="142">
        <f t="shared" si="3"/>
        <v>200000000</v>
      </c>
      <c r="S59" s="143" t="s">
        <v>223</v>
      </c>
      <c r="T59" s="139">
        <f t="shared" si="9"/>
        <v>0</v>
      </c>
      <c r="U59" s="48" t="str">
        <f t="shared" si="5"/>
        <v>SUBDIRECCION DE GESTION CONTRACTUAL</v>
      </c>
      <c r="V59" s="132" t="str">
        <f t="shared" si="10"/>
        <v>CO-DC</v>
      </c>
      <c r="W59" s="48" t="str">
        <f t="shared" si="11"/>
        <v>Distrito Capital de Bogotá</v>
      </c>
      <c r="X59" s="144" t="s">
        <v>177</v>
      </c>
      <c r="Y59" s="132">
        <v>2427400</v>
      </c>
      <c r="Z59" s="146" t="s">
        <v>178</v>
      </c>
    </row>
    <row r="60" spans="1:85" s="10" customFormat="1" ht="12.75" customHeight="1" x14ac:dyDescent="0.2">
      <c r="A60" s="131" t="s">
        <v>176</v>
      </c>
      <c r="B60" s="132">
        <v>9</v>
      </c>
      <c r="C60" s="133" t="s">
        <v>257</v>
      </c>
      <c r="D60" s="133" t="s">
        <v>179</v>
      </c>
      <c r="E60" s="129"/>
      <c r="F60" s="129">
        <v>800000000</v>
      </c>
      <c r="G60" s="129"/>
      <c r="H60" s="134" t="s">
        <v>796</v>
      </c>
      <c r="I60" s="135" t="s">
        <v>260</v>
      </c>
      <c r="J60" s="136">
        <v>4</v>
      </c>
      <c r="K60" s="137">
        <v>5</v>
      </c>
      <c r="L60" s="138">
        <v>6</v>
      </c>
      <c r="M60" s="132">
        <f t="shared" si="0"/>
        <v>1</v>
      </c>
      <c r="N60" s="139" t="s">
        <v>36</v>
      </c>
      <c r="O60" s="140" t="str">
        <f>IF(ISBLANK(N60),"",VLOOKUP(N60,[5]Parámetros!$G$2:$H$23,2,FALSE))</f>
        <v xml:space="preserve">Contratación directa (con ofertas) </v>
      </c>
      <c r="P60" s="141">
        <f t="shared" si="8"/>
        <v>1</v>
      </c>
      <c r="Q60" s="142">
        <f t="shared" si="2"/>
        <v>800000000</v>
      </c>
      <c r="R60" s="142">
        <f t="shared" si="3"/>
        <v>800000000</v>
      </c>
      <c r="S60" s="143" t="s">
        <v>223</v>
      </c>
      <c r="T60" s="139">
        <f t="shared" si="9"/>
        <v>0</v>
      </c>
      <c r="U60" s="48" t="str">
        <f t="shared" si="5"/>
        <v>SUBDIRECCION DE GESTION CONTRACTUAL</v>
      </c>
      <c r="V60" s="132" t="str">
        <f t="shared" si="10"/>
        <v>CO-DC</v>
      </c>
      <c r="W60" s="48" t="str">
        <f t="shared" si="11"/>
        <v>Distrito Capital de Bogotá</v>
      </c>
      <c r="X60" s="144" t="s">
        <v>177</v>
      </c>
      <c r="Y60" s="132">
        <v>2427400</v>
      </c>
      <c r="Z60" s="146" t="s">
        <v>178</v>
      </c>
    </row>
    <row r="61" spans="1:85" s="10" customFormat="1" ht="12.75" customHeight="1" x14ac:dyDescent="0.2">
      <c r="A61" s="131" t="s">
        <v>176</v>
      </c>
      <c r="B61" s="132">
        <v>10</v>
      </c>
      <c r="C61" s="133" t="s">
        <v>261</v>
      </c>
      <c r="D61" s="133" t="s">
        <v>179</v>
      </c>
      <c r="E61" s="129"/>
      <c r="F61" s="129">
        <v>2060000000</v>
      </c>
      <c r="G61" s="129"/>
      <c r="H61" s="134">
        <v>80111600</v>
      </c>
      <c r="I61" s="135" t="s">
        <v>254</v>
      </c>
      <c r="J61" s="136">
        <v>1</v>
      </c>
      <c r="K61" s="137">
        <v>1</v>
      </c>
      <c r="L61" s="138">
        <v>12</v>
      </c>
      <c r="M61" s="132">
        <f t="shared" si="0"/>
        <v>1</v>
      </c>
      <c r="N61" s="139" t="s">
        <v>216</v>
      </c>
      <c r="O61" s="140" t="str">
        <f>IF(ISBLANK(N61),"",VLOOKUP(N61,[5]Parámetros!$G$2:$H$23,2,FALSE))</f>
        <v>Contratación directa.</v>
      </c>
      <c r="P61" s="141">
        <f t="shared" si="8"/>
        <v>1</v>
      </c>
      <c r="Q61" s="142">
        <f t="shared" si="2"/>
        <v>2060000000</v>
      </c>
      <c r="R61" s="142">
        <f t="shared" si="3"/>
        <v>2060000000</v>
      </c>
      <c r="S61" s="143" t="s">
        <v>223</v>
      </c>
      <c r="T61" s="139">
        <f t="shared" si="9"/>
        <v>0</v>
      </c>
      <c r="U61" s="48" t="str">
        <f t="shared" si="5"/>
        <v>SUBDIRECCION DE GESTION CONTRACTUAL</v>
      </c>
      <c r="V61" s="132" t="str">
        <f t="shared" si="10"/>
        <v>CO-DC</v>
      </c>
      <c r="W61" s="48" t="str">
        <f t="shared" si="11"/>
        <v>Distrito Capital de Bogotá</v>
      </c>
      <c r="X61" s="144" t="s">
        <v>177</v>
      </c>
      <c r="Y61" s="132">
        <v>2427400</v>
      </c>
      <c r="Z61" s="146" t="s">
        <v>178</v>
      </c>
    </row>
    <row r="62" spans="1:85" s="10" customFormat="1" ht="12.75" customHeight="1" x14ac:dyDescent="0.2">
      <c r="A62" s="131" t="s">
        <v>176</v>
      </c>
      <c r="B62" s="132">
        <v>11</v>
      </c>
      <c r="C62" s="133" t="s">
        <v>261</v>
      </c>
      <c r="D62" s="133" t="s">
        <v>179</v>
      </c>
      <c r="E62" s="129"/>
      <c r="F62" s="129">
        <f>2719000000-500000000</f>
        <v>2219000000</v>
      </c>
      <c r="G62" s="129"/>
      <c r="H62" s="134" t="s">
        <v>795</v>
      </c>
      <c r="I62" s="135" t="s">
        <v>255</v>
      </c>
      <c r="J62" s="136">
        <v>2</v>
      </c>
      <c r="K62" s="137">
        <v>3</v>
      </c>
      <c r="L62" s="138">
        <v>9</v>
      </c>
      <c r="M62" s="132">
        <f t="shared" si="0"/>
        <v>1</v>
      </c>
      <c r="N62" s="139" t="s">
        <v>233</v>
      </c>
      <c r="O62" s="140" t="str">
        <f>IF(ISBLANK(N62),"",VLOOKUP(N62,[5]Parámetros!$G$2:$H$23,2,FALSE))</f>
        <v>Licitación pública</v>
      </c>
      <c r="P62" s="141">
        <f t="shared" si="8"/>
        <v>1</v>
      </c>
      <c r="Q62" s="142">
        <f t="shared" si="2"/>
        <v>2219000000</v>
      </c>
      <c r="R62" s="142">
        <f t="shared" si="3"/>
        <v>2219000000</v>
      </c>
      <c r="S62" s="143" t="s">
        <v>223</v>
      </c>
      <c r="T62" s="139">
        <f t="shared" si="9"/>
        <v>0</v>
      </c>
      <c r="U62" s="48" t="str">
        <f t="shared" si="5"/>
        <v>SUBDIRECCION DE GESTION CONTRACTUAL</v>
      </c>
      <c r="V62" s="132" t="str">
        <f t="shared" si="10"/>
        <v>CO-DC</v>
      </c>
      <c r="W62" s="48" t="str">
        <f t="shared" si="11"/>
        <v>Distrito Capital de Bogotá</v>
      </c>
      <c r="X62" s="144" t="s">
        <v>177</v>
      </c>
      <c r="Y62" s="132">
        <v>2427400</v>
      </c>
      <c r="Z62" s="146" t="s">
        <v>178</v>
      </c>
    </row>
    <row r="63" spans="1:85" s="10" customFormat="1" ht="12.75" customHeight="1" x14ac:dyDescent="0.2">
      <c r="A63" s="131" t="s">
        <v>176</v>
      </c>
      <c r="B63" s="132">
        <v>12</v>
      </c>
      <c r="C63" s="133" t="s">
        <v>261</v>
      </c>
      <c r="D63" s="133" t="s">
        <v>179</v>
      </c>
      <c r="E63" s="129"/>
      <c r="F63" s="129">
        <v>1500000000</v>
      </c>
      <c r="G63" s="129"/>
      <c r="H63" s="134" t="s">
        <v>796</v>
      </c>
      <c r="I63" s="135" t="s">
        <v>262</v>
      </c>
      <c r="J63" s="136">
        <v>4</v>
      </c>
      <c r="K63" s="137">
        <v>5</v>
      </c>
      <c r="L63" s="138">
        <v>6</v>
      </c>
      <c r="M63" s="132">
        <f t="shared" si="0"/>
        <v>1</v>
      </c>
      <c r="N63" s="139" t="s">
        <v>36</v>
      </c>
      <c r="O63" s="140" t="str">
        <f>IF(ISBLANK(N63),"",VLOOKUP(N63,[5]Parámetros!$G$2:$H$23,2,FALSE))</f>
        <v xml:space="preserve">Contratación directa (con ofertas) </v>
      </c>
      <c r="P63" s="141">
        <f t="shared" si="8"/>
        <v>1</v>
      </c>
      <c r="Q63" s="142">
        <f t="shared" si="2"/>
        <v>1500000000</v>
      </c>
      <c r="R63" s="142">
        <f t="shared" si="3"/>
        <v>1500000000</v>
      </c>
      <c r="S63" s="143" t="s">
        <v>223</v>
      </c>
      <c r="T63" s="139">
        <f t="shared" si="9"/>
        <v>0</v>
      </c>
      <c r="U63" s="48" t="str">
        <f t="shared" si="5"/>
        <v>SUBDIRECCION DE GESTION CONTRACTUAL</v>
      </c>
      <c r="V63" s="132" t="str">
        <f t="shared" si="10"/>
        <v>CO-DC</v>
      </c>
      <c r="W63" s="48" t="str">
        <f t="shared" si="11"/>
        <v>Distrito Capital de Bogotá</v>
      </c>
      <c r="X63" s="144" t="s">
        <v>177</v>
      </c>
      <c r="Y63" s="132">
        <v>2427400</v>
      </c>
      <c r="Z63" s="146" t="s">
        <v>178</v>
      </c>
    </row>
    <row r="64" spans="1:85" s="10" customFormat="1" ht="12.75" customHeight="1" x14ac:dyDescent="0.2">
      <c r="A64" s="131" t="s">
        <v>176</v>
      </c>
      <c r="B64" s="132">
        <v>13</v>
      </c>
      <c r="C64" s="133" t="s">
        <v>261</v>
      </c>
      <c r="D64" s="133" t="s">
        <v>179</v>
      </c>
      <c r="E64" s="129"/>
      <c r="F64" s="129">
        <v>1500000000</v>
      </c>
      <c r="G64" s="129"/>
      <c r="H64" s="134" t="s">
        <v>796</v>
      </c>
      <c r="I64" s="135" t="s">
        <v>263</v>
      </c>
      <c r="J64" s="136">
        <v>4</v>
      </c>
      <c r="K64" s="137">
        <v>5</v>
      </c>
      <c r="L64" s="138">
        <v>6</v>
      </c>
      <c r="M64" s="132">
        <f t="shared" si="0"/>
        <v>1</v>
      </c>
      <c r="N64" s="139" t="s">
        <v>36</v>
      </c>
      <c r="O64" s="140" t="str">
        <f>IF(ISBLANK(N64),"",VLOOKUP(N64,[5]Parámetros!$G$2:$H$23,2,FALSE))</f>
        <v xml:space="preserve">Contratación directa (con ofertas) </v>
      </c>
      <c r="P64" s="141">
        <f t="shared" si="8"/>
        <v>1</v>
      </c>
      <c r="Q64" s="142">
        <f t="shared" si="2"/>
        <v>1500000000</v>
      </c>
      <c r="R64" s="142">
        <f t="shared" si="3"/>
        <v>1500000000</v>
      </c>
      <c r="S64" s="143" t="s">
        <v>223</v>
      </c>
      <c r="T64" s="139">
        <f t="shared" si="9"/>
        <v>0</v>
      </c>
      <c r="U64" s="48" t="str">
        <f t="shared" si="5"/>
        <v>SUBDIRECCION DE GESTION CONTRACTUAL</v>
      </c>
      <c r="V64" s="132" t="str">
        <f t="shared" si="10"/>
        <v>CO-DC</v>
      </c>
      <c r="W64" s="48" t="str">
        <f t="shared" si="11"/>
        <v>Distrito Capital de Bogotá</v>
      </c>
      <c r="X64" s="144" t="s">
        <v>177</v>
      </c>
      <c r="Y64" s="132">
        <v>2427400</v>
      </c>
      <c r="Z64" s="146" t="s">
        <v>178</v>
      </c>
    </row>
    <row r="65" spans="1:26" s="10" customFormat="1" ht="12.75" customHeight="1" x14ac:dyDescent="0.2">
      <c r="A65" s="131" t="s">
        <v>176</v>
      </c>
      <c r="B65" s="132">
        <v>14</v>
      </c>
      <c r="C65" s="133" t="s">
        <v>261</v>
      </c>
      <c r="D65" s="133" t="s">
        <v>179</v>
      </c>
      <c r="E65" s="129"/>
      <c r="F65" s="129">
        <v>500000000</v>
      </c>
      <c r="G65" s="129"/>
      <c r="H65" s="134" t="s">
        <v>796</v>
      </c>
      <c r="I65" s="135" t="s">
        <v>264</v>
      </c>
      <c r="J65" s="136">
        <v>4</v>
      </c>
      <c r="K65" s="137">
        <v>5</v>
      </c>
      <c r="L65" s="138">
        <v>6</v>
      </c>
      <c r="M65" s="132">
        <f t="shared" si="0"/>
        <v>1</v>
      </c>
      <c r="N65" s="139" t="s">
        <v>36</v>
      </c>
      <c r="O65" s="140" t="str">
        <f>IF(ISBLANK(N65),"",VLOOKUP(N65,[5]Parámetros!$G$2:$H$23,2,FALSE))</f>
        <v xml:space="preserve">Contratación directa (con ofertas) </v>
      </c>
      <c r="P65" s="141">
        <f t="shared" si="8"/>
        <v>1</v>
      </c>
      <c r="Q65" s="142">
        <f t="shared" si="2"/>
        <v>500000000</v>
      </c>
      <c r="R65" s="142">
        <f t="shared" si="3"/>
        <v>500000000</v>
      </c>
      <c r="S65" s="143" t="s">
        <v>223</v>
      </c>
      <c r="T65" s="139">
        <f t="shared" si="9"/>
        <v>0</v>
      </c>
      <c r="U65" s="48" t="str">
        <f t="shared" si="5"/>
        <v>SUBDIRECCION DE GESTION CONTRACTUAL</v>
      </c>
      <c r="V65" s="132" t="str">
        <f t="shared" si="10"/>
        <v>CO-DC</v>
      </c>
      <c r="W65" s="48" t="str">
        <f t="shared" si="11"/>
        <v>Distrito Capital de Bogotá</v>
      </c>
      <c r="X65" s="144" t="s">
        <v>177</v>
      </c>
      <c r="Y65" s="132">
        <v>2427400</v>
      </c>
      <c r="Z65" s="146" t="s">
        <v>178</v>
      </c>
    </row>
    <row r="66" spans="1:26" s="10" customFormat="1" ht="12.75" customHeight="1" x14ac:dyDescent="0.2">
      <c r="A66" s="131" t="s">
        <v>176</v>
      </c>
      <c r="B66" s="132">
        <v>15</v>
      </c>
      <c r="C66" s="133" t="s">
        <v>261</v>
      </c>
      <c r="D66" s="133" t="s">
        <v>179</v>
      </c>
      <c r="E66" s="129"/>
      <c r="F66" s="129">
        <v>400000000</v>
      </c>
      <c r="G66" s="129"/>
      <c r="H66" s="134" t="s">
        <v>796</v>
      </c>
      <c r="I66" s="135" t="s">
        <v>265</v>
      </c>
      <c r="J66" s="136">
        <v>5</v>
      </c>
      <c r="K66" s="137">
        <v>6</v>
      </c>
      <c r="L66" s="138">
        <v>5</v>
      </c>
      <c r="M66" s="132">
        <f t="shared" si="0"/>
        <v>1</v>
      </c>
      <c r="N66" s="139" t="s">
        <v>36</v>
      </c>
      <c r="O66" s="140" t="str">
        <f>IF(ISBLANK(N66),"",VLOOKUP(N66,[5]Parámetros!$G$2:$H$23,2,FALSE))</f>
        <v xml:space="preserve">Contratación directa (con ofertas) </v>
      </c>
      <c r="P66" s="141">
        <f t="shared" si="8"/>
        <v>1</v>
      </c>
      <c r="Q66" s="142">
        <f t="shared" si="2"/>
        <v>400000000</v>
      </c>
      <c r="R66" s="142">
        <f t="shared" si="3"/>
        <v>400000000</v>
      </c>
      <c r="S66" s="143" t="s">
        <v>223</v>
      </c>
      <c r="T66" s="139">
        <f t="shared" si="9"/>
        <v>0</v>
      </c>
      <c r="U66" s="48" t="str">
        <f t="shared" si="5"/>
        <v>SUBDIRECCION DE GESTION CONTRACTUAL</v>
      </c>
      <c r="V66" s="132" t="str">
        <f t="shared" si="10"/>
        <v>CO-DC</v>
      </c>
      <c r="W66" s="48" t="str">
        <f t="shared" si="11"/>
        <v>Distrito Capital de Bogotá</v>
      </c>
      <c r="X66" s="144" t="s">
        <v>177</v>
      </c>
      <c r="Y66" s="132">
        <v>2427400</v>
      </c>
      <c r="Z66" s="146" t="s">
        <v>178</v>
      </c>
    </row>
    <row r="67" spans="1:26" s="10" customFormat="1" ht="12.75" customHeight="1" x14ac:dyDescent="0.2">
      <c r="A67" s="131" t="s">
        <v>176</v>
      </c>
      <c r="B67" s="132">
        <v>16</v>
      </c>
      <c r="C67" s="133" t="s">
        <v>253</v>
      </c>
      <c r="D67" s="133" t="s">
        <v>179</v>
      </c>
      <c r="E67" s="129"/>
      <c r="F67" s="129">
        <v>1600000000</v>
      </c>
      <c r="G67" s="129"/>
      <c r="H67" s="134">
        <v>80111600</v>
      </c>
      <c r="I67" s="135" t="s">
        <v>254</v>
      </c>
      <c r="J67" s="136">
        <v>1</v>
      </c>
      <c r="K67" s="137">
        <v>1</v>
      </c>
      <c r="L67" s="138">
        <v>12</v>
      </c>
      <c r="M67" s="132">
        <f t="shared" si="0"/>
        <v>1</v>
      </c>
      <c r="N67" s="139" t="s">
        <v>216</v>
      </c>
      <c r="O67" s="140" t="str">
        <f>IF(ISBLANK(N67),"",VLOOKUP(N67,[5]Parámetros!$G$2:$H$23,2,FALSE))</f>
        <v>Contratación directa.</v>
      </c>
      <c r="P67" s="141">
        <f t="shared" si="8"/>
        <v>1</v>
      </c>
      <c r="Q67" s="142">
        <f t="shared" si="2"/>
        <v>1600000000</v>
      </c>
      <c r="R67" s="142">
        <f t="shared" si="3"/>
        <v>1600000000</v>
      </c>
      <c r="S67" s="143" t="s">
        <v>223</v>
      </c>
      <c r="T67" s="139">
        <f t="shared" si="9"/>
        <v>0</v>
      </c>
      <c r="U67" s="48" t="str">
        <f t="shared" si="5"/>
        <v>SUBDIRECCION DE GESTION CONTRACTUAL</v>
      </c>
      <c r="V67" s="132" t="str">
        <f t="shared" si="10"/>
        <v>CO-DC</v>
      </c>
      <c r="W67" s="48" t="str">
        <f t="shared" si="11"/>
        <v>Distrito Capital de Bogotá</v>
      </c>
      <c r="X67" s="144" t="s">
        <v>177</v>
      </c>
      <c r="Y67" s="132">
        <v>2427400</v>
      </c>
      <c r="Z67" s="146" t="s">
        <v>178</v>
      </c>
    </row>
    <row r="68" spans="1:26" s="10" customFormat="1" ht="12.75" customHeight="1" x14ac:dyDescent="0.2">
      <c r="A68" s="131" t="s">
        <v>176</v>
      </c>
      <c r="B68" s="132">
        <v>17</v>
      </c>
      <c r="C68" s="133" t="s">
        <v>253</v>
      </c>
      <c r="D68" s="133" t="s">
        <v>179</v>
      </c>
      <c r="E68" s="129"/>
      <c r="F68" s="129">
        <v>1100000000</v>
      </c>
      <c r="G68" s="129"/>
      <c r="H68" s="134" t="s">
        <v>795</v>
      </c>
      <c r="I68" s="135" t="s">
        <v>255</v>
      </c>
      <c r="J68" s="136">
        <v>2</v>
      </c>
      <c r="K68" s="137">
        <v>3</v>
      </c>
      <c r="L68" s="138">
        <v>9</v>
      </c>
      <c r="M68" s="132">
        <f t="shared" si="0"/>
        <v>1</v>
      </c>
      <c r="N68" s="139" t="s">
        <v>233</v>
      </c>
      <c r="O68" s="140" t="str">
        <f>IF(ISBLANK(N68),"",VLOOKUP(N68,[5]Parámetros!$G$2:$H$23,2,FALSE))</f>
        <v>Licitación pública</v>
      </c>
      <c r="P68" s="141">
        <f t="shared" si="8"/>
        <v>1</v>
      </c>
      <c r="Q68" s="142">
        <f t="shared" si="2"/>
        <v>1100000000</v>
      </c>
      <c r="R68" s="142">
        <f t="shared" si="3"/>
        <v>1100000000</v>
      </c>
      <c r="S68" s="143" t="s">
        <v>223</v>
      </c>
      <c r="T68" s="139">
        <f t="shared" si="9"/>
        <v>0</v>
      </c>
      <c r="U68" s="48" t="str">
        <f t="shared" si="5"/>
        <v>SUBDIRECCION DE GESTION CONTRACTUAL</v>
      </c>
      <c r="V68" s="132" t="str">
        <f t="shared" si="10"/>
        <v>CO-DC</v>
      </c>
      <c r="W68" s="48" t="str">
        <f t="shared" si="11"/>
        <v>Distrito Capital de Bogotá</v>
      </c>
      <c r="X68" s="144" t="s">
        <v>177</v>
      </c>
      <c r="Y68" s="132">
        <v>2427400</v>
      </c>
      <c r="Z68" s="146" t="s">
        <v>178</v>
      </c>
    </row>
    <row r="69" spans="1:26" s="10" customFormat="1" ht="12.75" customHeight="1" x14ac:dyDescent="0.2">
      <c r="A69" s="131" t="s">
        <v>176</v>
      </c>
      <c r="B69" s="132">
        <v>18</v>
      </c>
      <c r="C69" s="133" t="s">
        <v>253</v>
      </c>
      <c r="D69" s="133" t="s">
        <v>179</v>
      </c>
      <c r="E69" s="129"/>
      <c r="F69" s="129">
        <v>900000000</v>
      </c>
      <c r="G69" s="129"/>
      <c r="H69" s="134" t="s">
        <v>796</v>
      </c>
      <c r="I69" s="135" t="s">
        <v>262</v>
      </c>
      <c r="J69" s="136">
        <v>4</v>
      </c>
      <c r="K69" s="137">
        <v>5</v>
      </c>
      <c r="L69" s="138">
        <v>6</v>
      </c>
      <c r="M69" s="132">
        <f t="shared" si="0"/>
        <v>1</v>
      </c>
      <c r="N69" s="139" t="s">
        <v>36</v>
      </c>
      <c r="O69" s="140" t="str">
        <f>IF(ISBLANK(N69),"",VLOOKUP(N69,[5]Parámetros!$G$2:$H$23,2,FALSE))</f>
        <v xml:space="preserve">Contratación directa (con ofertas) </v>
      </c>
      <c r="P69" s="141">
        <f t="shared" si="8"/>
        <v>1</v>
      </c>
      <c r="Q69" s="142">
        <f t="shared" si="2"/>
        <v>900000000</v>
      </c>
      <c r="R69" s="142">
        <f t="shared" si="3"/>
        <v>900000000</v>
      </c>
      <c r="S69" s="143" t="s">
        <v>223</v>
      </c>
      <c r="T69" s="139">
        <f t="shared" si="9"/>
        <v>0</v>
      </c>
      <c r="U69" s="48" t="str">
        <f t="shared" si="5"/>
        <v>SUBDIRECCION DE GESTION CONTRACTUAL</v>
      </c>
      <c r="V69" s="132" t="str">
        <f t="shared" si="10"/>
        <v>CO-DC</v>
      </c>
      <c r="W69" s="48" t="str">
        <f t="shared" si="11"/>
        <v>Distrito Capital de Bogotá</v>
      </c>
      <c r="X69" s="144" t="s">
        <v>177</v>
      </c>
      <c r="Y69" s="132">
        <v>2427400</v>
      </c>
      <c r="Z69" s="146" t="s">
        <v>178</v>
      </c>
    </row>
    <row r="70" spans="1:26" s="10" customFormat="1" ht="12.75" customHeight="1" x14ac:dyDescent="0.2">
      <c r="A70" s="131" t="s">
        <v>176</v>
      </c>
      <c r="B70" s="132">
        <v>19</v>
      </c>
      <c r="C70" s="133" t="s">
        <v>253</v>
      </c>
      <c r="D70" s="133" t="s">
        <v>179</v>
      </c>
      <c r="E70" s="129"/>
      <c r="F70" s="129">
        <v>1700000000</v>
      </c>
      <c r="G70" s="129"/>
      <c r="H70" s="134" t="s">
        <v>796</v>
      </c>
      <c r="I70" s="135" t="s">
        <v>263</v>
      </c>
      <c r="J70" s="136">
        <v>4</v>
      </c>
      <c r="K70" s="137">
        <v>5</v>
      </c>
      <c r="L70" s="138">
        <v>6</v>
      </c>
      <c r="M70" s="132">
        <f t="shared" si="0"/>
        <v>1</v>
      </c>
      <c r="N70" s="139" t="s">
        <v>36</v>
      </c>
      <c r="O70" s="140" t="str">
        <f>IF(ISBLANK(N70),"",VLOOKUP(N70,[5]Parámetros!$G$2:$H$23,2,FALSE))</f>
        <v xml:space="preserve">Contratación directa (con ofertas) </v>
      </c>
      <c r="P70" s="141">
        <f t="shared" si="8"/>
        <v>1</v>
      </c>
      <c r="Q70" s="142">
        <f t="shared" si="2"/>
        <v>1700000000</v>
      </c>
      <c r="R70" s="142">
        <f t="shared" si="3"/>
        <v>1700000000</v>
      </c>
      <c r="S70" s="143" t="s">
        <v>223</v>
      </c>
      <c r="T70" s="139">
        <f t="shared" si="9"/>
        <v>0</v>
      </c>
      <c r="U70" s="48" t="str">
        <f t="shared" si="5"/>
        <v>SUBDIRECCION DE GESTION CONTRACTUAL</v>
      </c>
      <c r="V70" s="132" t="str">
        <f t="shared" si="10"/>
        <v>CO-DC</v>
      </c>
      <c r="W70" s="48" t="str">
        <f t="shared" si="11"/>
        <v>Distrito Capital de Bogotá</v>
      </c>
      <c r="X70" s="144" t="s">
        <v>177</v>
      </c>
      <c r="Y70" s="132">
        <v>2427400</v>
      </c>
      <c r="Z70" s="146" t="s">
        <v>178</v>
      </c>
    </row>
    <row r="71" spans="1:26" s="10" customFormat="1" ht="12.75" customHeight="1" x14ac:dyDescent="0.2">
      <c r="A71" s="131" t="s">
        <v>176</v>
      </c>
      <c r="B71" s="132">
        <v>20</v>
      </c>
      <c r="C71" s="133" t="s">
        <v>253</v>
      </c>
      <c r="D71" s="133" t="s">
        <v>179</v>
      </c>
      <c r="E71" s="129"/>
      <c r="F71" s="129">
        <v>180000000</v>
      </c>
      <c r="G71" s="129"/>
      <c r="H71" s="134" t="s">
        <v>796</v>
      </c>
      <c r="I71" s="135" t="s">
        <v>265</v>
      </c>
      <c r="J71" s="136">
        <v>5</v>
      </c>
      <c r="K71" s="137">
        <v>6</v>
      </c>
      <c r="L71" s="138">
        <v>5</v>
      </c>
      <c r="M71" s="132">
        <f t="shared" si="0"/>
        <v>1</v>
      </c>
      <c r="N71" s="139" t="s">
        <v>36</v>
      </c>
      <c r="O71" s="140" t="str">
        <f>IF(ISBLANK(N71),"",VLOOKUP(N71,[5]Parámetros!$G$2:$H$23,2,FALSE))</f>
        <v xml:space="preserve">Contratación directa (con ofertas) </v>
      </c>
      <c r="P71" s="141">
        <f t="shared" si="8"/>
        <v>1</v>
      </c>
      <c r="Q71" s="142">
        <f t="shared" si="2"/>
        <v>180000000</v>
      </c>
      <c r="R71" s="142">
        <f t="shared" si="3"/>
        <v>180000000</v>
      </c>
      <c r="S71" s="143" t="s">
        <v>223</v>
      </c>
      <c r="T71" s="139">
        <f t="shared" si="9"/>
        <v>0</v>
      </c>
      <c r="U71" s="48" t="str">
        <f t="shared" si="5"/>
        <v>SUBDIRECCION DE GESTION CONTRACTUAL</v>
      </c>
      <c r="V71" s="132" t="str">
        <f t="shared" si="10"/>
        <v>CO-DC</v>
      </c>
      <c r="W71" s="48" t="str">
        <f t="shared" si="11"/>
        <v>Distrito Capital de Bogotá</v>
      </c>
      <c r="X71" s="144" t="s">
        <v>177</v>
      </c>
      <c r="Y71" s="132">
        <v>2427400</v>
      </c>
      <c r="Z71" s="146" t="s">
        <v>178</v>
      </c>
    </row>
    <row r="72" spans="1:26" s="10" customFormat="1" ht="12.75" customHeight="1" x14ac:dyDescent="0.2">
      <c r="A72" s="131" t="s">
        <v>176</v>
      </c>
      <c r="B72" s="132">
        <v>21</v>
      </c>
      <c r="C72" s="133" t="s">
        <v>253</v>
      </c>
      <c r="D72" s="133" t="s">
        <v>179</v>
      </c>
      <c r="E72" s="129"/>
      <c r="F72" s="129">
        <v>250000000</v>
      </c>
      <c r="G72" s="129"/>
      <c r="H72" s="134" t="s">
        <v>796</v>
      </c>
      <c r="I72" s="135" t="s">
        <v>266</v>
      </c>
      <c r="J72" s="136">
        <v>4</v>
      </c>
      <c r="K72" s="137">
        <v>5</v>
      </c>
      <c r="L72" s="138">
        <v>6</v>
      </c>
      <c r="M72" s="132">
        <f t="shared" si="0"/>
        <v>1</v>
      </c>
      <c r="N72" s="139" t="s">
        <v>36</v>
      </c>
      <c r="O72" s="140" t="str">
        <f>IF(ISBLANK(N72),"",VLOOKUP(N72,[5]Parámetros!$G$2:$H$23,2,FALSE))</f>
        <v xml:space="preserve">Contratación directa (con ofertas) </v>
      </c>
      <c r="P72" s="141">
        <f t="shared" si="8"/>
        <v>1</v>
      </c>
      <c r="Q72" s="142">
        <f t="shared" si="2"/>
        <v>250000000</v>
      </c>
      <c r="R72" s="142">
        <f t="shared" si="3"/>
        <v>250000000</v>
      </c>
      <c r="S72" s="143" t="s">
        <v>223</v>
      </c>
      <c r="T72" s="139">
        <f t="shared" si="9"/>
        <v>0</v>
      </c>
      <c r="U72" s="48" t="str">
        <f t="shared" si="5"/>
        <v>SUBDIRECCION DE GESTION CONTRACTUAL</v>
      </c>
      <c r="V72" s="132" t="str">
        <f t="shared" si="10"/>
        <v>CO-DC</v>
      </c>
      <c r="W72" s="48" t="str">
        <f t="shared" si="11"/>
        <v>Distrito Capital de Bogotá</v>
      </c>
      <c r="X72" s="144" t="s">
        <v>177</v>
      </c>
      <c r="Y72" s="132">
        <v>2427400</v>
      </c>
      <c r="Z72" s="146" t="s">
        <v>178</v>
      </c>
    </row>
    <row r="73" spans="1:26" s="10" customFormat="1" ht="12.75" customHeight="1" x14ac:dyDescent="0.2">
      <c r="A73" s="131" t="s">
        <v>176</v>
      </c>
      <c r="B73" s="132">
        <v>22</v>
      </c>
      <c r="C73" s="133" t="s">
        <v>267</v>
      </c>
      <c r="D73" s="133" t="s">
        <v>853</v>
      </c>
      <c r="E73" s="129"/>
      <c r="F73" s="129">
        <v>400000000</v>
      </c>
      <c r="G73" s="129"/>
      <c r="H73" s="134" t="s">
        <v>796</v>
      </c>
      <c r="I73" s="135" t="s">
        <v>266</v>
      </c>
      <c r="J73" s="136">
        <v>4</v>
      </c>
      <c r="K73" s="137">
        <v>5</v>
      </c>
      <c r="L73" s="138">
        <v>6</v>
      </c>
      <c r="M73" s="132">
        <f t="shared" si="0"/>
        <v>1</v>
      </c>
      <c r="N73" s="139" t="s">
        <v>36</v>
      </c>
      <c r="O73" s="140" t="str">
        <f>IF(ISBLANK(N73),"",VLOOKUP(N73,[5]Parámetros!$G$2:$H$23,2,FALSE))</f>
        <v xml:space="preserve">Contratación directa (con ofertas) </v>
      </c>
      <c r="P73" s="141">
        <f t="shared" si="8"/>
        <v>1</v>
      </c>
      <c r="Q73" s="142">
        <f t="shared" si="2"/>
        <v>400000000</v>
      </c>
      <c r="R73" s="142">
        <f t="shared" si="3"/>
        <v>400000000</v>
      </c>
      <c r="S73" s="143" t="s">
        <v>223</v>
      </c>
      <c r="T73" s="139">
        <f t="shared" si="9"/>
        <v>0</v>
      </c>
      <c r="U73" s="48" t="str">
        <f t="shared" si="5"/>
        <v>SUBDIRECCION DE GESTION CONTRACTUAL</v>
      </c>
      <c r="V73" s="132" t="str">
        <f t="shared" si="10"/>
        <v>CO-DC</v>
      </c>
      <c r="W73" s="48" t="str">
        <f t="shared" si="11"/>
        <v>Distrito Capital de Bogotá</v>
      </c>
      <c r="X73" s="144" t="s">
        <v>177</v>
      </c>
      <c r="Y73" s="132">
        <v>2427400</v>
      </c>
      <c r="Z73" s="146" t="s">
        <v>178</v>
      </c>
    </row>
    <row r="74" spans="1:26" s="10" customFormat="1" ht="12.75" customHeight="1" x14ac:dyDescent="0.2">
      <c r="A74" s="131" t="s">
        <v>176</v>
      </c>
      <c r="B74" s="132">
        <v>23</v>
      </c>
      <c r="C74" s="133" t="s">
        <v>253</v>
      </c>
      <c r="D74" s="133" t="s">
        <v>853</v>
      </c>
      <c r="E74" s="129"/>
      <c r="F74" s="129">
        <v>500000000</v>
      </c>
      <c r="G74" s="129"/>
      <c r="H74" s="134" t="s">
        <v>796</v>
      </c>
      <c r="I74" s="135" t="s">
        <v>262</v>
      </c>
      <c r="J74" s="136">
        <v>4</v>
      </c>
      <c r="K74" s="137">
        <v>5</v>
      </c>
      <c r="L74" s="138">
        <v>6</v>
      </c>
      <c r="M74" s="132">
        <f t="shared" si="0"/>
        <v>1</v>
      </c>
      <c r="N74" s="139" t="s">
        <v>36</v>
      </c>
      <c r="O74" s="140" t="str">
        <f>IF(ISBLANK(N74),"",VLOOKUP(N74,[5]Parámetros!$G$2:$H$23,2,FALSE))</f>
        <v xml:space="preserve">Contratación directa (con ofertas) </v>
      </c>
      <c r="P74" s="141">
        <f t="shared" si="8"/>
        <v>1</v>
      </c>
      <c r="Q74" s="142">
        <f t="shared" si="2"/>
        <v>500000000</v>
      </c>
      <c r="R74" s="142">
        <f t="shared" si="3"/>
        <v>500000000</v>
      </c>
      <c r="S74" s="143" t="s">
        <v>223</v>
      </c>
      <c r="T74" s="139">
        <f t="shared" si="9"/>
        <v>0</v>
      </c>
      <c r="U74" s="48" t="str">
        <f t="shared" si="5"/>
        <v>SUBDIRECCION DE GESTION CONTRACTUAL</v>
      </c>
      <c r="V74" s="132" t="str">
        <f t="shared" si="10"/>
        <v>CO-DC</v>
      </c>
      <c r="W74" s="48" t="str">
        <f t="shared" si="11"/>
        <v>Distrito Capital de Bogotá</v>
      </c>
      <c r="X74" s="144" t="s">
        <v>177</v>
      </c>
      <c r="Y74" s="132">
        <v>2427400</v>
      </c>
      <c r="Z74" s="146" t="s">
        <v>178</v>
      </c>
    </row>
    <row r="75" spans="1:26" s="10" customFormat="1" ht="12.75" customHeight="1" x14ac:dyDescent="0.2">
      <c r="A75" s="131" t="s">
        <v>176</v>
      </c>
      <c r="B75" s="132">
        <v>24</v>
      </c>
      <c r="C75" s="133" t="s">
        <v>267</v>
      </c>
      <c r="D75" s="133" t="s">
        <v>853</v>
      </c>
      <c r="E75" s="129"/>
      <c r="F75" s="129">
        <v>21615000000</v>
      </c>
      <c r="G75" s="129"/>
      <c r="H75" s="134" t="s">
        <v>796</v>
      </c>
      <c r="I75" s="135" t="s">
        <v>268</v>
      </c>
      <c r="J75" s="136">
        <v>2</v>
      </c>
      <c r="K75" s="137">
        <v>3</v>
      </c>
      <c r="L75" s="138">
        <v>9</v>
      </c>
      <c r="M75" s="132">
        <f t="shared" si="0"/>
        <v>1</v>
      </c>
      <c r="N75" s="139" t="s">
        <v>36</v>
      </c>
      <c r="O75" s="140" t="str">
        <f>IF(ISBLANK(N75),"",VLOOKUP(N75,[5]Parámetros!$G$2:$H$23,2,FALSE))</f>
        <v xml:space="preserve">Contratación directa (con ofertas) </v>
      </c>
      <c r="P75" s="141">
        <f t="shared" si="8"/>
        <v>1</v>
      </c>
      <c r="Q75" s="142">
        <f t="shared" si="2"/>
        <v>21615000000</v>
      </c>
      <c r="R75" s="142">
        <f t="shared" si="3"/>
        <v>21615000000</v>
      </c>
      <c r="S75" s="143" t="s">
        <v>223</v>
      </c>
      <c r="T75" s="139">
        <f t="shared" si="9"/>
        <v>0</v>
      </c>
      <c r="U75" s="48" t="str">
        <f t="shared" si="5"/>
        <v>SUBDIRECCION DE GESTION CONTRACTUAL</v>
      </c>
      <c r="V75" s="132" t="str">
        <f t="shared" si="10"/>
        <v>CO-DC</v>
      </c>
      <c r="W75" s="48" t="str">
        <f t="shared" si="11"/>
        <v>Distrito Capital de Bogotá</v>
      </c>
      <c r="X75" s="144" t="s">
        <v>177</v>
      </c>
      <c r="Y75" s="132">
        <v>2427400</v>
      </c>
      <c r="Z75" s="146" t="s">
        <v>178</v>
      </c>
    </row>
    <row r="76" spans="1:26" s="10" customFormat="1" ht="12.75" customHeight="1" x14ac:dyDescent="0.2">
      <c r="A76" s="131" t="s">
        <v>176</v>
      </c>
      <c r="B76" s="132">
        <v>25</v>
      </c>
      <c r="C76" s="133" t="s">
        <v>267</v>
      </c>
      <c r="D76" s="133" t="s">
        <v>853</v>
      </c>
      <c r="E76" s="129"/>
      <c r="F76" s="129">
        <v>3615000000</v>
      </c>
      <c r="G76" s="129"/>
      <c r="H76" s="134">
        <v>80111608</v>
      </c>
      <c r="I76" s="135" t="s">
        <v>269</v>
      </c>
      <c r="J76" s="136">
        <v>4</v>
      </c>
      <c r="K76" s="137">
        <v>5</v>
      </c>
      <c r="L76" s="138">
        <v>6</v>
      </c>
      <c r="M76" s="132">
        <f t="shared" si="0"/>
        <v>1</v>
      </c>
      <c r="N76" s="139" t="s">
        <v>36</v>
      </c>
      <c r="O76" s="140" t="str">
        <f>IF(ISBLANK(N76),"",VLOOKUP(N76,[5]Parámetros!$G$2:$H$23,2,FALSE))</f>
        <v xml:space="preserve">Contratación directa (con ofertas) </v>
      </c>
      <c r="P76" s="141">
        <f t="shared" si="8"/>
        <v>1</v>
      </c>
      <c r="Q76" s="142">
        <f t="shared" si="2"/>
        <v>3615000000</v>
      </c>
      <c r="R76" s="142">
        <f t="shared" si="3"/>
        <v>3615000000</v>
      </c>
      <c r="S76" s="143" t="s">
        <v>223</v>
      </c>
      <c r="T76" s="139">
        <f t="shared" si="9"/>
        <v>0</v>
      </c>
      <c r="U76" s="48" t="str">
        <f t="shared" si="5"/>
        <v>SUBDIRECCION DE GESTION CONTRACTUAL</v>
      </c>
      <c r="V76" s="132" t="str">
        <f t="shared" si="10"/>
        <v>CO-DC</v>
      </c>
      <c r="W76" s="48" t="str">
        <f t="shared" si="11"/>
        <v>Distrito Capital de Bogotá</v>
      </c>
      <c r="X76" s="144" t="s">
        <v>177</v>
      </c>
      <c r="Y76" s="132">
        <v>2427400</v>
      </c>
      <c r="Z76" s="146" t="s">
        <v>178</v>
      </c>
    </row>
    <row r="77" spans="1:26" s="10" customFormat="1" ht="12.75" customHeight="1" x14ac:dyDescent="0.2">
      <c r="A77" s="131" t="s">
        <v>176</v>
      </c>
      <c r="B77" s="132">
        <v>26</v>
      </c>
      <c r="C77" s="133" t="s">
        <v>267</v>
      </c>
      <c r="D77" s="133" t="s">
        <v>853</v>
      </c>
      <c r="E77" s="129"/>
      <c r="F77" s="129">
        <v>200000000</v>
      </c>
      <c r="G77" s="129"/>
      <c r="H77" s="134" t="s">
        <v>796</v>
      </c>
      <c r="I77" s="135" t="s">
        <v>270</v>
      </c>
      <c r="J77" s="136">
        <v>4</v>
      </c>
      <c r="K77" s="137">
        <v>5</v>
      </c>
      <c r="L77" s="138">
        <v>6</v>
      </c>
      <c r="M77" s="132">
        <f t="shared" ref="M77:M144" si="15">IF(ISBLANK(J77),"",1)</f>
        <v>1</v>
      </c>
      <c r="N77" s="139" t="s">
        <v>36</v>
      </c>
      <c r="O77" s="140" t="str">
        <f>IF(ISBLANK(N77),"",VLOOKUP(N77,[5]Parámetros!$G$2:$H$23,2,FALSE))</f>
        <v xml:space="preserve">Contratación directa (con ofertas) </v>
      </c>
      <c r="P77" s="141">
        <f t="shared" ref="P77:P95" si="16">IF(ISBLANK(N77),"",1)</f>
        <v>1</v>
      </c>
      <c r="Q77" s="142">
        <f t="shared" ref="Q77:Q144" si="17">+E77+F77+G77</f>
        <v>200000000</v>
      </c>
      <c r="R77" s="142">
        <f t="shared" ref="R77:R144" si="18">+F77</f>
        <v>200000000</v>
      </c>
      <c r="S77" s="143" t="s">
        <v>223</v>
      </c>
      <c r="T77" s="139">
        <f t="shared" ref="T77:T95" si="19">IF(ISBLANK(S77),"",IF(VALUE(S77)=0,0,IF(VALUE(S77)=1,3,"")))</f>
        <v>0</v>
      </c>
      <c r="U77" s="48" t="str">
        <f t="shared" ref="U77:U144" si="20">IF(ISBLANK(N77),"","SUBDIRECCION DE GESTION CONTRACTUAL")</f>
        <v>SUBDIRECCION DE GESTION CONTRACTUAL</v>
      </c>
      <c r="V77" s="132" t="str">
        <f t="shared" ref="V77:V95" si="21">IF(ISBLANK(N77),"","CO-DC")</f>
        <v>CO-DC</v>
      </c>
      <c r="W77" s="48" t="str">
        <f t="shared" ref="W77:W95" si="22">IF(ISBLANK(N77),"","Distrito Capital de Bogotá")</f>
        <v>Distrito Capital de Bogotá</v>
      </c>
      <c r="X77" s="144" t="s">
        <v>177</v>
      </c>
      <c r="Y77" s="132">
        <v>2427400</v>
      </c>
      <c r="Z77" s="146" t="s">
        <v>178</v>
      </c>
    </row>
    <row r="78" spans="1:26" s="10" customFormat="1" ht="12.75" customHeight="1" x14ac:dyDescent="0.2">
      <c r="A78" s="131" t="s">
        <v>176</v>
      </c>
      <c r="B78" s="132">
        <v>27</v>
      </c>
      <c r="C78" s="133" t="s">
        <v>257</v>
      </c>
      <c r="D78" s="133" t="s">
        <v>853</v>
      </c>
      <c r="E78" s="129"/>
      <c r="F78" s="129">
        <v>300000000</v>
      </c>
      <c r="G78" s="129"/>
      <c r="H78" s="134" t="s">
        <v>796</v>
      </c>
      <c r="I78" s="135" t="s">
        <v>260</v>
      </c>
      <c r="J78" s="136">
        <v>4</v>
      </c>
      <c r="K78" s="137">
        <v>5</v>
      </c>
      <c r="L78" s="138">
        <v>6</v>
      </c>
      <c r="M78" s="132">
        <f t="shared" si="15"/>
        <v>1</v>
      </c>
      <c r="N78" s="139" t="s">
        <v>36</v>
      </c>
      <c r="O78" s="140" t="str">
        <f>IF(ISBLANK(N78),"",VLOOKUP(N78,[5]Parámetros!$G$2:$H$23,2,FALSE))</f>
        <v xml:space="preserve">Contratación directa (con ofertas) </v>
      </c>
      <c r="P78" s="141">
        <f t="shared" si="16"/>
        <v>1</v>
      </c>
      <c r="Q78" s="142">
        <f t="shared" si="17"/>
        <v>300000000</v>
      </c>
      <c r="R78" s="142">
        <f t="shared" si="18"/>
        <v>300000000</v>
      </c>
      <c r="S78" s="143" t="s">
        <v>223</v>
      </c>
      <c r="T78" s="139">
        <f t="shared" si="19"/>
        <v>0</v>
      </c>
      <c r="U78" s="48" t="str">
        <f t="shared" si="20"/>
        <v>SUBDIRECCION DE GESTION CONTRACTUAL</v>
      </c>
      <c r="V78" s="132" t="str">
        <f t="shared" si="21"/>
        <v>CO-DC</v>
      </c>
      <c r="W78" s="48" t="str">
        <f t="shared" si="22"/>
        <v>Distrito Capital de Bogotá</v>
      </c>
      <c r="X78" s="144" t="s">
        <v>177</v>
      </c>
      <c r="Y78" s="132">
        <v>2427400</v>
      </c>
      <c r="Z78" s="146" t="s">
        <v>178</v>
      </c>
    </row>
    <row r="79" spans="1:26" s="10" customFormat="1" ht="12.75" customHeight="1" x14ac:dyDescent="0.2">
      <c r="A79" s="131" t="s">
        <v>176</v>
      </c>
      <c r="B79" s="132">
        <v>28</v>
      </c>
      <c r="C79" s="133" t="s">
        <v>267</v>
      </c>
      <c r="D79" s="133" t="s">
        <v>853</v>
      </c>
      <c r="E79" s="129"/>
      <c r="F79" s="129">
        <v>2000000000</v>
      </c>
      <c r="G79" s="129"/>
      <c r="H79" s="134" t="s">
        <v>796</v>
      </c>
      <c r="I79" s="135" t="s">
        <v>263</v>
      </c>
      <c r="J79" s="136">
        <v>4</v>
      </c>
      <c r="K79" s="137">
        <v>5</v>
      </c>
      <c r="L79" s="138">
        <v>6</v>
      </c>
      <c r="M79" s="132">
        <f t="shared" si="15"/>
        <v>1</v>
      </c>
      <c r="N79" s="139" t="s">
        <v>36</v>
      </c>
      <c r="O79" s="140" t="str">
        <f>IF(ISBLANK(N79),"",VLOOKUP(N79,[5]Parámetros!$G$2:$H$23,2,FALSE))</f>
        <v xml:space="preserve">Contratación directa (con ofertas) </v>
      </c>
      <c r="P79" s="141">
        <f t="shared" si="16"/>
        <v>1</v>
      </c>
      <c r="Q79" s="142">
        <f t="shared" si="17"/>
        <v>2000000000</v>
      </c>
      <c r="R79" s="142">
        <f t="shared" si="18"/>
        <v>2000000000</v>
      </c>
      <c r="S79" s="143" t="s">
        <v>223</v>
      </c>
      <c r="T79" s="139">
        <f t="shared" si="19"/>
        <v>0</v>
      </c>
      <c r="U79" s="48" t="str">
        <f t="shared" si="20"/>
        <v>SUBDIRECCION DE GESTION CONTRACTUAL</v>
      </c>
      <c r="V79" s="132" t="str">
        <f t="shared" si="21"/>
        <v>CO-DC</v>
      </c>
      <c r="W79" s="48" t="str">
        <f t="shared" si="22"/>
        <v>Distrito Capital de Bogotá</v>
      </c>
      <c r="X79" s="144" t="s">
        <v>177</v>
      </c>
      <c r="Y79" s="132">
        <v>2427400</v>
      </c>
      <c r="Z79" s="146" t="s">
        <v>178</v>
      </c>
    </row>
    <row r="80" spans="1:26" s="10" customFormat="1" ht="12.75" customHeight="1" x14ac:dyDescent="0.2">
      <c r="A80" s="131" t="s">
        <v>176</v>
      </c>
      <c r="B80" s="132">
        <v>29</v>
      </c>
      <c r="C80" s="133" t="s">
        <v>267</v>
      </c>
      <c r="D80" s="133" t="s">
        <v>853</v>
      </c>
      <c r="E80" s="129"/>
      <c r="F80" s="129">
        <v>3050000000</v>
      </c>
      <c r="G80" s="129"/>
      <c r="H80" s="134" t="s">
        <v>795</v>
      </c>
      <c r="I80" s="135" t="s">
        <v>255</v>
      </c>
      <c r="J80" s="136">
        <v>2</v>
      </c>
      <c r="K80" s="137">
        <v>3</v>
      </c>
      <c r="L80" s="138">
        <v>9</v>
      </c>
      <c r="M80" s="132">
        <f t="shared" si="15"/>
        <v>1</v>
      </c>
      <c r="N80" s="139" t="s">
        <v>233</v>
      </c>
      <c r="O80" s="140" t="str">
        <f>IF(ISBLANK(N80),"",VLOOKUP(N80,[5]Parámetros!$G$2:$H$23,2,FALSE))</f>
        <v>Licitación pública</v>
      </c>
      <c r="P80" s="141">
        <f t="shared" si="16"/>
        <v>1</v>
      </c>
      <c r="Q80" s="142">
        <f t="shared" si="17"/>
        <v>3050000000</v>
      </c>
      <c r="R80" s="142">
        <f t="shared" si="18"/>
        <v>3050000000</v>
      </c>
      <c r="S80" s="143" t="s">
        <v>223</v>
      </c>
      <c r="T80" s="139">
        <f t="shared" si="19"/>
        <v>0</v>
      </c>
      <c r="U80" s="48" t="str">
        <f t="shared" si="20"/>
        <v>SUBDIRECCION DE GESTION CONTRACTUAL</v>
      </c>
      <c r="V80" s="132" t="str">
        <f t="shared" si="21"/>
        <v>CO-DC</v>
      </c>
      <c r="W80" s="48" t="str">
        <f t="shared" si="22"/>
        <v>Distrito Capital de Bogotá</v>
      </c>
      <c r="X80" s="144" t="s">
        <v>177</v>
      </c>
      <c r="Y80" s="132">
        <v>2427400</v>
      </c>
      <c r="Z80" s="146" t="s">
        <v>178</v>
      </c>
    </row>
    <row r="81" spans="1:26" s="10" customFormat="1" ht="12.75" customHeight="1" x14ac:dyDescent="0.2">
      <c r="A81" s="131" t="s">
        <v>176</v>
      </c>
      <c r="B81" s="132">
        <v>30</v>
      </c>
      <c r="C81" s="133" t="s">
        <v>267</v>
      </c>
      <c r="D81" s="133" t="s">
        <v>853</v>
      </c>
      <c r="E81" s="129"/>
      <c r="F81" s="129">
        <v>300000000</v>
      </c>
      <c r="G81" s="129"/>
      <c r="H81" s="134" t="s">
        <v>796</v>
      </c>
      <c r="I81" s="135" t="s">
        <v>271</v>
      </c>
      <c r="J81" s="136">
        <v>4</v>
      </c>
      <c r="K81" s="137">
        <v>5</v>
      </c>
      <c r="L81" s="138">
        <v>6</v>
      </c>
      <c r="M81" s="132">
        <f t="shared" si="15"/>
        <v>1</v>
      </c>
      <c r="N81" s="139" t="s">
        <v>36</v>
      </c>
      <c r="O81" s="140" t="str">
        <f>IF(ISBLANK(N81),"",VLOOKUP(N81,[5]Parámetros!$G$2:$H$23,2,FALSE))</f>
        <v xml:space="preserve">Contratación directa (con ofertas) </v>
      </c>
      <c r="P81" s="141">
        <f t="shared" si="16"/>
        <v>1</v>
      </c>
      <c r="Q81" s="142">
        <f t="shared" si="17"/>
        <v>300000000</v>
      </c>
      <c r="R81" s="142">
        <f t="shared" si="18"/>
        <v>300000000</v>
      </c>
      <c r="S81" s="143" t="s">
        <v>223</v>
      </c>
      <c r="T81" s="139">
        <f t="shared" si="19"/>
        <v>0</v>
      </c>
      <c r="U81" s="48" t="str">
        <f t="shared" si="20"/>
        <v>SUBDIRECCION DE GESTION CONTRACTUAL</v>
      </c>
      <c r="V81" s="132" t="str">
        <f t="shared" si="21"/>
        <v>CO-DC</v>
      </c>
      <c r="W81" s="48" t="str">
        <f t="shared" si="22"/>
        <v>Distrito Capital de Bogotá</v>
      </c>
      <c r="X81" s="144" t="s">
        <v>177</v>
      </c>
      <c r="Y81" s="132">
        <v>2427400</v>
      </c>
      <c r="Z81" s="146" t="s">
        <v>178</v>
      </c>
    </row>
    <row r="82" spans="1:26" s="10" customFormat="1" ht="12.75" customHeight="1" x14ac:dyDescent="0.2">
      <c r="A82" s="131" t="s">
        <v>176</v>
      </c>
      <c r="B82" s="132">
        <v>31</v>
      </c>
      <c r="C82" s="133" t="s">
        <v>267</v>
      </c>
      <c r="D82" s="133" t="s">
        <v>853</v>
      </c>
      <c r="E82" s="129"/>
      <c r="F82" s="129">
        <v>300000000</v>
      </c>
      <c r="G82" s="129"/>
      <c r="H82" s="134" t="s">
        <v>796</v>
      </c>
      <c r="I82" s="135" t="s">
        <v>272</v>
      </c>
      <c r="J82" s="136">
        <v>3</v>
      </c>
      <c r="K82" s="137">
        <v>4</v>
      </c>
      <c r="L82" s="138">
        <v>7</v>
      </c>
      <c r="M82" s="132">
        <f t="shared" si="15"/>
        <v>1</v>
      </c>
      <c r="N82" s="139" t="s">
        <v>36</v>
      </c>
      <c r="O82" s="140" t="str">
        <f>IF(ISBLANK(N82),"",VLOOKUP(N82,[5]Parámetros!$G$2:$H$23,2,FALSE))</f>
        <v xml:space="preserve">Contratación directa (con ofertas) </v>
      </c>
      <c r="P82" s="141">
        <f t="shared" si="16"/>
        <v>1</v>
      </c>
      <c r="Q82" s="142">
        <f t="shared" si="17"/>
        <v>300000000</v>
      </c>
      <c r="R82" s="142">
        <f t="shared" si="18"/>
        <v>300000000</v>
      </c>
      <c r="S82" s="143" t="s">
        <v>223</v>
      </c>
      <c r="T82" s="139">
        <f t="shared" si="19"/>
        <v>0</v>
      </c>
      <c r="U82" s="48" t="str">
        <f t="shared" si="20"/>
        <v>SUBDIRECCION DE GESTION CONTRACTUAL</v>
      </c>
      <c r="V82" s="132" t="str">
        <f t="shared" si="21"/>
        <v>CO-DC</v>
      </c>
      <c r="W82" s="48" t="str">
        <f t="shared" si="22"/>
        <v>Distrito Capital de Bogotá</v>
      </c>
      <c r="X82" s="144" t="s">
        <v>177</v>
      </c>
      <c r="Y82" s="132">
        <v>2427400</v>
      </c>
      <c r="Z82" s="146" t="s">
        <v>178</v>
      </c>
    </row>
    <row r="83" spans="1:26" s="10" customFormat="1" ht="12.75" customHeight="1" x14ac:dyDescent="0.2">
      <c r="A83" s="131" t="s">
        <v>176</v>
      </c>
      <c r="B83" s="132">
        <v>32</v>
      </c>
      <c r="C83" s="133" t="s">
        <v>267</v>
      </c>
      <c r="D83" s="133" t="s">
        <v>853</v>
      </c>
      <c r="E83" s="129"/>
      <c r="F83" s="129">
        <v>300000000</v>
      </c>
      <c r="G83" s="129"/>
      <c r="H83" s="134" t="s">
        <v>796</v>
      </c>
      <c r="I83" s="135" t="s">
        <v>273</v>
      </c>
      <c r="J83" s="136">
        <v>4</v>
      </c>
      <c r="K83" s="137">
        <v>5</v>
      </c>
      <c r="L83" s="138">
        <v>6</v>
      </c>
      <c r="M83" s="132">
        <f t="shared" si="15"/>
        <v>1</v>
      </c>
      <c r="N83" s="139" t="s">
        <v>36</v>
      </c>
      <c r="O83" s="140" t="str">
        <f>IF(ISBLANK(N83),"",VLOOKUP(N83,[5]Parámetros!$G$2:$H$23,2,FALSE))</f>
        <v xml:space="preserve">Contratación directa (con ofertas) </v>
      </c>
      <c r="P83" s="141">
        <f t="shared" si="16"/>
        <v>1</v>
      </c>
      <c r="Q83" s="142">
        <f t="shared" si="17"/>
        <v>300000000</v>
      </c>
      <c r="R83" s="142">
        <f t="shared" si="18"/>
        <v>300000000</v>
      </c>
      <c r="S83" s="143" t="s">
        <v>223</v>
      </c>
      <c r="T83" s="139">
        <f t="shared" si="19"/>
        <v>0</v>
      </c>
      <c r="U83" s="48" t="str">
        <f t="shared" si="20"/>
        <v>SUBDIRECCION DE GESTION CONTRACTUAL</v>
      </c>
      <c r="V83" s="132" t="str">
        <f t="shared" si="21"/>
        <v>CO-DC</v>
      </c>
      <c r="W83" s="48" t="str">
        <f t="shared" si="22"/>
        <v>Distrito Capital de Bogotá</v>
      </c>
      <c r="X83" s="144" t="s">
        <v>177</v>
      </c>
      <c r="Y83" s="132">
        <v>2427400</v>
      </c>
      <c r="Z83" s="146" t="s">
        <v>178</v>
      </c>
    </row>
    <row r="84" spans="1:26" s="10" customFormat="1" ht="12.75" customHeight="1" x14ac:dyDescent="0.2">
      <c r="A84" s="131" t="s">
        <v>176</v>
      </c>
      <c r="B84" s="132">
        <v>33</v>
      </c>
      <c r="C84" s="133" t="s">
        <v>274</v>
      </c>
      <c r="D84" s="133" t="s">
        <v>853</v>
      </c>
      <c r="E84" s="129"/>
      <c r="F84" s="129">
        <v>300000000</v>
      </c>
      <c r="G84" s="129"/>
      <c r="H84" s="134" t="s">
        <v>796</v>
      </c>
      <c r="I84" s="135" t="s">
        <v>275</v>
      </c>
      <c r="J84" s="136">
        <v>4</v>
      </c>
      <c r="K84" s="137">
        <v>5</v>
      </c>
      <c r="L84" s="138">
        <v>6</v>
      </c>
      <c r="M84" s="132">
        <f t="shared" si="15"/>
        <v>1</v>
      </c>
      <c r="N84" s="139" t="s">
        <v>36</v>
      </c>
      <c r="O84" s="140" t="str">
        <f>IF(ISBLANK(N84),"",VLOOKUP(N84,[5]Parámetros!$G$2:$H$23,2,FALSE))</f>
        <v xml:space="preserve">Contratación directa (con ofertas) </v>
      </c>
      <c r="P84" s="141">
        <f t="shared" si="16"/>
        <v>1</v>
      </c>
      <c r="Q84" s="142">
        <f t="shared" si="17"/>
        <v>300000000</v>
      </c>
      <c r="R84" s="142">
        <f t="shared" si="18"/>
        <v>300000000</v>
      </c>
      <c r="S84" s="143" t="s">
        <v>223</v>
      </c>
      <c r="T84" s="139">
        <f t="shared" si="19"/>
        <v>0</v>
      </c>
      <c r="U84" s="48" t="str">
        <f t="shared" si="20"/>
        <v>SUBDIRECCION DE GESTION CONTRACTUAL</v>
      </c>
      <c r="V84" s="132" t="str">
        <f t="shared" si="21"/>
        <v>CO-DC</v>
      </c>
      <c r="W84" s="48" t="str">
        <f t="shared" si="22"/>
        <v>Distrito Capital de Bogotá</v>
      </c>
      <c r="X84" s="144" t="s">
        <v>177</v>
      </c>
      <c r="Y84" s="132">
        <v>2427400</v>
      </c>
      <c r="Z84" s="146" t="s">
        <v>178</v>
      </c>
    </row>
    <row r="85" spans="1:26" s="10" customFormat="1" ht="12.75" customHeight="1" x14ac:dyDescent="0.2">
      <c r="A85" s="131" t="s">
        <v>176</v>
      </c>
      <c r="B85" s="132">
        <v>34</v>
      </c>
      <c r="C85" s="133" t="s">
        <v>267</v>
      </c>
      <c r="D85" s="133" t="s">
        <v>853</v>
      </c>
      <c r="E85" s="129"/>
      <c r="F85" s="129">
        <v>240000000</v>
      </c>
      <c r="G85" s="129"/>
      <c r="H85" s="134">
        <v>80111600</v>
      </c>
      <c r="I85" s="135" t="s">
        <v>254</v>
      </c>
      <c r="J85" s="136">
        <v>1</v>
      </c>
      <c r="K85" s="137">
        <v>1</v>
      </c>
      <c r="L85" s="138">
        <v>12</v>
      </c>
      <c r="M85" s="132">
        <f t="shared" si="15"/>
        <v>1</v>
      </c>
      <c r="N85" s="139" t="s">
        <v>216</v>
      </c>
      <c r="O85" s="140" t="str">
        <f>IF(ISBLANK(N85),"",VLOOKUP(N85,[5]Parámetros!$G$2:$H$23,2,FALSE))</f>
        <v>Contratación directa.</v>
      </c>
      <c r="P85" s="141">
        <f t="shared" si="16"/>
        <v>1</v>
      </c>
      <c r="Q85" s="142">
        <f t="shared" si="17"/>
        <v>240000000</v>
      </c>
      <c r="R85" s="142">
        <f t="shared" si="18"/>
        <v>240000000</v>
      </c>
      <c r="S85" s="143" t="s">
        <v>223</v>
      </c>
      <c r="T85" s="139">
        <f t="shared" si="19"/>
        <v>0</v>
      </c>
      <c r="U85" s="48" t="str">
        <f t="shared" si="20"/>
        <v>SUBDIRECCION DE GESTION CONTRACTUAL</v>
      </c>
      <c r="V85" s="132" t="str">
        <f t="shared" si="21"/>
        <v>CO-DC</v>
      </c>
      <c r="W85" s="48" t="str">
        <f t="shared" si="22"/>
        <v>Distrito Capital de Bogotá</v>
      </c>
      <c r="X85" s="144" t="s">
        <v>177</v>
      </c>
      <c r="Y85" s="132">
        <v>2427400</v>
      </c>
      <c r="Z85" s="146" t="s">
        <v>178</v>
      </c>
    </row>
    <row r="86" spans="1:26" s="10" customFormat="1" ht="12.75" customHeight="1" x14ac:dyDescent="0.2">
      <c r="A86" s="131" t="s">
        <v>176</v>
      </c>
      <c r="B86" s="132">
        <v>35</v>
      </c>
      <c r="C86" s="133" t="s">
        <v>267</v>
      </c>
      <c r="D86" s="133" t="s">
        <v>853</v>
      </c>
      <c r="E86" s="129"/>
      <c r="F86" s="129">
        <v>880000000</v>
      </c>
      <c r="G86" s="129"/>
      <c r="H86" s="134">
        <v>80111600</v>
      </c>
      <c r="I86" s="135" t="s">
        <v>254</v>
      </c>
      <c r="J86" s="136">
        <v>1</v>
      </c>
      <c r="K86" s="137">
        <v>1</v>
      </c>
      <c r="L86" s="138">
        <v>12</v>
      </c>
      <c r="M86" s="132">
        <f t="shared" si="15"/>
        <v>1</v>
      </c>
      <c r="N86" s="139" t="s">
        <v>216</v>
      </c>
      <c r="O86" s="140" t="str">
        <f>IF(ISBLANK(N86),"",VLOOKUP(N86,[5]Parámetros!$G$2:$H$23,2,FALSE))</f>
        <v>Contratación directa.</v>
      </c>
      <c r="P86" s="141">
        <f t="shared" si="16"/>
        <v>1</v>
      </c>
      <c r="Q86" s="142">
        <f t="shared" si="17"/>
        <v>880000000</v>
      </c>
      <c r="R86" s="142">
        <f t="shared" si="18"/>
        <v>880000000</v>
      </c>
      <c r="S86" s="143" t="s">
        <v>223</v>
      </c>
      <c r="T86" s="139">
        <f t="shared" si="19"/>
        <v>0</v>
      </c>
      <c r="U86" s="48" t="str">
        <f t="shared" si="20"/>
        <v>SUBDIRECCION DE GESTION CONTRACTUAL</v>
      </c>
      <c r="V86" s="132" t="str">
        <f t="shared" si="21"/>
        <v>CO-DC</v>
      </c>
      <c r="W86" s="48" t="str">
        <f t="shared" si="22"/>
        <v>Distrito Capital de Bogotá</v>
      </c>
      <c r="X86" s="144" t="s">
        <v>177</v>
      </c>
      <c r="Y86" s="132">
        <v>2427400</v>
      </c>
      <c r="Z86" s="146" t="s">
        <v>178</v>
      </c>
    </row>
    <row r="87" spans="1:26" s="10" customFormat="1" ht="12.75" customHeight="1" x14ac:dyDescent="0.2">
      <c r="A87" s="131" t="s">
        <v>176</v>
      </c>
      <c r="B87" s="132">
        <v>36</v>
      </c>
      <c r="C87" s="133" t="s">
        <v>274</v>
      </c>
      <c r="D87" s="133" t="s">
        <v>179</v>
      </c>
      <c r="E87" s="129"/>
      <c r="F87" s="129">
        <f>3781000000-500000000</f>
        <v>3281000000</v>
      </c>
      <c r="G87" s="129"/>
      <c r="H87" s="134" t="s">
        <v>795</v>
      </c>
      <c r="I87" s="135" t="s">
        <v>255</v>
      </c>
      <c r="J87" s="136">
        <v>2</v>
      </c>
      <c r="K87" s="137">
        <v>3</v>
      </c>
      <c r="L87" s="138">
        <v>9</v>
      </c>
      <c r="M87" s="132">
        <f t="shared" si="15"/>
        <v>1</v>
      </c>
      <c r="N87" s="139" t="s">
        <v>233</v>
      </c>
      <c r="O87" s="140" t="str">
        <f>IF(ISBLANK(N87),"",VLOOKUP(N87,[5]Parámetros!$G$2:$H$23,2,FALSE))</f>
        <v>Licitación pública</v>
      </c>
      <c r="P87" s="141">
        <f t="shared" si="16"/>
        <v>1</v>
      </c>
      <c r="Q87" s="142">
        <f t="shared" si="17"/>
        <v>3281000000</v>
      </c>
      <c r="R87" s="142">
        <f t="shared" si="18"/>
        <v>3281000000</v>
      </c>
      <c r="S87" s="143" t="s">
        <v>223</v>
      </c>
      <c r="T87" s="139">
        <f t="shared" si="19"/>
        <v>0</v>
      </c>
      <c r="U87" s="48" t="str">
        <f t="shared" si="20"/>
        <v>SUBDIRECCION DE GESTION CONTRACTUAL</v>
      </c>
      <c r="V87" s="132" t="str">
        <f t="shared" si="21"/>
        <v>CO-DC</v>
      </c>
      <c r="W87" s="48" t="str">
        <f t="shared" si="22"/>
        <v>Distrito Capital de Bogotá</v>
      </c>
      <c r="X87" s="144" t="s">
        <v>177</v>
      </c>
      <c r="Y87" s="132">
        <v>2427400</v>
      </c>
      <c r="Z87" s="146" t="s">
        <v>178</v>
      </c>
    </row>
    <row r="88" spans="1:26" s="10" customFormat="1" ht="12.75" customHeight="1" x14ac:dyDescent="0.2">
      <c r="A88" s="131" t="s">
        <v>176</v>
      </c>
      <c r="B88" s="132">
        <v>37</v>
      </c>
      <c r="C88" s="133" t="s">
        <v>274</v>
      </c>
      <c r="D88" s="133" t="s">
        <v>179</v>
      </c>
      <c r="E88" s="129"/>
      <c r="F88" s="129">
        <v>350000000</v>
      </c>
      <c r="G88" s="129"/>
      <c r="H88" s="134" t="s">
        <v>103</v>
      </c>
      <c r="I88" s="135" t="s">
        <v>627</v>
      </c>
      <c r="J88" s="136">
        <v>2</v>
      </c>
      <c r="K88" s="137">
        <v>3</v>
      </c>
      <c r="L88" s="138">
        <v>10</v>
      </c>
      <c r="M88" s="132">
        <f t="shared" si="15"/>
        <v>1</v>
      </c>
      <c r="N88" s="139" t="s">
        <v>36</v>
      </c>
      <c r="O88" s="140" t="str">
        <f>IF(ISBLANK(N88),"",VLOOKUP(N88,[1]Parámetros!$G$2:$H$23,2,FALSE))</f>
        <v xml:space="preserve">Contratación directa (con ofertas) </v>
      </c>
      <c r="P88" s="141">
        <f t="shared" si="16"/>
        <v>1</v>
      </c>
      <c r="Q88" s="142">
        <f t="shared" si="17"/>
        <v>350000000</v>
      </c>
      <c r="R88" s="142">
        <f t="shared" si="18"/>
        <v>350000000</v>
      </c>
      <c r="S88" s="143" t="s">
        <v>223</v>
      </c>
      <c r="T88" s="139">
        <f t="shared" si="19"/>
        <v>0</v>
      </c>
      <c r="U88" s="48" t="str">
        <f t="shared" si="20"/>
        <v>SUBDIRECCION DE GESTION CONTRACTUAL</v>
      </c>
      <c r="V88" s="132" t="str">
        <f t="shared" si="21"/>
        <v>CO-DC</v>
      </c>
      <c r="W88" s="48" t="str">
        <f t="shared" si="22"/>
        <v>Distrito Capital de Bogotá</v>
      </c>
      <c r="X88" s="144" t="s">
        <v>177</v>
      </c>
      <c r="Y88" s="132">
        <v>2427400</v>
      </c>
      <c r="Z88" s="146" t="s">
        <v>178</v>
      </c>
    </row>
    <row r="89" spans="1:26" s="10" customFormat="1" ht="12.75" customHeight="1" x14ac:dyDescent="0.2">
      <c r="A89" s="131" t="s">
        <v>176</v>
      </c>
      <c r="B89" s="132">
        <v>38</v>
      </c>
      <c r="C89" s="133" t="s">
        <v>274</v>
      </c>
      <c r="D89" s="133" t="s">
        <v>179</v>
      </c>
      <c r="E89" s="129"/>
      <c r="F89" s="129">
        <v>15000000</v>
      </c>
      <c r="G89" s="129"/>
      <c r="H89" s="134" t="s">
        <v>51</v>
      </c>
      <c r="I89" s="135" t="s">
        <v>276</v>
      </c>
      <c r="J89" s="136">
        <v>4</v>
      </c>
      <c r="K89" s="137">
        <v>6</v>
      </c>
      <c r="L89" s="138">
        <v>1</v>
      </c>
      <c r="M89" s="132">
        <f t="shared" si="15"/>
        <v>1</v>
      </c>
      <c r="N89" s="139" t="s">
        <v>43</v>
      </c>
      <c r="O89" s="140" t="str">
        <f>IF(ISBLANK(N89),"",VLOOKUP(N89,[5]Parámetros!$G$2:$H$23,2,FALSE))</f>
        <v>Selección abreviada subasta inversa</v>
      </c>
      <c r="P89" s="141">
        <f t="shared" si="16"/>
        <v>1</v>
      </c>
      <c r="Q89" s="142">
        <f t="shared" si="17"/>
        <v>15000000</v>
      </c>
      <c r="R89" s="142">
        <f t="shared" si="18"/>
        <v>15000000</v>
      </c>
      <c r="S89" s="143" t="s">
        <v>223</v>
      </c>
      <c r="T89" s="139">
        <f t="shared" si="19"/>
        <v>0</v>
      </c>
      <c r="U89" s="48" t="str">
        <f t="shared" si="20"/>
        <v>SUBDIRECCION DE GESTION CONTRACTUAL</v>
      </c>
      <c r="V89" s="132" t="str">
        <f t="shared" si="21"/>
        <v>CO-DC</v>
      </c>
      <c r="W89" s="48" t="str">
        <f t="shared" si="22"/>
        <v>Distrito Capital de Bogotá</v>
      </c>
      <c r="X89" s="144" t="s">
        <v>73</v>
      </c>
      <c r="Y89" s="132">
        <v>2427400</v>
      </c>
      <c r="Z89" s="146" t="s">
        <v>74</v>
      </c>
    </row>
    <row r="90" spans="1:26" s="10" customFormat="1" ht="12.75" customHeight="1" x14ac:dyDescent="0.2">
      <c r="A90" s="131" t="s">
        <v>176</v>
      </c>
      <c r="B90" s="132">
        <v>39</v>
      </c>
      <c r="C90" s="133" t="s">
        <v>274</v>
      </c>
      <c r="D90" s="133" t="s">
        <v>179</v>
      </c>
      <c r="E90" s="129"/>
      <c r="F90" s="129">
        <v>300000000</v>
      </c>
      <c r="G90" s="129"/>
      <c r="H90" s="134" t="s">
        <v>239</v>
      </c>
      <c r="I90" s="135" t="s">
        <v>277</v>
      </c>
      <c r="J90" s="136">
        <v>2</v>
      </c>
      <c r="K90" s="137">
        <v>3</v>
      </c>
      <c r="L90" s="138">
        <v>4</v>
      </c>
      <c r="M90" s="132">
        <f t="shared" si="15"/>
        <v>1</v>
      </c>
      <c r="N90" s="139" t="s">
        <v>43</v>
      </c>
      <c r="O90" s="140" t="str">
        <f>IF(ISBLANK(N90),"",VLOOKUP(N90,[5]Parámetros!$G$2:$H$23,2,FALSE))</f>
        <v>Selección abreviada subasta inversa</v>
      </c>
      <c r="P90" s="141">
        <f t="shared" si="16"/>
        <v>1</v>
      </c>
      <c r="Q90" s="142">
        <f t="shared" si="17"/>
        <v>300000000</v>
      </c>
      <c r="R90" s="142">
        <f t="shared" si="18"/>
        <v>300000000</v>
      </c>
      <c r="S90" s="143" t="s">
        <v>223</v>
      </c>
      <c r="T90" s="139">
        <f t="shared" si="19"/>
        <v>0</v>
      </c>
      <c r="U90" s="48" t="str">
        <f t="shared" si="20"/>
        <v>SUBDIRECCION DE GESTION CONTRACTUAL</v>
      </c>
      <c r="V90" s="132" t="str">
        <f t="shared" si="21"/>
        <v>CO-DC</v>
      </c>
      <c r="W90" s="48" t="str">
        <f t="shared" si="22"/>
        <v>Distrito Capital de Bogotá</v>
      </c>
      <c r="X90" s="144" t="s">
        <v>331</v>
      </c>
      <c r="Y90" s="132">
        <v>2427400</v>
      </c>
      <c r="Z90" s="146" t="s">
        <v>94</v>
      </c>
    </row>
    <row r="91" spans="1:26" s="10" customFormat="1" ht="12.75" customHeight="1" x14ac:dyDescent="0.2">
      <c r="A91" s="131" t="s">
        <v>176</v>
      </c>
      <c r="B91" s="132">
        <v>40</v>
      </c>
      <c r="C91" s="133" t="s">
        <v>274</v>
      </c>
      <c r="D91" s="133" t="s">
        <v>179</v>
      </c>
      <c r="E91" s="129"/>
      <c r="F91" s="129">
        <v>600000000</v>
      </c>
      <c r="G91" s="129"/>
      <c r="H91" s="134" t="s">
        <v>42</v>
      </c>
      <c r="I91" s="135" t="s">
        <v>278</v>
      </c>
      <c r="J91" s="136">
        <v>3</v>
      </c>
      <c r="K91" s="137">
        <v>4</v>
      </c>
      <c r="L91" s="138">
        <v>9</v>
      </c>
      <c r="M91" s="132">
        <f t="shared" si="15"/>
        <v>1</v>
      </c>
      <c r="N91" s="139" t="s">
        <v>61</v>
      </c>
      <c r="O91" s="140" t="str">
        <f>IF(ISBLANK(N91),"",VLOOKUP(N91,[5]Parámetros!$G$2:$H$23,2,FALSE))</f>
        <v>Contratación régimen especial - Selección de comisionista</v>
      </c>
      <c r="P91" s="141">
        <f t="shared" si="16"/>
        <v>1</v>
      </c>
      <c r="Q91" s="142">
        <f t="shared" si="17"/>
        <v>600000000</v>
      </c>
      <c r="R91" s="142">
        <f t="shared" si="18"/>
        <v>600000000</v>
      </c>
      <c r="S91" s="143" t="s">
        <v>223</v>
      </c>
      <c r="T91" s="139">
        <f t="shared" si="19"/>
        <v>0</v>
      </c>
      <c r="U91" s="48" t="str">
        <f t="shared" si="20"/>
        <v>SUBDIRECCION DE GESTION CONTRACTUAL</v>
      </c>
      <c r="V91" s="132" t="str">
        <f t="shared" si="21"/>
        <v>CO-DC</v>
      </c>
      <c r="W91" s="48" t="str">
        <f t="shared" si="22"/>
        <v>Distrito Capital de Bogotá</v>
      </c>
      <c r="X91" s="144" t="s">
        <v>358</v>
      </c>
      <c r="Y91" s="132">
        <v>2427400</v>
      </c>
      <c r="Z91" s="146" t="s">
        <v>75</v>
      </c>
    </row>
    <row r="92" spans="1:26" s="10" customFormat="1" ht="12.75" customHeight="1" x14ac:dyDescent="0.2">
      <c r="A92" s="131" t="s">
        <v>176</v>
      </c>
      <c r="B92" s="132">
        <v>41</v>
      </c>
      <c r="C92" s="133" t="s">
        <v>274</v>
      </c>
      <c r="D92" s="133" t="s">
        <v>179</v>
      </c>
      <c r="E92" s="129"/>
      <c r="F92" s="129">
        <v>20000000</v>
      </c>
      <c r="G92" s="129"/>
      <c r="H92" s="134" t="s">
        <v>279</v>
      </c>
      <c r="I92" s="135" t="s">
        <v>280</v>
      </c>
      <c r="J92" s="136">
        <v>5</v>
      </c>
      <c r="K92" s="137">
        <v>6</v>
      </c>
      <c r="L92" s="138">
        <v>1</v>
      </c>
      <c r="M92" s="132">
        <f t="shared" si="15"/>
        <v>1</v>
      </c>
      <c r="N92" s="139" t="s">
        <v>53</v>
      </c>
      <c r="O92" s="140" t="str">
        <f>IF(ISBLANK(N92),"",VLOOKUP(N92,[5]Parámetros!$G$2:$H$23,2,FALSE))</f>
        <v>Seléccion abreviada - acuerdo marco</v>
      </c>
      <c r="P92" s="141">
        <f t="shared" si="16"/>
        <v>1</v>
      </c>
      <c r="Q92" s="142">
        <f t="shared" si="17"/>
        <v>20000000</v>
      </c>
      <c r="R92" s="142">
        <f t="shared" si="18"/>
        <v>20000000</v>
      </c>
      <c r="S92" s="143" t="s">
        <v>223</v>
      </c>
      <c r="T92" s="139">
        <f t="shared" si="19"/>
        <v>0</v>
      </c>
      <c r="U92" s="48" t="str">
        <f t="shared" si="20"/>
        <v>SUBDIRECCION DE GESTION CONTRACTUAL</v>
      </c>
      <c r="V92" s="132" t="str">
        <f t="shared" si="21"/>
        <v>CO-DC</v>
      </c>
      <c r="W92" s="48" t="str">
        <f t="shared" si="22"/>
        <v>Distrito Capital de Bogotá</v>
      </c>
      <c r="X92" s="144" t="s">
        <v>77</v>
      </c>
      <c r="Y92" s="132">
        <v>2427400</v>
      </c>
      <c r="Z92" s="146" t="s">
        <v>281</v>
      </c>
    </row>
    <row r="93" spans="1:26" s="10" customFormat="1" ht="12.75" customHeight="1" x14ac:dyDescent="0.2">
      <c r="A93" s="131" t="s">
        <v>176</v>
      </c>
      <c r="B93" s="132">
        <v>42</v>
      </c>
      <c r="C93" s="133" t="s">
        <v>274</v>
      </c>
      <c r="D93" s="133" t="s">
        <v>179</v>
      </c>
      <c r="E93" s="129"/>
      <c r="F93" s="129">
        <v>300000000</v>
      </c>
      <c r="G93" s="129"/>
      <c r="H93" s="134" t="s">
        <v>644</v>
      </c>
      <c r="I93" s="135" t="s">
        <v>282</v>
      </c>
      <c r="J93" s="136">
        <v>2</v>
      </c>
      <c r="K93" s="137">
        <v>2</v>
      </c>
      <c r="L93" s="138">
        <v>10</v>
      </c>
      <c r="M93" s="132">
        <f t="shared" si="15"/>
        <v>1</v>
      </c>
      <c r="N93" s="139" t="s">
        <v>36</v>
      </c>
      <c r="O93" s="140" t="str">
        <f>IF(ISBLANK(N93),"",VLOOKUP(N93,[5]Parámetros!$G$2:$H$23,2,FALSE))</f>
        <v xml:space="preserve">Contratación directa (con ofertas) </v>
      </c>
      <c r="P93" s="141">
        <f t="shared" si="16"/>
        <v>1</v>
      </c>
      <c r="Q93" s="142">
        <f t="shared" si="17"/>
        <v>300000000</v>
      </c>
      <c r="R93" s="142">
        <f t="shared" si="18"/>
        <v>300000000</v>
      </c>
      <c r="S93" s="143" t="s">
        <v>223</v>
      </c>
      <c r="T93" s="139">
        <f t="shared" si="19"/>
        <v>0</v>
      </c>
      <c r="U93" s="48" t="str">
        <f t="shared" si="20"/>
        <v>SUBDIRECCION DE GESTION CONTRACTUAL</v>
      </c>
      <c r="V93" s="132" t="str">
        <f t="shared" si="21"/>
        <v>CO-DC</v>
      </c>
      <c r="W93" s="48" t="str">
        <f t="shared" si="22"/>
        <v>Distrito Capital de Bogotá</v>
      </c>
      <c r="X93" s="144" t="s">
        <v>331</v>
      </c>
      <c r="Y93" s="132">
        <v>2427400</v>
      </c>
      <c r="Z93" s="146" t="s">
        <v>94</v>
      </c>
    </row>
    <row r="94" spans="1:26" s="10" customFormat="1" ht="12.75" customHeight="1" x14ac:dyDescent="0.2">
      <c r="A94" s="131" t="s">
        <v>176</v>
      </c>
      <c r="B94" s="132">
        <v>43</v>
      </c>
      <c r="C94" s="133" t="s">
        <v>274</v>
      </c>
      <c r="D94" s="133" t="s">
        <v>179</v>
      </c>
      <c r="E94" s="129"/>
      <c r="F94" s="129">
        <v>2950000000</v>
      </c>
      <c r="G94" s="129"/>
      <c r="H94" s="134">
        <v>80111600</v>
      </c>
      <c r="I94" s="135" t="s">
        <v>254</v>
      </c>
      <c r="J94" s="136">
        <v>1</v>
      </c>
      <c r="K94" s="137">
        <v>1</v>
      </c>
      <c r="L94" s="138">
        <v>12</v>
      </c>
      <c r="M94" s="132">
        <f t="shared" si="15"/>
        <v>1</v>
      </c>
      <c r="N94" s="139" t="s">
        <v>216</v>
      </c>
      <c r="O94" s="140" t="str">
        <f>IF(ISBLANK(N94),"",VLOOKUP(N94,[5]Parámetros!$G$2:$H$23,2,FALSE))</f>
        <v>Contratación directa.</v>
      </c>
      <c r="P94" s="141">
        <f t="shared" si="16"/>
        <v>1</v>
      </c>
      <c r="Q94" s="142">
        <f t="shared" si="17"/>
        <v>2950000000</v>
      </c>
      <c r="R94" s="142">
        <f t="shared" si="18"/>
        <v>2950000000</v>
      </c>
      <c r="S94" s="143" t="s">
        <v>223</v>
      </c>
      <c r="T94" s="139">
        <f t="shared" si="19"/>
        <v>0</v>
      </c>
      <c r="U94" s="48" t="str">
        <f t="shared" si="20"/>
        <v>SUBDIRECCION DE GESTION CONTRACTUAL</v>
      </c>
      <c r="V94" s="132" t="str">
        <f t="shared" si="21"/>
        <v>CO-DC</v>
      </c>
      <c r="W94" s="48" t="str">
        <f t="shared" si="22"/>
        <v>Distrito Capital de Bogotá</v>
      </c>
      <c r="X94" s="144" t="s">
        <v>177</v>
      </c>
      <c r="Y94" s="132">
        <v>2427400</v>
      </c>
      <c r="Z94" s="146" t="s">
        <v>178</v>
      </c>
    </row>
    <row r="95" spans="1:26" s="10" customFormat="1" ht="12.75" customHeight="1" x14ac:dyDescent="0.2">
      <c r="A95" s="131" t="s">
        <v>176</v>
      </c>
      <c r="B95" s="132">
        <v>44</v>
      </c>
      <c r="C95" s="133" t="s">
        <v>274</v>
      </c>
      <c r="D95" s="133" t="s">
        <v>179</v>
      </c>
      <c r="E95" s="129"/>
      <c r="F95" s="129">
        <v>500000000</v>
      </c>
      <c r="G95" s="129"/>
      <c r="H95" s="134" t="s">
        <v>795</v>
      </c>
      <c r="I95" s="135" t="s">
        <v>255</v>
      </c>
      <c r="J95" s="158">
        <v>1</v>
      </c>
      <c r="K95" s="158">
        <v>2</v>
      </c>
      <c r="L95" s="158">
        <v>3</v>
      </c>
      <c r="M95" s="132">
        <f t="shared" si="15"/>
        <v>1</v>
      </c>
      <c r="N95" s="139" t="s">
        <v>36</v>
      </c>
      <c r="O95" s="140" t="str">
        <f>IF(ISBLANK(N95),"",VLOOKUP(N95,[5]Parámetros!$G$2:$H$23,2,FALSE))</f>
        <v xml:space="preserve">Contratación directa (con ofertas) </v>
      </c>
      <c r="P95" s="141">
        <f t="shared" si="16"/>
        <v>1</v>
      </c>
      <c r="Q95" s="142">
        <f t="shared" si="17"/>
        <v>500000000</v>
      </c>
      <c r="R95" s="142">
        <f t="shared" si="18"/>
        <v>500000000</v>
      </c>
      <c r="S95" s="143" t="s">
        <v>223</v>
      </c>
      <c r="T95" s="139">
        <f t="shared" si="19"/>
        <v>0</v>
      </c>
      <c r="U95" s="48" t="str">
        <f t="shared" si="20"/>
        <v>SUBDIRECCION DE GESTION CONTRACTUAL</v>
      </c>
      <c r="V95" s="132" t="str">
        <f t="shared" si="21"/>
        <v>CO-DC</v>
      </c>
      <c r="W95" s="48" t="str">
        <f t="shared" si="22"/>
        <v>Distrito Capital de Bogotá</v>
      </c>
      <c r="X95" s="144" t="s">
        <v>177</v>
      </c>
      <c r="Y95" s="132">
        <v>2427400</v>
      </c>
      <c r="Z95" s="146" t="s">
        <v>178</v>
      </c>
    </row>
    <row r="96" spans="1:26" s="10" customFormat="1" ht="12.75" customHeight="1" x14ac:dyDescent="0.2">
      <c r="A96" s="131" t="s">
        <v>176</v>
      </c>
      <c r="B96" s="132">
        <v>45</v>
      </c>
      <c r="C96" s="133" t="s">
        <v>261</v>
      </c>
      <c r="D96" s="133" t="s">
        <v>179</v>
      </c>
      <c r="E96" s="129"/>
      <c r="F96" s="129">
        <v>500000000</v>
      </c>
      <c r="G96" s="129"/>
      <c r="H96" s="134" t="s">
        <v>795</v>
      </c>
      <c r="I96" s="135" t="s">
        <v>255</v>
      </c>
      <c r="J96" s="158">
        <v>1</v>
      </c>
      <c r="K96" s="158">
        <v>2</v>
      </c>
      <c r="L96" s="158">
        <v>3</v>
      </c>
      <c r="M96" s="132">
        <f t="shared" si="15"/>
        <v>1</v>
      </c>
      <c r="N96" s="139" t="s">
        <v>36</v>
      </c>
      <c r="O96" s="140" t="str">
        <f>IF(ISBLANK(N96),"",VLOOKUP(N96,[5]Parámetros!$G$2:$H$23,2,FALSE))</f>
        <v xml:space="preserve">Contratación directa (con ofertas) </v>
      </c>
      <c r="P96" s="141">
        <v>1</v>
      </c>
      <c r="Q96" s="142">
        <f t="shared" si="17"/>
        <v>500000000</v>
      </c>
      <c r="R96" s="142">
        <f t="shared" si="18"/>
        <v>500000000</v>
      </c>
      <c r="S96" s="143" t="s">
        <v>223</v>
      </c>
      <c r="T96" s="139">
        <v>0</v>
      </c>
      <c r="U96" s="48" t="str">
        <f t="shared" si="20"/>
        <v>SUBDIRECCION DE GESTION CONTRACTUAL</v>
      </c>
      <c r="V96" s="132" t="s">
        <v>39</v>
      </c>
      <c r="W96" s="48" t="s">
        <v>38</v>
      </c>
      <c r="X96" s="144" t="s">
        <v>177</v>
      </c>
      <c r="Y96" s="132">
        <v>2427400</v>
      </c>
      <c r="Z96" s="146" t="s">
        <v>178</v>
      </c>
    </row>
    <row r="97" spans="1:26" s="223" customFormat="1" ht="12.75" customHeight="1" x14ac:dyDescent="0.25">
      <c r="A97" s="216" t="s">
        <v>176</v>
      </c>
      <c r="B97" s="217">
        <v>46</v>
      </c>
      <c r="C97" s="215" t="s">
        <v>274</v>
      </c>
      <c r="D97" s="215" t="s">
        <v>179</v>
      </c>
      <c r="E97" s="202"/>
      <c r="F97" s="202">
        <v>200000000</v>
      </c>
      <c r="G97" s="202"/>
      <c r="H97" s="289" t="s">
        <v>880</v>
      </c>
      <c r="I97" s="204" t="s">
        <v>881</v>
      </c>
      <c r="J97" s="227">
        <v>5</v>
      </c>
      <c r="K97" s="227">
        <v>6</v>
      </c>
      <c r="L97" s="227">
        <v>2</v>
      </c>
      <c r="M97" s="217">
        <v>1</v>
      </c>
      <c r="N97" s="212" t="s">
        <v>36</v>
      </c>
      <c r="O97" s="213" t="str">
        <f>IF(ISBLANK(N97),"",VLOOKUP(N97,[5]Parámetros!$G$2:$H$23,2,FALSE))</f>
        <v xml:space="preserve">Contratación directa (con ofertas) </v>
      </c>
      <c r="P97" s="219">
        <v>1</v>
      </c>
      <c r="Q97" s="220">
        <f t="shared" si="17"/>
        <v>200000000</v>
      </c>
      <c r="R97" s="220">
        <f t="shared" si="18"/>
        <v>200000000</v>
      </c>
      <c r="S97" s="221">
        <v>0</v>
      </c>
      <c r="T97" s="212">
        <v>0</v>
      </c>
      <c r="U97" s="222" t="str">
        <f t="shared" si="20"/>
        <v>SUBDIRECCION DE GESTION CONTRACTUAL</v>
      </c>
      <c r="V97" s="217" t="s">
        <v>39</v>
      </c>
      <c r="W97" s="222" t="s">
        <v>38</v>
      </c>
      <c r="X97" s="228" t="s">
        <v>177</v>
      </c>
      <c r="Y97" s="217">
        <v>2427400</v>
      </c>
      <c r="Z97" s="231" t="s">
        <v>178</v>
      </c>
    </row>
    <row r="98" spans="1:26" s="10" customFormat="1" ht="12.75" customHeight="1" x14ac:dyDescent="0.2">
      <c r="A98" s="131" t="s">
        <v>67</v>
      </c>
      <c r="B98" s="132">
        <v>1</v>
      </c>
      <c r="C98" s="133" t="s">
        <v>283</v>
      </c>
      <c r="D98" s="133" t="s">
        <v>88</v>
      </c>
      <c r="E98" s="129"/>
      <c r="F98" s="129">
        <v>10263157661</v>
      </c>
      <c r="G98" s="129"/>
      <c r="H98" s="134" t="s">
        <v>68</v>
      </c>
      <c r="I98" s="135" t="s">
        <v>305</v>
      </c>
      <c r="J98" s="136">
        <v>3</v>
      </c>
      <c r="K98" s="137">
        <v>4</v>
      </c>
      <c r="L98" s="138">
        <v>8</v>
      </c>
      <c r="M98" s="132">
        <f t="shared" si="15"/>
        <v>1</v>
      </c>
      <c r="N98" s="139" t="s">
        <v>36</v>
      </c>
      <c r="O98" s="140" t="str">
        <f>IF(ISBLANK(N98),"",VLOOKUP(N98,[6]Parámetros!$G$2:$H$23,2,FALSE))</f>
        <v xml:space="preserve">Contratación directa (con ofertas) </v>
      </c>
      <c r="P98" s="141">
        <f t="shared" ref="P98:P132" si="23">IF(ISBLANK(N98),"",1)</f>
        <v>1</v>
      </c>
      <c r="Q98" s="142">
        <f t="shared" si="17"/>
        <v>10263157661</v>
      </c>
      <c r="R98" s="142">
        <f t="shared" si="18"/>
        <v>10263157661</v>
      </c>
      <c r="S98" s="143" t="s">
        <v>223</v>
      </c>
      <c r="T98" s="139">
        <f t="shared" ref="T98:T132" si="24">IF(ISBLANK(S98),"",IF(VALUE(S98)=0,0,IF(VALUE(S98)=1,3,"")))</f>
        <v>0</v>
      </c>
      <c r="U98" s="48" t="str">
        <f t="shared" si="20"/>
        <v>SUBDIRECCION DE GESTION CONTRACTUAL</v>
      </c>
      <c r="V98" s="132" t="str">
        <f t="shared" ref="V98:V165" si="25">IF(ISBLANK(N98),"","CO-DC")</f>
        <v>CO-DC</v>
      </c>
      <c r="W98" s="48" t="str">
        <f t="shared" ref="W98:W165" si="26">IF(ISBLANK(N98),"","Distrito Capital de Bogotá")</f>
        <v>Distrito Capital de Bogotá</v>
      </c>
      <c r="X98" s="144" t="s">
        <v>69</v>
      </c>
      <c r="Y98" s="132">
        <v>2427401</v>
      </c>
      <c r="Z98" s="146" t="s">
        <v>70</v>
      </c>
    </row>
    <row r="99" spans="1:26" s="10" customFormat="1" ht="12.75" customHeight="1" x14ac:dyDescent="0.2">
      <c r="A99" s="131" t="s">
        <v>67</v>
      </c>
      <c r="B99" s="132">
        <v>2</v>
      </c>
      <c r="C99" s="133" t="s">
        <v>285</v>
      </c>
      <c r="D99" s="133" t="s">
        <v>71</v>
      </c>
      <c r="E99" s="129"/>
      <c r="F99" s="202">
        <f>70044339442-2600000000</f>
        <v>67444339442</v>
      </c>
      <c r="G99" s="129"/>
      <c r="H99" s="134" t="s">
        <v>68</v>
      </c>
      <c r="I99" s="135" t="s">
        <v>306</v>
      </c>
      <c r="J99" s="136">
        <v>3</v>
      </c>
      <c r="K99" s="137">
        <v>4</v>
      </c>
      <c r="L99" s="138">
        <v>8</v>
      </c>
      <c r="M99" s="132">
        <f t="shared" si="15"/>
        <v>1</v>
      </c>
      <c r="N99" s="139" t="s">
        <v>36</v>
      </c>
      <c r="O99" s="140" t="str">
        <f>IF(ISBLANK(N99),"",VLOOKUP(N99,[6]Parámetros!$G$2:$H$23,2,FALSE))</f>
        <v xml:space="preserve">Contratación directa (con ofertas) </v>
      </c>
      <c r="P99" s="141">
        <f t="shared" si="23"/>
        <v>1</v>
      </c>
      <c r="Q99" s="142">
        <f t="shared" si="17"/>
        <v>67444339442</v>
      </c>
      <c r="R99" s="142">
        <f t="shared" si="18"/>
        <v>67444339442</v>
      </c>
      <c r="S99" s="143" t="s">
        <v>223</v>
      </c>
      <c r="T99" s="139">
        <f t="shared" si="24"/>
        <v>0</v>
      </c>
      <c r="U99" s="48" t="str">
        <f t="shared" si="20"/>
        <v>SUBDIRECCION DE GESTION CONTRACTUAL</v>
      </c>
      <c r="V99" s="132" t="str">
        <f t="shared" si="25"/>
        <v>CO-DC</v>
      </c>
      <c r="W99" s="48" t="str">
        <f t="shared" si="26"/>
        <v>Distrito Capital de Bogotá</v>
      </c>
      <c r="X99" s="144" t="s">
        <v>69</v>
      </c>
      <c r="Y99" s="132">
        <v>2427401</v>
      </c>
      <c r="Z99" s="146" t="s">
        <v>70</v>
      </c>
    </row>
    <row r="100" spans="1:26" s="10" customFormat="1" ht="12.75" customHeight="1" x14ac:dyDescent="0.2">
      <c r="A100" s="131" t="s">
        <v>67</v>
      </c>
      <c r="B100" s="132">
        <v>3</v>
      </c>
      <c r="C100" s="133" t="s">
        <v>286</v>
      </c>
      <c r="D100" s="133" t="s">
        <v>71</v>
      </c>
      <c r="E100" s="129"/>
      <c r="F100" s="129">
        <v>3400000000</v>
      </c>
      <c r="G100" s="129"/>
      <c r="H100" s="134" t="s">
        <v>68</v>
      </c>
      <c r="I100" s="135" t="s">
        <v>306</v>
      </c>
      <c r="J100" s="136">
        <v>3</v>
      </c>
      <c r="K100" s="137">
        <v>4</v>
      </c>
      <c r="L100" s="138">
        <v>8</v>
      </c>
      <c r="M100" s="132">
        <f t="shared" si="15"/>
        <v>1</v>
      </c>
      <c r="N100" s="139" t="s">
        <v>36</v>
      </c>
      <c r="O100" s="140" t="str">
        <f>IF(ISBLANK(N100),"",VLOOKUP(N100,[6]Parámetros!$G$2:$H$23,2,FALSE))</f>
        <v xml:space="preserve">Contratación directa (con ofertas) </v>
      </c>
      <c r="P100" s="141">
        <f t="shared" si="23"/>
        <v>1</v>
      </c>
      <c r="Q100" s="142">
        <f t="shared" si="17"/>
        <v>3400000000</v>
      </c>
      <c r="R100" s="142">
        <f t="shared" si="18"/>
        <v>3400000000</v>
      </c>
      <c r="S100" s="143" t="s">
        <v>223</v>
      </c>
      <c r="T100" s="139">
        <f t="shared" si="24"/>
        <v>0</v>
      </c>
      <c r="U100" s="48" t="str">
        <f t="shared" si="20"/>
        <v>SUBDIRECCION DE GESTION CONTRACTUAL</v>
      </c>
      <c r="V100" s="132" t="str">
        <f t="shared" si="25"/>
        <v>CO-DC</v>
      </c>
      <c r="W100" s="48" t="str">
        <f t="shared" si="26"/>
        <v>Distrito Capital de Bogotá</v>
      </c>
      <c r="X100" s="144" t="s">
        <v>69</v>
      </c>
      <c r="Y100" s="132">
        <v>2427401</v>
      </c>
      <c r="Z100" s="146" t="s">
        <v>70</v>
      </c>
    </row>
    <row r="101" spans="1:26" s="10" customFormat="1" ht="12.75" customHeight="1" x14ac:dyDescent="0.2">
      <c r="A101" s="131" t="s">
        <v>67</v>
      </c>
      <c r="B101" s="132">
        <v>4</v>
      </c>
      <c r="C101" s="133" t="s">
        <v>287</v>
      </c>
      <c r="D101" s="133" t="s">
        <v>71</v>
      </c>
      <c r="E101" s="129"/>
      <c r="F101" s="129">
        <v>550000000</v>
      </c>
      <c r="G101" s="129"/>
      <c r="H101" s="134" t="s">
        <v>795</v>
      </c>
      <c r="I101" s="135" t="s">
        <v>620</v>
      </c>
      <c r="J101" s="136">
        <v>2</v>
      </c>
      <c r="K101" s="137">
        <v>3</v>
      </c>
      <c r="L101" s="138">
        <v>9</v>
      </c>
      <c r="M101" s="132">
        <f t="shared" si="15"/>
        <v>1</v>
      </c>
      <c r="N101" s="139" t="s">
        <v>233</v>
      </c>
      <c r="O101" s="140" t="str">
        <f>IF(ISBLANK(N101),"",VLOOKUP(N101,[6]Parámetros!$G$2:$H$23,2,FALSE))</f>
        <v>Licitación pública</v>
      </c>
      <c r="P101" s="141">
        <f t="shared" si="23"/>
        <v>1</v>
      </c>
      <c r="Q101" s="142">
        <f t="shared" si="17"/>
        <v>550000000</v>
      </c>
      <c r="R101" s="142">
        <f t="shared" si="18"/>
        <v>550000000</v>
      </c>
      <c r="S101" s="143" t="s">
        <v>223</v>
      </c>
      <c r="T101" s="139">
        <f t="shared" si="24"/>
        <v>0</v>
      </c>
      <c r="U101" s="48" t="str">
        <f t="shared" si="20"/>
        <v>SUBDIRECCION DE GESTION CONTRACTUAL</v>
      </c>
      <c r="V101" s="132" t="str">
        <f t="shared" si="25"/>
        <v>CO-DC</v>
      </c>
      <c r="W101" s="48" t="str">
        <f t="shared" si="26"/>
        <v>Distrito Capital de Bogotá</v>
      </c>
      <c r="X101" s="144" t="s">
        <v>69</v>
      </c>
      <c r="Y101" s="132">
        <v>2427401</v>
      </c>
      <c r="Z101" s="146" t="s">
        <v>70</v>
      </c>
    </row>
    <row r="102" spans="1:26" s="10" customFormat="1" ht="12.75" customHeight="1" x14ac:dyDescent="0.2">
      <c r="A102" s="131" t="s">
        <v>67</v>
      </c>
      <c r="B102" s="132">
        <v>5</v>
      </c>
      <c r="C102" s="133" t="s">
        <v>288</v>
      </c>
      <c r="D102" s="133" t="s">
        <v>71</v>
      </c>
      <c r="E102" s="129"/>
      <c r="F102" s="129">
        <v>4800000000</v>
      </c>
      <c r="G102" s="129"/>
      <c r="H102" s="134" t="s">
        <v>795</v>
      </c>
      <c r="I102" s="135" t="s">
        <v>620</v>
      </c>
      <c r="J102" s="136">
        <v>2</v>
      </c>
      <c r="K102" s="137">
        <v>3</v>
      </c>
      <c r="L102" s="138">
        <v>9</v>
      </c>
      <c r="M102" s="132">
        <f t="shared" si="15"/>
        <v>1</v>
      </c>
      <c r="N102" s="139" t="s">
        <v>233</v>
      </c>
      <c r="O102" s="140" t="str">
        <f>IF(ISBLANK(N102),"",VLOOKUP(N102,[6]Parámetros!$G$2:$H$23,2,FALSE))</f>
        <v>Licitación pública</v>
      </c>
      <c r="P102" s="141">
        <f t="shared" si="23"/>
        <v>1</v>
      </c>
      <c r="Q102" s="142">
        <f t="shared" si="17"/>
        <v>4800000000</v>
      </c>
      <c r="R102" s="142">
        <f t="shared" si="18"/>
        <v>4800000000</v>
      </c>
      <c r="S102" s="143" t="s">
        <v>223</v>
      </c>
      <c r="T102" s="139">
        <f t="shared" si="24"/>
        <v>0</v>
      </c>
      <c r="U102" s="48" t="str">
        <f t="shared" si="20"/>
        <v>SUBDIRECCION DE GESTION CONTRACTUAL</v>
      </c>
      <c r="V102" s="132" t="str">
        <f t="shared" si="25"/>
        <v>CO-DC</v>
      </c>
      <c r="W102" s="48" t="str">
        <f t="shared" si="26"/>
        <v>Distrito Capital de Bogotá</v>
      </c>
      <c r="X102" s="144" t="s">
        <v>69</v>
      </c>
      <c r="Y102" s="132">
        <v>2427401</v>
      </c>
      <c r="Z102" s="146" t="s">
        <v>70</v>
      </c>
    </row>
    <row r="103" spans="1:26" s="10" customFormat="1" ht="12.75" customHeight="1" x14ac:dyDescent="0.2">
      <c r="A103" s="131" t="s">
        <v>67</v>
      </c>
      <c r="B103" s="132">
        <v>6</v>
      </c>
      <c r="C103" s="133" t="s">
        <v>289</v>
      </c>
      <c r="D103" s="133" t="s">
        <v>71</v>
      </c>
      <c r="E103" s="129"/>
      <c r="F103" s="129">
        <v>1500000000</v>
      </c>
      <c r="G103" s="129"/>
      <c r="H103" s="134" t="s">
        <v>795</v>
      </c>
      <c r="I103" s="135" t="s">
        <v>620</v>
      </c>
      <c r="J103" s="227">
        <v>2</v>
      </c>
      <c r="K103" s="227">
        <v>3</v>
      </c>
      <c r="L103" s="227">
        <v>9</v>
      </c>
      <c r="M103" s="132">
        <f t="shared" si="15"/>
        <v>1</v>
      </c>
      <c r="N103" s="212" t="s">
        <v>233</v>
      </c>
      <c r="O103" s="213" t="str">
        <f>IF(ISBLANK(N103),"",VLOOKUP(N103,[6]Parámetros!$G$2:$H$23,2,FALSE))</f>
        <v>Licitación pública</v>
      </c>
      <c r="P103" s="141">
        <f t="shared" si="23"/>
        <v>1</v>
      </c>
      <c r="Q103" s="142">
        <f t="shared" si="17"/>
        <v>1500000000</v>
      </c>
      <c r="R103" s="142">
        <f t="shared" si="18"/>
        <v>1500000000</v>
      </c>
      <c r="S103" s="143" t="s">
        <v>223</v>
      </c>
      <c r="T103" s="139">
        <f t="shared" si="24"/>
        <v>0</v>
      </c>
      <c r="U103" s="48" t="str">
        <f t="shared" si="20"/>
        <v>SUBDIRECCION DE GESTION CONTRACTUAL</v>
      </c>
      <c r="V103" s="132" t="str">
        <f t="shared" si="25"/>
        <v>CO-DC</v>
      </c>
      <c r="W103" s="48" t="str">
        <f t="shared" si="26"/>
        <v>Distrito Capital de Bogotá</v>
      </c>
      <c r="X103" s="144" t="s">
        <v>69</v>
      </c>
      <c r="Y103" s="132">
        <v>2427401</v>
      </c>
      <c r="Z103" s="146" t="s">
        <v>70</v>
      </c>
    </row>
    <row r="104" spans="1:26" s="10" customFormat="1" ht="12.75" customHeight="1" x14ac:dyDescent="0.2">
      <c r="A104" s="131" t="s">
        <v>67</v>
      </c>
      <c r="B104" s="132">
        <v>7</v>
      </c>
      <c r="C104" s="133" t="s">
        <v>290</v>
      </c>
      <c r="D104" s="133" t="s">
        <v>71</v>
      </c>
      <c r="E104" s="129"/>
      <c r="F104" s="129">
        <v>100000000</v>
      </c>
      <c r="G104" s="129"/>
      <c r="H104" s="134" t="s">
        <v>795</v>
      </c>
      <c r="I104" s="135" t="s">
        <v>620</v>
      </c>
      <c r="J104" s="136">
        <v>2</v>
      </c>
      <c r="K104" s="137">
        <v>3</v>
      </c>
      <c r="L104" s="138">
        <v>9</v>
      </c>
      <c r="M104" s="132">
        <f t="shared" si="15"/>
        <v>1</v>
      </c>
      <c r="N104" s="139" t="s">
        <v>233</v>
      </c>
      <c r="O104" s="140" t="str">
        <f>IF(ISBLANK(N104),"",VLOOKUP(N104,[6]Parámetros!$G$2:$H$23,2,FALSE))</f>
        <v>Licitación pública</v>
      </c>
      <c r="P104" s="141">
        <f t="shared" si="23"/>
        <v>1</v>
      </c>
      <c r="Q104" s="142">
        <f t="shared" si="17"/>
        <v>100000000</v>
      </c>
      <c r="R104" s="142">
        <f t="shared" si="18"/>
        <v>100000000</v>
      </c>
      <c r="S104" s="143" t="s">
        <v>223</v>
      </c>
      <c r="T104" s="139">
        <f t="shared" si="24"/>
        <v>0</v>
      </c>
      <c r="U104" s="48" t="str">
        <f t="shared" si="20"/>
        <v>SUBDIRECCION DE GESTION CONTRACTUAL</v>
      </c>
      <c r="V104" s="132" t="str">
        <f t="shared" si="25"/>
        <v>CO-DC</v>
      </c>
      <c r="W104" s="48" t="str">
        <f t="shared" si="26"/>
        <v>Distrito Capital de Bogotá</v>
      </c>
      <c r="X104" s="144" t="s">
        <v>69</v>
      </c>
      <c r="Y104" s="132">
        <v>2427401</v>
      </c>
      <c r="Z104" s="146" t="s">
        <v>70</v>
      </c>
    </row>
    <row r="105" spans="1:26" s="10" customFormat="1" ht="12.75" customHeight="1" x14ac:dyDescent="0.2">
      <c r="A105" s="131" t="s">
        <v>67</v>
      </c>
      <c r="B105" s="132">
        <v>8</v>
      </c>
      <c r="C105" s="133" t="s">
        <v>291</v>
      </c>
      <c r="D105" s="133" t="s">
        <v>71</v>
      </c>
      <c r="E105" s="129"/>
      <c r="F105" s="129">
        <v>10000000000</v>
      </c>
      <c r="G105" s="129"/>
      <c r="H105" s="134">
        <v>80111600</v>
      </c>
      <c r="I105" s="135" t="s">
        <v>307</v>
      </c>
      <c r="J105" s="136">
        <v>1</v>
      </c>
      <c r="K105" s="137">
        <v>1</v>
      </c>
      <c r="L105" s="138">
        <v>12</v>
      </c>
      <c r="M105" s="132">
        <f t="shared" si="15"/>
        <v>1</v>
      </c>
      <c r="N105" s="139" t="s">
        <v>216</v>
      </c>
      <c r="O105" s="140" t="str">
        <f>IF(ISBLANK(N105),"",VLOOKUP(N105,[6]Parámetros!$G$2:$H$23,2,FALSE))</f>
        <v>Contratación directa.</v>
      </c>
      <c r="P105" s="141">
        <f t="shared" si="23"/>
        <v>1</v>
      </c>
      <c r="Q105" s="142">
        <f t="shared" si="17"/>
        <v>10000000000</v>
      </c>
      <c r="R105" s="142">
        <f t="shared" si="18"/>
        <v>10000000000</v>
      </c>
      <c r="S105" s="143" t="s">
        <v>223</v>
      </c>
      <c r="T105" s="139">
        <f t="shared" si="24"/>
        <v>0</v>
      </c>
      <c r="U105" s="48" t="str">
        <f t="shared" si="20"/>
        <v>SUBDIRECCION DE GESTION CONTRACTUAL</v>
      </c>
      <c r="V105" s="132" t="str">
        <f t="shared" si="25"/>
        <v>CO-DC</v>
      </c>
      <c r="W105" s="48" t="str">
        <f t="shared" si="26"/>
        <v>Distrito Capital de Bogotá</v>
      </c>
      <c r="X105" s="144" t="s">
        <v>69</v>
      </c>
      <c r="Y105" s="132">
        <v>2427401</v>
      </c>
      <c r="Z105" s="146" t="s">
        <v>70</v>
      </c>
    </row>
    <row r="106" spans="1:26" s="10" customFormat="1" ht="12.75" customHeight="1" x14ac:dyDescent="0.2">
      <c r="A106" s="131" t="s">
        <v>67</v>
      </c>
      <c r="B106" s="132">
        <v>9</v>
      </c>
      <c r="C106" s="133" t="s">
        <v>291</v>
      </c>
      <c r="D106" s="133" t="s">
        <v>71</v>
      </c>
      <c r="E106" s="129"/>
      <c r="F106" s="129">
        <v>1000000000</v>
      </c>
      <c r="G106" s="129"/>
      <c r="H106" s="134" t="s">
        <v>103</v>
      </c>
      <c r="I106" s="135" t="s">
        <v>628</v>
      </c>
      <c r="J106" s="136">
        <v>2</v>
      </c>
      <c r="K106" s="137">
        <v>3</v>
      </c>
      <c r="L106" s="138">
        <v>10</v>
      </c>
      <c r="M106" s="132">
        <f t="shared" si="15"/>
        <v>1</v>
      </c>
      <c r="N106" s="139" t="s">
        <v>36</v>
      </c>
      <c r="O106" s="140" t="str">
        <f>IF(ISBLANK(N106),"",VLOOKUP(N106,[1]Parámetros!$G$2:$H$23,2,FALSE))</f>
        <v xml:space="preserve">Contratación directa (con ofertas) </v>
      </c>
      <c r="P106" s="141">
        <f t="shared" si="23"/>
        <v>1</v>
      </c>
      <c r="Q106" s="142">
        <f t="shared" si="17"/>
        <v>1000000000</v>
      </c>
      <c r="R106" s="142">
        <f t="shared" si="18"/>
        <v>1000000000</v>
      </c>
      <c r="S106" s="143" t="s">
        <v>223</v>
      </c>
      <c r="T106" s="139">
        <f t="shared" si="24"/>
        <v>0</v>
      </c>
      <c r="U106" s="48" t="str">
        <f t="shared" si="20"/>
        <v>SUBDIRECCION DE GESTION CONTRACTUAL</v>
      </c>
      <c r="V106" s="132" t="str">
        <f t="shared" si="25"/>
        <v>CO-DC</v>
      </c>
      <c r="W106" s="48" t="str">
        <f t="shared" si="26"/>
        <v>Distrito Capital de Bogotá</v>
      </c>
      <c r="X106" s="144" t="s">
        <v>69</v>
      </c>
      <c r="Y106" s="132">
        <v>2427401</v>
      </c>
      <c r="Z106" s="146" t="s">
        <v>70</v>
      </c>
    </row>
    <row r="107" spans="1:26" s="10" customFormat="1" ht="12.75" customHeight="1" x14ac:dyDescent="0.2">
      <c r="A107" s="131" t="s">
        <v>67</v>
      </c>
      <c r="B107" s="132">
        <v>10</v>
      </c>
      <c r="C107" s="133" t="s">
        <v>291</v>
      </c>
      <c r="D107" s="133" t="s">
        <v>71</v>
      </c>
      <c r="E107" s="129"/>
      <c r="F107" s="129">
        <v>800000000</v>
      </c>
      <c r="G107" s="129"/>
      <c r="H107" s="134" t="s">
        <v>42</v>
      </c>
      <c r="I107" s="135" t="s">
        <v>625</v>
      </c>
      <c r="J107" s="136">
        <v>3</v>
      </c>
      <c r="K107" s="137">
        <v>4</v>
      </c>
      <c r="L107" s="138">
        <v>9</v>
      </c>
      <c r="M107" s="132">
        <f t="shared" si="15"/>
        <v>1</v>
      </c>
      <c r="N107" s="139" t="s">
        <v>61</v>
      </c>
      <c r="O107" s="140" t="str">
        <f>IF(ISBLANK(N107),"",VLOOKUP(N107,[6]Parámetros!$G$2:$H$23,2,FALSE))</f>
        <v>Contratación régimen especial - Selección de comisionista</v>
      </c>
      <c r="P107" s="141">
        <f t="shared" si="23"/>
        <v>1</v>
      </c>
      <c r="Q107" s="142">
        <f t="shared" si="17"/>
        <v>800000000</v>
      </c>
      <c r="R107" s="142">
        <f t="shared" si="18"/>
        <v>800000000</v>
      </c>
      <c r="S107" s="143" t="s">
        <v>223</v>
      </c>
      <c r="T107" s="139">
        <f t="shared" si="24"/>
        <v>0</v>
      </c>
      <c r="U107" s="48" t="str">
        <f t="shared" si="20"/>
        <v>SUBDIRECCION DE GESTION CONTRACTUAL</v>
      </c>
      <c r="V107" s="132" t="str">
        <f t="shared" si="25"/>
        <v>CO-DC</v>
      </c>
      <c r="W107" s="48" t="str">
        <f t="shared" si="26"/>
        <v>Distrito Capital de Bogotá</v>
      </c>
      <c r="X107" s="144" t="s">
        <v>69</v>
      </c>
      <c r="Y107" s="132">
        <v>2427401</v>
      </c>
      <c r="Z107" s="146" t="s">
        <v>70</v>
      </c>
    </row>
    <row r="108" spans="1:26" s="10" customFormat="1" ht="12.75" customHeight="1" x14ac:dyDescent="0.2">
      <c r="A108" s="131" t="s">
        <v>67</v>
      </c>
      <c r="B108" s="132">
        <v>11</v>
      </c>
      <c r="C108" s="133" t="s">
        <v>293</v>
      </c>
      <c r="D108" s="133" t="s">
        <v>71</v>
      </c>
      <c r="E108" s="129"/>
      <c r="F108" s="129">
        <v>500000000</v>
      </c>
      <c r="G108" s="129"/>
      <c r="H108" s="134" t="s">
        <v>795</v>
      </c>
      <c r="I108" s="135" t="s">
        <v>620</v>
      </c>
      <c r="J108" s="136">
        <v>2</v>
      </c>
      <c r="K108" s="137">
        <v>3</v>
      </c>
      <c r="L108" s="138">
        <v>9</v>
      </c>
      <c r="M108" s="132">
        <f t="shared" si="15"/>
        <v>1</v>
      </c>
      <c r="N108" s="139" t="s">
        <v>233</v>
      </c>
      <c r="O108" s="140" t="str">
        <f>IF(ISBLANK(N108),"",VLOOKUP(N108,[6]Parámetros!$G$2:$H$23,2,FALSE))</f>
        <v>Licitación pública</v>
      </c>
      <c r="P108" s="141">
        <f t="shared" si="23"/>
        <v>1</v>
      </c>
      <c r="Q108" s="142">
        <f t="shared" si="17"/>
        <v>500000000</v>
      </c>
      <c r="R108" s="142">
        <f t="shared" si="18"/>
        <v>500000000</v>
      </c>
      <c r="S108" s="143" t="s">
        <v>223</v>
      </c>
      <c r="T108" s="139">
        <f t="shared" si="24"/>
        <v>0</v>
      </c>
      <c r="U108" s="48" t="str">
        <f t="shared" si="20"/>
        <v>SUBDIRECCION DE GESTION CONTRACTUAL</v>
      </c>
      <c r="V108" s="132" t="str">
        <f t="shared" si="25"/>
        <v>CO-DC</v>
      </c>
      <c r="W108" s="48" t="str">
        <f t="shared" si="26"/>
        <v>Distrito Capital de Bogotá</v>
      </c>
      <c r="X108" s="144" t="s">
        <v>69</v>
      </c>
      <c r="Y108" s="132">
        <v>2427401</v>
      </c>
      <c r="Z108" s="146" t="s">
        <v>70</v>
      </c>
    </row>
    <row r="109" spans="1:26" s="10" customFormat="1" ht="12.75" customHeight="1" x14ac:dyDescent="0.2">
      <c r="A109" s="131" t="s">
        <v>67</v>
      </c>
      <c r="B109" s="132">
        <v>12</v>
      </c>
      <c r="C109" s="133" t="s">
        <v>294</v>
      </c>
      <c r="D109" s="133" t="s">
        <v>71</v>
      </c>
      <c r="E109" s="129"/>
      <c r="F109" s="129">
        <v>350000000</v>
      </c>
      <c r="G109" s="129"/>
      <c r="H109" s="134" t="s">
        <v>795</v>
      </c>
      <c r="I109" s="135" t="s">
        <v>620</v>
      </c>
      <c r="J109" s="136">
        <v>2</v>
      </c>
      <c r="K109" s="137">
        <v>3</v>
      </c>
      <c r="L109" s="138">
        <v>9</v>
      </c>
      <c r="M109" s="132">
        <f t="shared" si="15"/>
        <v>1</v>
      </c>
      <c r="N109" s="139" t="s">
        <v>233</v>
      </c>
      <c r="O109" s="140" t="str">
        <f>IF(ISBLANK(N109),"",VLOOKUP(N109,[6]Parámetros!$G$2:$H$23,2,FALSE))</f>
        <v>Licitación pública</v>
      </c>
      <c r="P109" s="141">
        <f t="shared" si="23"/>
        <v>1</v>
      </c>
      <c r="Q109" s="142">
        <f t="shared" si="17"/>
        <v>350000000</v>
      </c>
      <c r="R109" s="142">
        <f t="shared" si="18"/>
        <v>350000000</v>
      </c>
      <c r="S109" s="143" t="s">
        <v>223</v>
      </c>
      <c r="T109" s="139">
        <f t="shared" si="24"/>
        <v>0</v>
      </c>
      <c r="U109" s="48" t="str">
        <f t="shared" si="20"/>
        <v>SUBDIRECCION DE GESTION CONTRACTUAL</v>
      </c>
      <c r="V109" s="132" t="str">
        <f t="shared" si="25"/>
        <v>CO-DC</v>
      </c>
      <c r="W109" s="48" t="str">
        <f t="shared" si="26"/>
        <v>Distrito Capital de Bogotá</v>
      </c>
      <c r="X109" s="144" t="s">
        <v>69</v>
      </c>
      <c r="Y109" s="132">
        <v>2427401</v>
      </c>
      <c r="Z109" s="146" t="s">
        <v>70</v>
      </c>
    </row>
    <row r="110" spans="1:26" s="10" customFormat="1" ht="12.75" customHeight="1" x14ac:dyDescent="0.2">
      <c r="A110" s="131" t="s">
        <v>67</v>
      </c>
      <c r="B110" s="132">
        <v>13</v>
      </c>
      <c r="C110" s="133" t="s">
        <v>295</v>
      </c>
      <c r="D110" s="133" t="s">
        <v>71</v>
      </c>
      <c r="E110" s="129"/>
      <c r="F110" s="129">
        <v>800000000</v>
      </c>
      <c r="G110" s="129"/>
      <c r="H110" s="134" t="s">
        <v>795</v>
      </c>
      <c r="I110" s="135" t="s">
        <v>620</v>
      </c>
      <c r="J110" s="136">
        <v>2</v>
      </c>
      <c r="K110" s="137">
        <v>3</v>
      </c>
      <c r="L110" s="138">
        <v>9</v>
      </c>
      <c r="M110" s="132">
        <f t="shared" si="15"/>
        <v>1</v>
      </c>
      <c r="N110" s="139" t="s">
        <v>233</v>
      </c>
      <c r="O110" s="140" t="str">
        <f>IF(ISBLANK(N110),"",VLOOKUP(N110,[6]Parámetros!$G$2:$H$23,2,FALSE))</f>
        <v>Licitación pública</v>
      </c>
      <c r="P110" s="141">
        <f t="shared" si="23"/>
        <v>1</v>
      </c>
      <c r="Q110" s="142">
        <f t="shared" si="17"/>
        <v>800000000</v>
      </c>
      <c r="R110" s="142">
        <f t="shared" si="18"/>
        <v>800000000</v>
      </c>
      <c r="S110" s="143" t="s">
        <v>223</v>
      </c>
      <c r="T110" s="139">
        <f t="shared" si="24"/>
        <v>0</v>
      </c>
      <c r="U110" s="48" t="str">
        <f t="shared" si="20"/>
        <v>SUBDIRECCION DE GESTION CONTRACTUAL</v>
      </c>
      <c r="V110" s="132" t="str">
        <f t="shared" si="25"/>
        <v>CO-DC</v>
      </c>
      <c r="W110" s="48" t="str">
        <f t="shared" si="26"/>
        <v>Distrito Capital de Bogotá</v>
      </c>
      <c r="X110" s="144" t="s">
        <v>69</v>
      </c>
      <c r="Y110" s="132">
        <v>2427401</v>
      </c>
      <c r="Z110" s="146" t="s">
        <v>70</v>
      </c>
    </row>
    <row r="111" spans="1:26" s="10" customFormat="1" ht="12.75" customHeight="1" x14ac:dyDescent="0.2">
      <c r="A111" s="131" t="s">
        <v>67</v>
      </c>
      <c r="B111" s="132">
        <v>14</v>
      </c>
      <c r="C111" s="133" t="s">
        <v>296</v>
      </c>
      <c r="D111" s="133" t="s">
        <v>71</v>
      </c>
      <c r="E111" s="129"/>
      <c r="F111" s="129">
        <v>200000000</v>
      </c>
      <c r="G111" s="129"/>
      <c r="H111" s="134" t="s">
        <v>795</v>
      </c>
      <c r="I111" s="135" t="s">
        <v>620</v>
      </c>
      <c r="J111" s="136">
        <v>2</v>
      </c>
      <c r="K111" s="137">
        <v>3</v>
      </c>
      <c r="L111" s="138">
        <v>9</v>
      </c>
      <c r="M111" s="132">
        <f t="shared" si="15"/>
        <v>1</v>
      </c>
      <c r="N111" s="139" t="s">
        <v>233</v>
      </c>
      <c r="O111" s="140" t="str">
        <f>IF(ISBLANK(N111),"",VLOOKUP(N111,[6]Parámetros!$G$2:$H$23,2,FALSE))</f>
        <v>Licitación pública</v>
      </c>
      <c r="P111" s="141">
        <f t="shared" si="23"/>
        <v>1</v>
      </c>
      <c r="Q111" s="142">
        <f t="shared" si="17"/>
        <v>200000000</v>
      </c>
      <c r="R111" s="142">
        <f t="shared" si="18"/>
        <v>200000000</v>
      </c>
      <c r="S111" s="143" t="s">
        <v>223</v>
      </c>
      <c r="T111" s="139">
        <f t="shared" si="24"/>
        <v>0</v>
      </c>
      <c r="U111" s="48" t="str">
        <f t="shared" si="20"/>
        <v>SUBDIRECCION DE GESTION CONTRACTUAL</v>
      </c>
      <c r="V111" s="132" t="str">
        <f t="shared" si="25"/>
        <v>CO-DC</v>
      </c>
      <c r="W111" s="48" t="str">
        <f t="shared" si="26"/>
        <v>Distrito Capital de Bogotá</v>
      </c>
      <c r="X111" s="144" t="s">
        <v>69</v>
      </c>
      <c r="Y111" s="132">
        <v>2427401</v>
      </c>
      <c r="Z111" s="146" t="s">
        <v>70</v>
      </c>
    </row>
    <row r="112" spans="1:26" s="10" customFormat="1" ht="12.75" customHeight="1" x14ac:dyDescent="0.2">
      <c r="A112" s="131" t="s">
        <v>67</v>
      </c>
      <c r="B112" s="132">
        <v>15</v>
      </c>
      <c r="C112" s="133" t="s">
        <v>297</v>
      </c>
      <c r="D112" s="133" t="s">
        <v>71</v>
      </c>
      <c r="E112" s="129"/>
      <c r="F112" s="129">
        <v>200000000</v>
      </c>
      <c r="G112" s="129"/>
      <c r="H112" s="134" t="s">
        <v>795</v>
      </c>
      <c r="I112" s="135" t="s">
        <v>620</v>
      </c>
      <c r="J112" s="136">
        <v>2</v>
      </c>
      <c r="K112" s="137">
        <v>3</v>
      </c>
      <c r="L112" s="138">
        <v>9</v>
      </c>
      <c r="M112" s="132">
        <f t="shared" si="15"/>
        <v>1</v>
      </c>
      <c r="N112" s="139" t="s">
        <v>233</v>
      </c>
      <c r="O112" s="140" t="str">
        <f>IF(ISBLANK(N112),"",VLOOKUP(N112,[6]Parámetros!$G$2:$H$23,2,FALSE))</f>
        <v>Licitación pública</v>
      </c>
      <c r="P112" s="141">
        <f t="shared" si="23"/>
        <v>1</v>
      </c>
      <c r="Q112" s="142">
        <f t="shared" si="17"/>
        <v>200000000</v>
      </c>
      <c r="R112" s="142">
        <f t="shared" si="18"/>
        <v>200000000</v>
      </c>
      <c r="S112" s="143" t="s">
        <v>223</v>
      </c>
      <c r="T112" s="139">
        <f t="shared" si="24"/>
        <v>0</v>
      </c>
      <c r="U112" s="48" t="str">
        <f t="shared" si="20"/>
        <v>SUBDIRECCION DE GESTION CONTRACTUAL</v>
      </c>
      <c r="V112" s="132" t="str">
        <f t="shared" si="25"/>
        <v>CO-DC</v>
      </c>
      <c r="W112" s="48" t="str">
        <f t="shared" si="26"/>
        <v>Distrito Capital de Bogotá</v>
      </c>
      <c r="X112" s="144" t="s">
        <v>69</v>
      </c>
      <c r="Y112" s="132">
        <v>2427401</v>
      </c>
      <c r="Z112" s="146" t="s">
        <v>70</v>
      </c>
    </row>
    <row r="113" spans="1:26" s="10" customFormat="1" ht="12.75" customHeight="1" x14ac:dyDescent="0.2">
      <c r="A113" s="131" t="s">
        <v>67</v>
      </c>
      <c r="B113" s="132">
        <v>16</v>
      </c>
      <c r="C113" s="133" t="s">
        <v>298</v>
      </c>
      <c r="D113" s="133" t="s">
        <v>71</v>
      </c>
      <c r="E113" s="129"/>
      <c r="F113" s="129">
        <v>500000000</v>
      </c>
      <c r="G113" s="129"/>
      <c r="H113" s="134" t="s">
        <v>795</v>
      </c>
      <c r="I113" s="135" t="s">
        <v>620</v>
      </c>
      <c r="J113" s="136">
        <v>2</v>
      </c>
      <c r="K113" s="137">
        <v>3</v>
      </c>
      <c r="L113" s="138">
        <v>9</v>
      </c>
      <c r="M113" s="132">
        <f t="shared" si="15"/>
        <v>1</v>
      </c>
      <c r="N113" s="139" t="s">
        <v>233</v>
      </c>
      <c r="O113" s="140" t="str">
        <f>IF(ISBLANK(N113),"",VLOOKUP(N113,[6]Parámetros!$G$2:$H$23,2,FALSE))</f>
        <v>Licitación pública</v>
      </c>
      <c r="P113" s="141">
        <f t="shared" si="23"/>
        <v>1</v>
      </c>
      <c r="Q113" s="142">
        <f t="shared" si="17"/>
        <v>500000000</v>
      </c>
      <c r="R113" s="142">
        <f t="shared" si="18"/>
        <v>500000000</v>
      </c>
      <c r="S113" s="143" t="s">
        <v>223</v>
      </c>
      <c r="T113" s="139">
        <f t="shared" si="24"/>
        <v>0</v>
      </c>
      <c r="U113" s="48" t="str">
        <f t="shared" si="20"/>
        <v>SUBDIRECCION DE GESTION CONTRACTUAL</v>
      </c>
      <c r="V113" s="132" t="str">
        <f t="shared" si="25"/>
        <v>CO-DC</v>
      </c>
      <c r="W113" s="48" t="str">
        <f t="shared" si="26"/>
        <v>Distrito Capital de Bogotá</v>
      </c>
      <c r="X113" s="144" t="s">
        <v>69</v>
      </c>
      <c r="Y113" s="132">
        <v>2427401</v>
      </c>
      <c r="Z113" s="146" t="s">
        <v>70</v>
      </c>
    </row>
    <row r="114" spans="1:26" s="10" customFormat="1" ht="12.75" customHeight="1" x14ac:dyDescent="0.2">
      <c r="A114" s="131" t="s">
        <v>67</v>
      </c>
      <c r="B114" s="132">
        <v>17</v>
      </c>
      <c r="C114" s="133" t="s">
        <v>285</v>
      </c>
      <c r="D114" s="133" t="s">
        <v>299</v>
      </c>
      <c r="E114" s="129"/>
      <c r="F114" s="129">
        <v>8562300000</v>
      </c>
      <c r="G114" s="129"/>
      <c r="H114" s="134" t="s">
        <v>68</v>
      </c>
      <c r="I114" s="135" t="s">
        <v>306</v>
      </c>
      <c r="J114" s="136">
        <v>3</v>
      </c>
      <c r="K114" s="137">
        <v>4</v>
      </c>
      <c r="L114" s="138">
        <v>8</v>
      </c>
      <c r="M114" s="132">
        <f t="shared" si="15"/>
        <v>1</v>
      </c>
      <c r="N114" s="139" t="s">
        <v>36</v>
      </c>
      <c r="O114" s="140" t="str">
        <f>IF(ISBLANK(N114),"",VLOOKUP(N114,[6]Parámetros!$G$2:$H$23,2,FALSE))</f>
        <v xml:space="preserve">Contratación directa (con ofertas) </v>
      </c>
      <c r="P114" s="141">
        <f t="shared" si="23"/>
        <v>1</v>
      </c>
      <c r="Q114" s="142">
        <f t="shared" si="17"/>
        <v>8562300000</v>
      </c>
      <c r="R114" s="142">
        <f t="shared" si="18"/>
        <v>8562300000</v>
      </c>
      <c r="S114" s="143" t="s">
        <v>223</v>
      </c>
      <c r="T114" s="139">
        <f t="shared" si="24"/>
        <v>0</v>
      </c>
      <c r="U114" s="48" t="str">
        <f t="shared" si="20"/>
        <v>SUBDIRECCION DE GESTION CONTRACTUAL</v>
      </c>
      <c r="V114" s="132" t="str">
        <f t="shared" si="25"/>
        <v>CO-DC</v>
      </c>
      <c r="W114" s="48" t="str">
        <f t="shared" si="26"/>
        <v>Distrito Capital de Bogotá</v>
      </c>
      <c r="X114" s="144" t="s">
        <v>69</v>
      </c>
      <c r="Y114" s="132">
        <v>2427401</v>
      </c>
      <c r="Z114" s="146" t="s">
        <v>70</v>
      </c>
    </row>
    <row r="115" spans="1:26" s="10" customFormat="1" ht="12.75" customHeight="1" x14ac:dyDescent="0.2">
      <c r="A115" s="131" t="s">
        <v>67</v>
      </c>
      <c r="B115" s="132">
        <v>18</v>
      </c>
      <c r="C115" s="133" t="s">
        <v>300</v>
      </c>
      <c r="D115" s="133" t="s">
        <v>301</v>
      </c>
      <c r="E115" s="129"/>
      <c r="F115" s="129">
        <v>7011100000</v>
      </c>
      <c r="G115" s="129"/>
      <c r="H115" s="134" t="s">
        <v>68</v>
      </c>
      <c r="I115" s="135" t="s">
        <v>308</v>
      </c>
      <c r="J115" s="136">
        <v>3</v>
      </c>
      <c r="K115" s="137">
        <v>4</v>
      </c>
      <c r="L115" s="138">
        <v>8</v>
      </c>
      <c r="M115" s="132">
        <f t="shared" si="15"/>
        <v>1</v>
      </c>
      <c r="N115" s="139" t="s">
        <v>36</v>
      </c>
      <c r="O115" s="140" t="str">
        <f>IF(ISBLANK(N115),"",VLOOKUP(N115,[6]Parámetros!$G$2:$H$23,2,FALSE))</f>
        <v xml:space="preserve">Contratación directa (con ofertas) </v>
      </c>
      <c r="P115" s="141">
        <f t="shared" si="23"/>
        <v>1</v>
      </c>
      <c r="Q115" s="142">
        <f t="shared" si="17"/>
        <v>7011100000</v>
      </c>
      <c r="R115" s="142">
        <f t="shared" si="18"/>
        <v>7011100000</v>
      </c>
      <c r="S115" s="143" t="s">
        <v>223</v>
      </c>
      <c r="T115" s="139">
        <f t="shared" si="24"/>
        <v>0</v>
      </c>
      <c r="U115" s="48" t="str">
        <f t="shared" si="20"/>
        <v>SUBDIRECCION DE GESTION CONTRACTUAL</v>
      </c>
      <c r="V115" s="132" t="str">
        <f t="shared" si="25"/>
        <v>CO-DC</v>
      </c>
      <c r="W115" s="48" t="str">
        <f t="shared" si="26"/>
        <v>Distrito Capital de Bogotá</v>
      </c>
      <c r="X115" s="144" t="s">
        <v>69</v>
      </c>
      <c r="Y115" s="132">
        <v>2427401</v>
      </c>
      <c r="Z115" s="146" t="s">
        <v>70</v>
      </c>
    </row>
    <row r="116" spans="1:26" s="10" customFormat="1" ht="12.75" customHeight="1" x14ac:dyDescent="0.2">
      <c r="A116" s="131" t="s">
        <v>67</v>
      </c>
      <c r="B116" s="132">
        <v>19</v>
      </c>
      <c r="C116" s="133" t="s">
        <v>285</v>
      </c>
      <c r="D116" s="133" t="s">
        <v>309</v>
      </c>
      <c r="E116" s="129"/>
      <c r="F116" s="129">
        <v>7950000000</v>
      </c>
      <c r="G116" s="129"/>
      <c r="H116" s="134" t="s">
        <v>68</v>
      </c>
      <c r="I116" s="135" t="s">
        <v>306</v>
      </c>
      <c r="J116" s="136">
        <v>3</v>
      </c>
      <c r="K116" s="137">
        <v>4</v>
      </c>
      <c r="L116" s="138">
        <v>8</v>
      </c>
      <c r="M116" s="132">
        <f t="shared" si="15"/>
        <v>1</v>
      </c>
      <c r="N116" s="139" t="s">
        <v>36</v>
      </c>
      <c r="O116" s="140" t="str">
        <f>IF(ISBLANK(N116),"",VLOOKUP(N116,[6]Parámetros!$G$2:$H$23,2,FALSE))</f>
        <v xml:space="preserve">Contratación directa (con ofertas) </v>
      </c>
      <c r="P116" s="141">
        <f t="shared" si="23"/>
        <v>1</v>
      </c>
      <c r="Q116" s="142">
        <f t="shared" si="17"/>
        <v>7950000000</v>
      </c>
      <c r="R116" s="142">
        <f t="shared" si="18"/>
        <v>7950000000</v>
      </c>
      <c r="S116" s="143" t="s">
        <v>223</v>
      </c>
      <c r="T116" s="139">
        <f t="shared" si="24"/>
        <v>0</v>
      </c>
      <c r="U116" s="48" t="str">
        <f t="shared" si="20"/>
        <v>SUBDIRECCION DE GESTION CONTRACTUAL</v>
      </c>
      <c r="V116" s="132" t="str">
        <f t="shared" si="25"/>
        <v>CO-DC</v>
      </c>
      <c r="W116" s="48" t="str">
        <f t="shared" si="26"/>
        <v>Distrito Capital de Bogotá</v>
      </c>
      <c r="X116" s="144" t="s">
        <v>69</v>
      </c>
      <c r="Y116" s="132">
        <v>2427401</v>
      </c>
      <c r="Z116" s="146" t="s">
        <v>70</v>
      </c>
    </row>
    <row r="117" spans="1:26" s="10" customFormat="1" ht="12.75" customHeight="1" x14ac:dyDescent="0.2">
      <c r="A117" s="131" t="s">
        <v>67</v>
      </c>
      <c r="B117" s="132">
        <v>20</v>
      </c>
      <c r="C117" s="133" t="s">
        <v>286</v>
      </c>
      <c r="D117" s="133" t="s">
        <v>309</v>
      </c>
      <c r="E117" s="129"/>
      <c r="F117" s="129">
        <v>4750000000</v>
      </c>
      <c r="G117" s="129"/>
      <c r="H117" s="134" t="s">
        <v>68</v>
      </c>
      <c r="I117" s="135" t="s">
        <v>306</v>
      </c>
      <c r="J117" s="136">
        <v>3</v>
      </c>
      <c r="K117" s="137">
        <v>4</v>
      </c>
      <c r="L117" s="138">
        <v>8</v>
      </c>
      <c r="M117" s="132">
        <f t="shared" si="15"/>
        <v>1</v>
      </c>
      <c r="N117" s="139" t="s">
        <v>36</v>
      </c>
      <c r="O117" s="140" t="str">
        <f>IF(ISBLANK(N117),"",VLOOKUP(N117,[6]Parámetros!$G$2:$H$23,2,FALSE))</f>
        <v xml:space="preserve">Contratación directa (con ofertas) </v>
      </c>
      <c r="P117" s="141">
        <f t="shared" si="23"/>
        <v>1</v>
      </c>
      <c r="Q117" s="142">
        <f t="shared" si="17"/>
        <v>4750000000</v>
      </c>
      <c r="R117" s="142">
        <f t="shared" si="18"/>
        <v>4750000000</v>
      </c>
      <c r="S117" s="143" t="s">
        <v>223</v>
      </c>
      <c r="T117" s="139">
        <f t="shared" si="24"/>
        <v>0</v>
      </c>
      <c r="U117" s="48" t="str">
        <f t="shared" si="20"/>
        <v>SUBDIRECCION DE GESTION CONTRACTUAL</v>
      </c>
      <c r="V117" s="132" t="str">
        <f t="shared" si="25"/>
        <v>CO-DC</v>
      </c>
      <c r="W117" s="48" t="str">
        <f t="shared" si="26"/>
        <v>Distrito Capital de Bogotá</v>
      </c>
      <c r="X117" s="144" t="s">
        <v>69</v>
      </c>
      <c r="Y117" s="132">
        <v>2427401</v>
      </c>
      <c r="Z117" s="146" t="s">
        <v>70</v>
      </c>
    </row>
    <row r="118" spans="1:26" s="10" customFormat="1" ht="12.75" customHeight="1" x14ac:dyDescent="0.2">
      <c r="A118" s="131" t="s">
        <v>67</v>
      </c>
      <c r="B118" s="132">
        <v>21</v>
      </c>
      <c r="C118" s="133" t="s">
        <v>287</v>
      </c>
      <c r="D118" s="133" t="s">
        <v>310</v>
      </c>
      <c r="E118" s="129"/>
      <c r="F118" s="129">
        <v>800000000</v>
      </c>
      <c r="G118" s="129"/>
      <c r="H118" s="134" t="s">
        <v>795</v>
      </c>
      <c r="I118" s="135" t="s">
        <v>620</v>
      </c>
      <c r="J118" s="136">
        <v>2</v>
      </c>
      <c r="K118" s="137">
        <v>3</v>
      </c>
      <c r="L118" s="138">
        <v>9</v>
      </c>
      <c r="M118" s="132">
        <f t="shared" si="15"/>
        <v>1</v>
      </c>
      <c r="N118" s="139" t="s">
        <v>233</v>
      </c>
      <c r="O118" s="140" t="str">
        <f>IF(ISBLANK(N118),"",VLOOKUP(N118,[6]Parámetros!$G$2:$H$23,2,FALSE))</f>
        <v>Licitación pública</v>
      </c>
      <c r="P118" s="141">
        <f t="shared" si="23"/>
        <v>1</v>
      </c>
      <c r="Q118" s="142">
        <f t="shared" si="17"/>
        <v>800000000</v>
      </c>
      <c r="R118" s="142">
        <f t="shared" si="18"/>
        <v>800000000</v>
      </c>
      <c r="S118" s="143" t="s">
        <v>223</v>
      </c>
      <c r="T118" s="139">
        <f t="shared" si="24"/>
        <v>0</v>
      </c>
      <c r="U118" s="48" t="str">
        <f t="shared" si="20"/>
        <v>SUBDIRECCION DE GESTION CONTRACTUAL</v>
      </c>
      <c r="V118" s="132" t="str">
        <f t="shared" si="25"/>
        <v>CO-DC</v>
      </c>
      <c r="W118" s="48" t="str">
        <f t="shared" si="26"/>
        <v>Distrito Capital de Bogotá</v>
      </c>
      <c r="X118" s="144" t="s">
        <v>69</v>
      </c>
      <c r="Y118" s="132">
        <v>2427401</v>
      </c>
      <c r="Z118" s="146" t="s">
        <v>70</v>
      </c>
    </row>
    <row r="119" spans="1:26" s="10" customFormat="1" ht="12.75" customHeight="1" x14ac:dyDescent="0.2">
      <c r="A119" s="131" t="s">
        <v>67</v>
      </c>
      <c r="B119" s="132">
        <v>22</v>
      </c>
      <c r="C119" s="133" t="s">
        <v>302</v>
      </c>
      <c r="D119" s="133" t="s">
        <v>309</v>
      </c>
      <c r="E119" s="129"/>
      <c r="F119" s="129">
        <v>25000000000</v>
      </c>
      <c r="G119" s="129"/>
      <c r="H119" s="134" t="s">
        <v>68</v>
      </c>
      <c r="I119" s="135" t="s">
        <v>311</v>
      </c>
      <c r="J119" s="136">
        <v>3</v>
      </c>
      <c r="K119" s="137">
        <v>4</v>
      </c>
      <c r="L119" s="138">
        <v>8</v>
      </c>
      <c r="M119" s="132">
        <f t="shared" si="15"/>
        <v>1</v>
      </c>
      <c r="N119" s="139" t="s">
        <v>36</v>
      </c>
      <c r="O119" s="140" t="str">
        <f>IF(ISBLANK(N119),"",VLOOKUP(N119,[6]Parámetros!$G$2:$H$23,2,FALSE))</f>
        <v xml:space="preserve">Contratación directa (con ofertas) </v>
      </c>
      <c r="P119" s="141">
        <f t="shared" si="23"/>
        <v>1</v>
      </c>
      <c r="Q119" s="142">
        <f t="shared" si="17"/>
        <v>25000000000</v>
      </c>
      <c r="R119" s="142">
        <f t="shared" si="18"/>
        <v>25000000000</v>
      </c>
      <c r="S119" s="143" t="s">
        <v>223</v>
      </c>
      <c r="T119" s="139">
        <f t="shared" si="24"/>
        <v>0</v>
      </c>
      <c r="U119" s="48" t="str">
        <f t="shared" si="20"/>
        <v>SUBDIRECCION DE GESTION CONTRACTUAL</v>
      </c>
      <c r="V119" s="132" t="str">
        <f t="shared" si="25"/>
        <v>CO-DC</v>
      </c>
      <c r="W119" s="48" t="str">
        <f t="shared" si="26"/>
        <v>Distrito Capital de Bogotá</v>
      </c>
      <c r="X119" s="144" t="s">
        <v>69</v>
      </c>
      <c r="Y119" s="132">
        <v>2427401</v>
      </c>
      <c r="Z119" s="146" t="s">
        <v>70</v>
      </c>
    </row>
    <row r="120" spans="1:26" s="10" customFormat="1" ht="12.75" customHeight="1" x14ac:dyDescent="0.2">
      <c r="A120" s="131" t="s">
        <v>67</v>
      </c>
      <c r="B120" s="132">
        <v>23</v>
      </c>
      <c r="C120" s="133" t="s">
        <v>76</v>
      </c>
      <c r="D120" s="133" t="s">
        <v>309</v>
      </c>
      <c r="E120" s="129"/>
      <c r="F120" s="129">
        <v>8000000000</v>
      </c>
      <c r="G120" s="129"/>
      <c r="H120" s="134" t="s">
        <v>795</v>
      </c>
      <c r="I120" s="135" t="s">
        <v>620</v>
      </c>
      <c r="J120" s="136">
        <v>2</v>
      </c>
      <c r="K120" s="137">
        <v>3</v>
      </c>
      <c r="L120" s="138">
        <v>9</v>
      </c>
      <c r="M120" s="132">
        <f t="shared" si="15"/>
        <v>1</v>
      </c>
      <c r="N120" s="139" t="s">
        <v>233</v>
      </c>
      <c r="O120" s="140" t="str">
        <f>IF(ISBLANK(N120),"",VLOOKUP(N120,[6]Parámetros!$G$2:$H$23,2,FALSE))</f>
        <v>Licitación pública</v>
      </c>
      <c r="P120" s="141">
        <f t="shared" si="23"/>
        <v>1</v>
      </c>
      <c r="Q120" s="142">
        <f t="shared" si="17"/>
        <v>8000000000</v>
      </c>
      <c r="R120" s="142">
        <f t="shared" si="18"/>
        <v>8000000000</v>
      </c>
      <c r="S120" s="143" t="s">
        <v>223</v>
      </c>
      <c r="T120" s="139">
        <f t="shared" si="24"/>
        <v>0</v>
      </c>
      <c r="U120" s="48" t="str">
        <f t="shared" si="20"/>
        <v>SUBDIRECCION DE GESTION CONTRACTUAL</v>
      </c>
      <c r="V120" s="132" t="str">
        <f t="shared" si="25"/>
        <v>CO-DC</v>
      </c>
      <c r="W120" s="48" t="str">
        <f t="shared" si="26"/>
        <v>Distrito Capital de Bogotá</v>
      </c>
      <c r="X120" s="144" t="s">
        <v>69</v>
      </c>
      <c r="Y120" s="132">
        <v>2427401</v>
      </c>
      <c r="Z120" s="146" t="s">
        <v>70</v>
      </c>
    </row>
    <row r="121" spans="1:26" s="10" customFormat="1" ht="12.75" customHeight="1" x14ac:dyDescent="0.2">
      <c r="A121" s="131" t="s">
        <v>67</v>
      </c>
      <c r="B121" s="132">
        <v>24</v>
      </c>
      <c r="C121" s="133" t="s">
        <v>303</v>
      </c>
      <c r="D121" s="133" t="s">
        <v>79</v>
      </c>
      <c r="E121" s="129"/>
      <c r="F121" s="202">
        <f>40500000000-2000000000</f>
        <v>38500000000</v>
      </c>
      <c r="G121" s="129"/>
      <c r="H121" s="134" t="s">
        <v>68</v>
      </c>
      <c r="I121" s="135" t="s">
        <v>312</v>
      </c>
      <c r="J121" s="136">
        <v>3</v>
      </c>
      <c r="K121" s="137">
        <v>4</v>
      </c>
      <c r="L121" s="138">
        <v>8</v>
      </c>
      <c r="M121" s="132">
        <f t="shared" si="15"/>
        <v>1</v>
      </c>
      <c r="N121" s="139" t="s">
        <v>36</v>
      </c>
      <c r="O121" s="140" t="str">
        <f>IF(ISBLANK(N121),"",VLOOKUP(N121,[6]Parámetros!$G$2:$H$23,2,FALSE))</f>
        <v xml:space="preserve">Contratación directa (con ofertas) </v>
      </c>
      <c r="P121" s="141">
        <f t="shared" si="23"/>
        <v>1</v>
      </c>
      <c r="Q121" s="142">
        <f t="shared" si="17"/>
        <v>38500000000</v>
      </c>
      <c r="R121" s="142">
        <f t="shared" si="18"/>
        <v>38500000000</v>
      </c>
      <c r="S121" s="143" t="s">
        <v>223</v>
      </c>
      <c r="T121" s="139">
        <f t="shared" si="24"/>
        <v>0</v>
      </c>
      <c r="U121" s="48" t="str">
        <f t="shared" si="20"/>
        <v>SUBDIRECCION DE GESTION CONTRACTUAL</v>
      </c>
      <c r="V121" s="132" t="str">
        <f t="shared" si="25"/>
        <v>CO-DC</v>
      </c>
      <c r="W121" s="48" t="str">
        <f t="shared" si="26"/>
        <v>Distrito Capital de Bogotá</v>
      </c>
      <c r="X121" s="144" t="s">
        <v>69</v>
      </c>
      <c r="Y121" s="132">
        <v>2427401</v>
      </c>
      <c r="Z121" s="146" t="s">
        <v>70</v>
      </c>
    </row>
    <row r="122" spans="1:26" s="10" customFormat="1" ht="12.75" customHeight="1" x14ac:dyDescent="0.2">
      <c r="A122" s="131" t="s">
        <v>67</v>
      </c>
      <c r="B122" s="132">
        <v>25</v>
      </c>
      <c r="C122" s="133" t="s">
        <v>304</v>
      </c>
      <c r="D122" s="133" t="s">
        <v>313</v>
      </c>
      <c r="E122" s="129"/>
      <c r="F122" s="202">
        <v>20000000000</v>
      </c>
      <c r="G122" s="129"/>
      <c r="H122" s="134" t="s">
        <v>68</v>
      </c>
      <c r="I122" s="135" t="s">
        <v>314</v>
      </c>
      <c r="J122" s="136">
        <v>3</v>
      </c>
      <c r="K122" s="137">
        <v>4</v>
      </c>
      <c r="L122" s="138">
        <v>8</v>
      </c>
      <c r="M122" s="132">
        <f t="shared" si="15"/>
        <v>1</v>
      </c>
      <c r="N122" s="139" t="s">
        <v>36</v>
      </c>
      <c r="O122" s="140" t="str">
        <f>IF(ISBLANK(N122),"",VLOOKUP(N122,[6]Parámetros!$G$2:$H$23,2,FALSE))</f>
        <v xml:space="preserve">Contratación directa (con ofertas) </v>
      </c>
      <c r="P122" s="141">
        <f t="shared" si="23"/>
        <v>1</v>
      </c>
      <c r="Q122" s="142">
        <f t="shared" si="17"/>
        <v>20000000000</v>
      </c>
      <c r="R122" s="142">
        <f t="shared" si="18"/>
        <v>20000000000</v>
      </c>
      <c r="S122" s="143" t="s">
        <v>223</v>
      </c>
      <c r="T122" s="139">
        <f t="shared" si="24"/>
        <v>0</v>
      </c>
      <c r="U122" s="48" t="str">
        <f t="shared" si="20"/>
        <v>SUBDIRECCION DE GESTION CONTRACTUAL</v>
      </c>
      <c r="V122" s="132" t="str">
        <f t="shared" si="25"/>
        <v>CO-DC</v>
      </c>
      <c r="W122" s="48" t="str">
        <f t="shared" si="26"/>
        <v>Distrito Capital de Bogotá</v>
      </c>
      <c r="X122" s="144" t="s">
        <v>69</v>
      </c>
      <c r="Y122" s="132">
        <v>2427401</v>
      </c>
      <c r="Z122" s="146" t="s">
        <v>70</v>
      </c>
    </row>
    <row r="123" spans="1:26" s="10" customFormat="1" ht="12.75" customHeight="1" x14ac:dyDescent="0.2">
      <c r="A123" s="131" t="s">
        <v>67</v>
      </c>
      <c r="B123" s="132">
        <v>26</v>
      </c>
      <c r="C123" s="133" t="s">
        <v>289</v>
      </c>
      <c r="D123" s="133" t="s">
        <v>71</v>
      </c>
      <c r="E123" s="129"/>
      <c r="F123" s="129">
        <f>7796660558-1500000000</f>
        <v>6296660558</v>
      </c>
      <c r="G123" s="129"/>
      <c r="H123" s="134" t="s">
        <v>795</v>
      </c>
      <c r="I123" s="135" t="s">
        <v>620</v>
      </c>
      <c r="J123" s="136">
        <v>2</v>
      </c>
      <c r="K123" s="137">
        <v>3</v>
      </c>
      <c r="L123" s="138">
        <v>9</v>
      </c>
      <c r="M123" s="132">
        <f t="shared" si="15"/>
        <v>1</v>
      </c>
      <c r="N123" s="139" t="s">
        <v>233</v>
      </c>
      <c r="O123" s="140" t="str">
        <f>IF(ISBLANK(N123),"",VLOOKUP(N123,[6]Parámetros!$G$2:$H$23,2,FALSE))</f>
        <v>Licitación pública</v>
      </c>
      <c r="P123" s="141">
        <f t="shared" si="23"/>
        <v>1</v>
      </c>
      <c r="Q123" s="142">
        <f t="shared" si="17"/>
        <v>6296660558</v>
      </c>
      <c r="R123" s="142">
        <f t="shared" si="18"/>
        <v>6296660558</v>
      </c>
      <c r="S123" s="143" t="s">
        <v>223</v>
      </c>
      <c r="T123" s="139">
        <f t="shared" si="24"/>
        <v>0</v>
      </c>
      <c r="U123" s="48" t="str">
        <f t="shared" si="20"/>
        <v>SUBDIRECCION DE GESTION CONTRACTUAL</v>
      </c>
      <c r="V123" s="132" t="str">
        <f t="shared" si="25"/>
        <v>CO-DC</v>
      </c>
      <c r="W123" s="48" t="str">
        <f t="shared" si="26"/>
        <v>Distrito Capital de Bogotá</v>
      </c>
      <c r="X123" s="144" t="s">
        <v>69</v>
      </c>
      <c r="Y123" s="132">
        <v>2427401</v>
      </c>
      <c r="Z123" s="146" t="s">
        <v>70</v>
      </c>
    </row>
    <row r="124" spans="1:26" s="223" customFormat="1" ht="12.75" customHeight="1" x14ac:dyDescent="0.2">
      <c r="A124" s="216" t="s">
        <v>67</v>
      </c>
      <c r="B124" s="217">
        <v>27</v>
      </c>
      <c r="C124" s="215" t="s">
        <v>303</v>
      </c>
      <c r="D124" s="215" t="s">
        <v>310</v>
      </c>
      <c r="E124" s="202"/>
      <c r="F124" s="202">
        <v>2000000000</v>
      </c>
      <c r="G124" s="202"/>
      <c r="H124" s="203" t="s">
        <v>68</v>
      </c>
      <c r="I124" s="204" t="s">
        <v>869</v>
      </c>
      <c r="J124" s="205">
        <v>2</v>
      </c>
      <c r="K124" s="206">
        <v>3</v>
      </c>
      <c r="L124" s="229">
        <v>9</v>
      </c>
      <c r="M124" s="217">
        <f t="shared" si="15"/>
        <v>1</v>
      </c>
      <c r="N124" s="212" t="s">
        <v>36</v>
      </c>
      <c r="O124" s="213" t="str">
        <f>IF(ISBLANK(N124),"",VLOOKUP(N124,[7]Parámetros!$G$2:$H$23,2,FALSE))</f>
        <v xml:space="preserve">Contratación directa (con ofertas) </v>
      </c>
      <c r="P124" s="219">
        <f t="shared" si="23"/>
        <v>1</v>
      </c>
      <c r="Q124" s="220">
        <f t="shared" ref="Q124:Q126" si="27">IF(VALUE(E124+F124+G124)=0,"",E124+F124+G124)</f>
        <v>2000000000</v>
      </c>
      <c r="R124" s="220">
        <f t="shared" ref="R124:R126" si="28">IF(VALUE(F124)=0,"",F124)</f>
        <v>2000000000</v>
      </c>
      <c r="S124" s="221" t="s">
        <v>223</v>
      </c>
      <c r="T124" s="212">
        <f t="shared" si="24"/>
        <v>0</v>
      </c>
      <c r="U124" s="222" t="str">
        <f t="shared" si="20"/>
        <v>SUBDIRECCION DE GESTION CONTRACTUAL</v>
      </c>
      <c r="V124" s="217" t="str">
        <f t="shared" si="25"/>
        <v>CO-DC</v>
      </c>
      <c r="W124" s="222" t="str">
        <f t="shared" si="26"/>
        <v>Distrito Capital de Bogotá</v>
      </c>
      <c r="X124" s="228" t="s">
        <v>69</v>
      </c>
      <c r="Y124" s="217">
        <v>2427401</v>
      </c>
      <c r="Z124" s="230" t="s">
        <v>70</v>
      </c>
    </row>
    <row r="125" spans="1:26" s="223" customFormat="1" ht="12.75" customHeight="1" x14ac:dyDescent="0.2">
      <c r="A125" s="216" t="s">
        <v>67</v>
      </c>
      <c r="B125" s="217">
        <v>28</v>
      </c>
      <c r="C125" s="215" t="s">
        <v>285</v>
      </c>
      <c r="D125" s="215" t="s">
        <v>71</v>
      </c>
      <c r="E125" s="202"/>
      <c r="F125" s="202">
        <v>200000000</v>
      </c>
      <c r="G125" s="202"/>
      <c r="H125" s="203" t="s">
        <v>68</v>
      </c>
      <c r="I125" s="204" t="s">
        <v>870</v>
      </c>
      <c r="J125" s="205">
        <v>2</v>
      </c>
      <c r="K125" s="206">
        <v>3</v>
      </c>
      <c r="L125" s="229">
        <v>9</v>
      </c>
      <c r="M125" s="217">
        <f t="shared" si="15"/>
        <v>1</v>
      </c>
      <c r="N125" s="212" t="s">
        <v>36</v>
      </c>
      <c r="O125" s="213" t="str">
        <f>IF(ISBLANK(N125),"",VLOOKUP(N125,[7]Parámetros!$G$2:$H$23,2,FALSE))</f>
        <v xml:space="preserve">Contratación directa (con ofertas) </v>
      </c>
      <c r="P125" s="219">
        <f t="shared" si="23"/>
        <v>1</v>
      </c>
      <c r="Q125" s="220">
        <f t="shared" si="27"/>
        <v>200000000</v>
      </c>
      <c r="R125" s="220">
        <f t="shared" si="28"/>
        <v>200000000</v>
      </c>
      <c r="S125" s="221" t="s">
        <v>223</v>
      </c>
      <c r="T125" s="212">
        <f t="shared" si="24"/>
        <v>0</v>
      </c>
      <c r="U125" s="222" t="str">
        <f t="shared" si="20"/>
        <v>SUBDIRECCION DE GESTION CONTRACTUAL</v>
      </c>
      <c r="V125" s="217" t="str">
        <f t="shared" si="25"/>
        <v>CO-DC</v>
      </c>
      <c r="W125" s="222" t="str">
        <f t="shared" si="26"/>
        <v>Distrito Capital de Bogotá</v>
      </c>
      <c r="X125" s="228" t="s">
        <v>69</v>
      </c>
      <c r="Y125" s="217">
        <v>2427401</v>
      </c>
      <c r="Z125" s="230" t="s">
        <v>70</v>
      </c>
    </row>
    <row r="126" spans="1:26" s="223" customFormat="1" ht="12.75" customHeight="1" x14ac:dyDescent="0.2">
      <c r="A126" s="216" t="s">
        <v>67</v>
      </c>
      <c r="B126" s="217">
        <v>29</v>
      </c>
      <c r="C126" s="215" t="s">
        <v>285</v>
      </c>
      <c r="D126" s="215" t="s">
        <v>71</v>
      </c>
      <c r="E126" s="202"/>
      <c r="F126" s="202">
        <v>2400000000</v>
      </c>
      <c r="G126" s="204"/>
      <c r="H126" s="203" t="s">
        <v>878</v>
      </c>
      <c r="I126" s="204" t="s">
        <v>879</v>
      </c>
      <c r="J126" s="229">
        <v>2</v>
      </c>
      <c r="K126" s="217">
        <v>3</v>
      </c>
      <c r="L126" s="212">
        <v>9</v>
      </c>
      <c r="M126" s="219">
        <f t="shared" si="15"/>
        <v>1</v>
      </c>
      <c r="N126" s="219" t="s">
        <v>36</v>
      </c>
      <c r="O126" s="292" t="str">
        <f>IF(ISBLANK(N126),"",VLOOKUP(N126,[7]Parámetros!$G$2:$H$23,2,FALSE))</f>
        <v xml:space="preserve">Contratación directa (con ofertas) </v>
      </c>
      <c r="P126" s="293">
        <f t="shared" si="23"/>
        <v>1</v>
      </c>
      <c r="Q126" s="220">
        <f t="shared" si="27"/>
        <v>2400000000</v>
      </c>
      <c r="R126" s="220">
        <f t="shared" si="28"/>
        <v>2400000000</v>
      </c>
      <c r="S126" s="217" t="s">
        <v>223</v>
      </c>
      <c r="T126" s="217">
        <f t="shared" si="24"/>
        <v>0</v>
      </c>
      <c r="U126" s="222" t="str">
        <f t="shared" si="20"/>
        <v>SUBDIRECCION DE GESTION CONTRACTUAL</v>
      </c>
      <c r="V126" s="217" t="str">
        <f t="shared" si="25"/>
        <v>CO-DC</v>
      </c>
      <c r="W126" s="217" t="str">
        <f t="shared" si="26"/>
        <v>Distrito Capital de Bogotá</v>
      </c>
      <c r="X126" s="230" t="s">
        <v>69</v>
      </c>
      <c r="Y126" s="223">
        <v>2427401</v>
      </c>
      <c r="Z126" s="223" t="s">
        <v>70</v>
      </c>
    </row>
    <row r="127" spans="1:26" s="10" customFormat="1" ht="12.75" customHeight="1" x14ac:dyDescent="0.2">
      <c r="A127" s="131" t="s">
        <v>315</v>
      </c>
      <c r="B127" s="132">
        <v>1</v>
      </c>
      <c r="C127" s="133" t="s">
        <v>316</v>
      </c>
      <c r="D127" s="133" t="s">
        <v>317</v>
      </c>
      <c r="E127" s="129"/>
      <c r="F127" s="129">
        <v>1612449178.0000002</v>
      </c>
      <c r="G127" s="129"/>
      <c r="H127" s="134">
        <v>80111600</v>
      </c>
      <c r="I127" s="135" t="s">
        <v>318</v>
      </c>
      <c r="J127" s="136">
        <v>1</v>
      </c>
      <c r="K127" s="137">
        <v>1</v>
      </c>
      <c r="L127" s="138">
        <v>12</v>
      </c>
      <c r="M127" s="132">
        <f t="shared" si="15"/>
        <v>1</v>
      </c>
      <c r="N127" s="139" t="s">
        <v>216</v>
      </c>
      <c r="O127" s="140" t="str">
        <f>IF(ISBLANK(N127),"",VLOOKUP(N127,[8]Parámetros!$G$2:$H$23,2,FALSE))</f>
        <v>Contratación directa.</v>
      </c>
      <c r="P127" s="141">
        <f t="shared" si="23"/>
        <v>1</v>
      </c>
      <c r="Q127" s="142">
        <f t="shared" si="17"/>
        <v>1612449178.0000002</v>
      </c>
      <c r="R127" s="142">
        <f t="shared" si="18"/>
        <v>1612449178.0000002</v>
      </c>
      <c r="S127" s="143" t="s">
        <v>223</v>
      </c>
      <c r="T127" s="139">
        <f t="shared" si="24"/>
        <v>0</v>
      </c>
      <c r="U127" s="48" t="str">
        <f t="shared" si="20"/>
        <v>SUBDIRECCION DE GESTION CONTRACTUAL</v>
      </c>
      <c r="V127" s="132" t="str">
        <f t="shared" si="25"/>
        <v>CO-DC</v>
      </c>
      <c r="W127" s="48" t="str">
        <f t="shared" si="26"/>
        <v>Distrito Capital de Bogotá</v>
      </c>
      <c r="X127" s="144" t="s">
        <v>82</v>
      </c>
      <c r="Y127" s="132">
        <v>2427400</v>
      </c>
      <c r="Z127" s="146" t="s">
        <v>83</v>
      </c>
    </row>
    <row r="128" spans="1:26" s="10" customFormat="1" ht="12.75" customHeight="1" x14ac:dyDescent="0.2">
      <c r="A128" s="131" t="s">
        <v>315</v>
      </c>
      <c r="B128" s="132">
        <v>2</v>
      </c>
      <c r="C128" s="133" t="s">
        <v>316</v>
      </c>
      <c r="D128" s="133" t="s">
        <v>317</v>
      </c>
      <c r="E128" s="129"/>
      <c r="F128" s="202">
        <v>0</v>
      </c>
      <c r="G128" s="129"/>
      <c r="H128" s="134" t="s">
        <v>795</v>
      </c>
      <c r="I128" s="135" t="s">
        <v>319</v>
      </c>
      <c r="J128" s="158">
        <v>1</v>
      </c>
      <c r="K128" s="158">
        <v>2</v>
      </c>
      <c r="L128" s="158">
        <v>3</v>
      </c>
      <c r="M128" s="132">
        <f t="shared" si="15"/>
        <v>1</v>
      </c>
      <c r="N128" s="139" t="s">
        <v>36</v>
      </c>
      <c r="O128" s="140" t="str">
        <f>IF(ISBLANK(N128),"",VLOOKUP(N128,[8]Parámetros!$G$2:$H$23,2,FALSE))</f>
        <v xml:space="preserve">Contratación directa (con ofertas) </v>
      </c>
      <c r="P128" s="141">
        <f t="shared" si="23"/>
        <v>1</v>
      </c>
      <c r="Q128" s="142">
        <f t="shared" si="17"/>
        <v>0</v>
      </c>
      <c r="R128" s="142">
        <f t="shared" si="18"/>
        <v>0</v>
      </c>
      <c r="S128" s="143" t="s">
        <v>223</v>
      </c>
      <c r="T128" s="139">
        <f t="shared" si="24"/>
        <v>0</v>
      </c>
      <c r="U128" s="48" t="str">
        <f t="shared" si="20"/>
        <v>SUBDIRECCION DE GESTION CONTRACTUAL</v>
      </c>
      <c r="V128" s="132" t="str">
        <f t="shared" si="25"/>
        <v>CO-DC</v>
      </c>
      <c r="W128" s="48" t="str">
        <f t="shared" si="26"/>
        <v>Distrito Capital de Bogotá</v>
      </c>
      <c r="X128" s="144" t="s">
        <v>82</v>
      </c>
      <c r="Y128" s="132">
        <v>2427400</v>
      </c>
      <c r="Z128" s="146" t="s">
        <v>83</v>
      </c>
    </row>
    <row r="129" spans="1:26" s="10" customFormat="1" ht="12.75" customHeight="1" x14ac:dyDescent="0.2">
      <c r="A129" s="131" t="s">
        <v>315</v>
      </c>
      <c r="B129" s="132">
        <v>3</v>
      </c>
      <c r="C129" s="133" t="s">
        <v>316</v>
      </c>
      <c r="D129" s="133" t="s">
        <v>317</v>
      </c>
      <c r="E129" s="129"/>
      <c r="F129" s="202">
        <f>150302362+40000000</f>
        <v>190302362</v>
      </c>
      <c r="G129" s="129"/>
      <c r="H129" s="134" t="s">
        <v>795</v>
      </c>
      <c r="I129" s="135" t="s">
        <v>319</v>
      </c>
      <c r="J129" s="136">
        <v>2</v>
      </c>
      <c r="K129" s="137">
        <v>3</v>
      </c>
      <c r="L129" s="138">
        <v>9</v>
      </c>
      <c r="M129" s="132">
        <f t="shared" si="15"/>
        <v>1</v>
      </c>
      <c r="N129" s="139" t="s">
        <v>233</v>
      </c>
      <c r="O129" s="140" t="str">
        <f>IF(ISBLANK(N129),"",VLOOKUP(N129,[8]Parámetros!$G$2:$H$23,2,FALSE))</f>
        <v>Licitación pública</v>
      </c>
      <c r="P129" s="141">
        <f t="shared" si="23"/>
        <v>1</v>
      </c>
      <c r="Q129" s="142">
        <f t="shared" si="17"/>
        <v>190302362</v>
      </c>
      <c r="R129" s="142">
        <f t="shared" si="18"/>
        <v>190302362</v>
      </c>
      <c r="S129" s="143" t="s">
        <v>223</v>
      </c>
      <c r="T129" s="139">
        <f t="shared" si="24"/>
        <v>0</v>
      </c>
      <c r="U129" s="48" t="str">
        <f t="shared" si="20"/>
        <v>SUBDIRECCION DE GESTION CONTRACTUAL</v>
      </c>
      <c r="V129" s="132" t="str">
        <f t="shared" si="25"/>
        <v>CO-DC</v>
      </c>
      <c r="W129" s="48" t="str">
        <f t="shared" si="26"/>
        <v>Distrito Capital de Bogotá</v>
      </c>
      <c r="X129" s="144" t="s">
        <v>82</v>
      </c>
      <c r="Y129" s="132">
        <v>2427400</v>
      </c>
      <c r="Z129" s="146" t="s">
        <v>83</v>
      </c>
    </row>
    <row r="130" spans="1:26" s="10" customFormat="1" ht="12.75" customHeight="1" x14ac:dyDescent="0.2">
      <c r="A130" s="131" t="s">
        <v>315</v>
      </c>
      <c r="B130" s="132">
        <v>4</v>
      </c>
      <c r="C130" s="133" t="s">
        <v>316</v>
      </c>
      <c r="D130" s="133" t="s">
        <v>317</v>
      </c>
      <c r="E130" s="129"/>
      <c r="F130" s="129">
        <v>50000000</v>
      </c>
      <c r="G130" s="129"/>
      <c r="H130" s="134" t="s">
        <v>42</v>
      </c>
      <c r="I130" s="135" t="s">
        <v>320</v>
      </c>
      <c r="J130" s="136">
        <v>3</v>
      </c>
      <c r="K130" s="137">
        <v>4</v>
      </c>
      <c r="L130" s="138">
        <v>9</v>
      </c>
      <c r="M130" s="132">
        <f t="shared" si="15"/>
        <v>1</v>
      </c>
      <c r="N130" s="139" t="s">
        <v>61</v>
      </c>
      <c r="O130" s="140" t="str">
        <f>IF(ISBLANK(N130),"",VLOOKUP(N130,[8]Parámetros!$G$2:$H$23,2,FALSE))</f>
        <v>Contratación régimen especial - Selección de comisionista</v>
      </c>
      <c r="P130" s="141">
        <f t="shared" si="23"/>
        <v>1</v>
      </c>
      <c r="Q130" s="142">
        <f t="shared" si="17"/>
        <v>50000000</v>
      </c>
      <c r="R130" s="142">
        <f t="shared" si="18"/>
        <v>50000000</v>
      </c>
      <c r="S130" s="143" t="s">
        <v>223</v>
      </c>
      <c r="T130" s="139">
        <f t="shared" si="24"/>
        <v>0</v>
      </c>
      <c r="U130" s="48" t="str">
        <f t="shared" si="20"/>
        <v>SUBDIRECCION DE GESTION CONTRACTUAL</v>
      </c>
      <c r="V130" s="132" t="str">
        <f t="shared" si="25"/>
        <v>CO-DC</v>
      </c>
      <c r="W130" s="48" t="str">
        <f t="shared" si="26"/>
        <v>Distrito Capital de Bogotá</v>
      </c>
      <c r="X130" s="144" t="s">
        <v>358</v>
      </c>
      <c r="Y130" s="132">
        <v>2427400</v>
      </c>
      <c r="Z130" s="146" t="s">
        <v>75</v>
      </c>
    </row>
    <row r="131" spans="1:26" s="10" customFormat="1" ht="12.75" customHeight="1" x14ac:dyDescent="0.2">
      <c r="A131" s="131" t="s">
        <v>315</v>
      </c>
      <c r="B131" s="132">
        <v>5</v>
      </c>
      <c r="C131" s="133" t="s">
        <v>316</v>
      </c>
      <c r="D131" s="133" t="s">
        <v>317</v>
      </c>
      <c r="E131" s="129"/>
      <c r="F131" s="129">
        <v>605901056.39999962</v>
      </c>
      <c r="G131" s="129"/>
      <c r="H131" s="134" t="s">
        <v>321</v>
      </c>
      <c r="I131" s="135" t="s">
        <v>322</v>
      </c>
      <c r="J131" s="136">
        <v>4</v>
      </c>
      <c r="K131" s="137">
        <v>4</v>
      </c>
      <c r="L131" s="138">
        <v>8</v>
      </c>
      <c r="M131" s="132">
        <f t="shared" si="15"/>
        <v>1</v>
      </c>
      <c r="N131" s="139" t="s">
        <v>36</v>
      </c>
      <c r="O131" s="140" t="str">
        <f>IF(ISBLANK(N131),"",VLOOKUP(N131,[8]Parámetros!$G$2:$H$23,2,FALSE))</f>
        <v xml:space="preserve">Contratación directa (con ofertas) </v>
      </c>
      <c r="P131" s="141">
        <f t="shared" si="23"/>
        <v>1</v>
      </c>
      <c r="Q131" s="142">
        <f t="shared" si="17"/>
        <v>605901056.39999962</v>
      </c>
      <c r="R131" s="142">
        <f t="shared" si="18"/>
        <v>605901056.39999962</v>
      </c>
      <c r="S131" s="143" t="s">
        <v>223</v>
      </c>
      <c r="T131" s="139">
        <f t="shared" si="24"/>
        <v>0</v>
      </c>
      <c r="U131" s="48" t="str">
        <f t="shared" si="20"/>
        <v>SUBDIRECCION DE GESTION CONTRACTUAL</v>
      </c>
      <c r="V131" s="132" t="str">
        <f t="shared" si="25"/>
        <v>CO-DC</v>
      </c>
      <c r="W131" s="48" t="str">
        <f t="shared" si="26"/>
        <v>Distrito Capital de Bogotá</v>
      </c>
      <c r="X131" s="144" t="s">
        <v>82</v>
      </c>
      <c r="Y131" s="132">
        <v>2427400</v>
      </c>
      <c r="Z131" s="146" t="s">
        <v>83</v>
      </c>
    </row>
    <row r="132" spans="1:26" s="10" customFormat="1" ht="12.75" customHeight="1" x14ac:dyDescent="0.2">
      <c r="A132" s="131" t="s">
        <v>315</v>
      </c>
      <c r="B132" s="132">
        <v>6</v>
      </c>
      <c r="C132" s="133" t="s">
        <v>316</v>
      </c>
      <c r="D132" s="133" t="s">
        <v>317</v>
      </c>
      <c r="E132" s="129"/>
      <c r="F132" s="129">
        <v>167927278.39999998</v>
      </c>
      <c r="G132" s="129"/>
      <c r="H132" s="134" t="s">
        <v>323</v>
      </c>
      <c r="I132" s="135" t="s">
        <v>324</v>
      </c>
      <c r="J132" s="136">
        <v>2</v>
      </c>
      <c r="K132" s="137">
        <v>2</v>
      </c>
      <c r="L132" s="138">
        <v>6</v>
      </c>
      <c r="M132" s="132">
        <f t="shared" si="15"/>
        <v>1</v>
      </c>
      <c r="N132" s="139" t="s">
        <v>36</v>
      </c>
      <c r="O132" s="140" t="str">
        <f>IF(ISBLANK(N132),"",VLOOKUP(N132,[8]Parámetros!$G$2:$H$23,2,FALSE))</f>
        <v xml:space="preserve">Contratación directa (con ofertas) </v>
      </c>
      <c r="P132" s="141">
        <f t="shared" si="23"/>
        <v>1</v>
      </c>
      <c r="Q132" s="142">
        <f t="shared" si="17"/>
        <v>167927278.39999998</v>
      </c>
      <c r="R132" s="142">
        <f t="shared" si="18"/>
        <v>167927278.39999998</v>
      </c>
      <c r="S132" s="143" t="s">
        <v>223</v>
      </c>
      <c r="T132" s="139">
        <f t="shared" si="24"/>
        <v>0</v>
      </c>
      <c r="U132" s="48" t="str">
        <f t="shared" si="20"/>
        <v>SUBDIRECCION DE GESTION CONTRACTUAL</v>
      </c>
      <c r="V132" s="132" t="str">
        <f t="shared" si="25"/>
        <v>CO-DC</v>
      </c>
      <c r="W132" s="48" t="str">
        <f t="shared" si="26"/>
        <v>Distrito Capital de Bogotá</v>
      </c>
      <c r="X132" s="144" t="s">
        <v>82</v>
      </c>
      <c r="Y132" s="132">
        <v>2427400</v>
      </c>
      <c r="Z132" s="146" t="s">
        <v>83</v>
      </c>
    </row>
    <row r="133" spans="1:26" s="10" customFormat="1" ht="12.75" customHeight="1" x14ac:dyDescent="0.2">
      <c r="A133" s="131" t="s">
        <v>315</v>
      </c>
      <c r="B133" s="132">
        <v>7</v>
      </c>
      <c r="C133" s="133" t="s">
        <v>325</v>
      </c>
      <c r="D133" s="133" t="s">
        <v>317</v>
      </c>
      <c r="E133" s="129"/>
      <c r="F133" s="129">
        <v>849530285.60000002</v>
      </c>
      <c r="G133" s="129"/>
      <c r="H133" s="134">
        <v>80111600</v>
      </c>
      <c r="I133" s="135" t="s">
        <v>318</v>
      </c>
      <c r="J133" s="136">
        <v>1</v>
      </c>
      <c r="K133" s="137">
        <v>1</v>
      </c>
      <c r="L133" s="138">
        <v>12</v>
      </c>
      <c r="M133" s="132">
        <f t="shared" si="15"/>
        <v>1</v>
      </c>
      <c r="N133" s="139" t="s">
        <v>216</v>
      </c>
      <c r="O133" s="140" t="str">
        <f>IF(ISBLANK(N133),"",VLOOKUP(N133,[8]Parámetros!$G$2:$H$23,2,FALSE))</f>
        <v>Contratación directa.</v>
      </c>
      <c r="P133" s="141">
        <f t="shared" ref="P133:P165" si="29">IF(ISBLANK(N133),"",1)</f>
        <v>1</v>
      </c>
      <c r="Q133" s="142">
        <f t="shared" si="17"/>
        <v>849530285.60000002</v>
      </c>
      <c r="R133" s="142">
        <f t="shared" si="18"/>
        <v>849530285.60000002</v>
      </c>
      <c r="S133" s="143" t="s">
        <v>223</v>
      </c>
      <c r="T133" s="139">
        <f t="shared" ref="T133:T165" si="30">IF(ISBLANK(S133),"",IF(VALUE(S133)=0,0,IF(VALUE(S133)=1,3,"")))</f>
        <v>0</v>
      </c>
      <c r="U133" s="48" t="str">
        <f t="shared" si="20"/>
        <v>SUBDIRECCION DE GESTION CONTRACTUAL</v>
      </c>
      <c r="V133" s="132" t="str">
        <f t="shared" si="25"/>
        <v>CO-DC</v>
      </c>
      <c r="W133" s="48" t="str">
        <f t="shared" si="26"/>
        <v>Distrito Capital de Bogotá</v>
      </c>
      <c r="X133" s="144" t="s">
        <v>82</v>
      </c>
      <c r="Y133" s="132">
        <v>2427400</v>
      </c>
      <c r="Z133" s="146" t="s">
        <v>83</v>
      </c>
    </row>
    <row r="134" spans="1:26" s="10" customFormat="1" ht="12.75" customHeight="1" x14ac:dyDescent="0.2">
      <c r="A134" s="131" t="s">
        <v>315</v>
      </c>
      <c r="B134" s="132">
        <v>8</v>
      </c>
      <c r="C134" s="133" t="s">
        <v>325</v>
      </c>
      <c r="D134" s="133" t="s">
        <v>317</v>
      </c>
      <c r="E134" s="129"/>
      <c r="F134" s="129">
        <v>500000000</v>
      </c>
      <c r="G134" s="129"/>
      <c r="H134" s="134" t="s">
        <v>326</v>
      </c>
      <c r="I134" s="135" t="s">
        <v>327</v>
      </c>
      <c r="J134" s="136">
        <v>2</v>
      </c>
      <c r="K134" s="137">
        <v>2</v>
      </c>
      <c r="L134" s="138">
        <v>10</v>
      </c>
      <c r="M134" s="132">
        <f t="shared" si="15"/>
        <v>1</v>
      </c>
      <c r="N134" s="139" t="s">
        <v>328</v>
      </c>
      <c r="O134" s="140" t="str">
        <f>IF(ISBLANK(N134),"",VLOOKUP(N134,[8]Parámetros!$G$2:$H$23,2,FALSE))</f>
        <v>Selección abreviada menor cuantía</v>
      </c>
      <c r="P134" s="141">
        <f t="shared" si="29"/>
        <v>1</v>
      </c>
      <c r="Q134" s="142">
        <f t="shared" si="17"/>
        <v>500000000</v>
      </c>
      <c r="R134" s="142">
        <f t="shared" si="18"/>
        <v>500000000</v>
      </c>
      <c r="S134" s="143" t="s">
        <v>223</v>
      </c>
      <c r="T134" s="139">
        <f t="shared" si="30"/>
        <v>0</v>
      </c>
      <c r="U134" s="48" t="str">
        <f t="shared" si="20"/>
        <v>SUBDIRECCION DE GESTION CONTRACTUAL</v>
      </c>
      <c r="V134" s="132" t="str">
        <f t="shared" si="25"/>
        <v>CO-DC</v>
      </c>
      <c r="W134" s="48" t="str">
        <f t="shared" si="26"/>
        <v>Distrito Capital de Bogotá</v>
      </c>
      <c r="X134" s="144" t="s">
        <v>82</v>
      </c>
      <c r="Y134" s="132">
        <v>2427400</v>
      </c>
      <c r="Z134" s="146" t="s">
        <v>83</v>
      </c>
    </row>
    <row r="135" spans="1:26" s="10" customFormat="1" ht="12.75" customHeight="1" x14ac:dyDescent="0.2">
      <c r="A135" s="131" t="s">
        <v>315</v>
      </c>
      <c r="B135" s="132">
        <v>9</v>
      </c>
      <c r="C135" s="133" t="s">
        <v>325</v>
      </c>
      <c r="D135" s="133" t="s">
        <v>317</v>
      </c>
      <c r="E135" s="129"/>
      <c r="F135" s="129">
        <v>100000000</v>
      </c>
      <c r="G135" s="129"/>
      <c r="H135" s="134" t="s">
        <v>329</v>
      </c>
      <c r="I135" s="135" t="s">
        <v>330</v>
      </c>
      <c r="J135" s="136">
        <v>2</v>
      </c>
      <c r="K135" s="137">
        <v>2</v>
      </c>
      <c r="L135" s="138">
        <v>6</v>
      </c>
      <c r="M135" s="132">
        <f t="shared" si="15"/>
        <v>1</v>
      </c>
      <c r="N135" s="139" t="s">
        <v>53</v>
      </c>
      <c r="O135" s="140" t="str">
        <f>IF(ISBLANK(N135),"",VLOOKUP(N135,[8]Parámetros!$G$2:$H$23,2,FALSE))</f>
        <v>Seléccion abreviada - acuerdo marco</v>
      </c>
      <c r="P135" s="141">
        <f t="shared" si="29"/>
        <v>1</v>
      </c>
      <c r="Q135" s="142">
        <f t="shared" si="17"/>
        <v>100000000</v>
      </c>
      <c r="R135" s="142">
        <f t="shared" si="18"/>
        <v>100000000</v>
      </c>
      <c r="S135" s="143" t="s">
        <v>223</v>
      </c>
      <c r="T135" s="139">
        <f t="shared" si="30"/>
        <v>0</v>
      </c>
      <c r="U135" s="48" t="str">
        <f t="shared" si="20"/>
        <v>SUBDIRECCION DE GESTION CONTRACTUAL</v>
      </c>
      <c r="V135" s="132" t="str">
        <f t="shared" si="25"/>
        <v>CO-DC</v>
      </c>
      <c r="W135" s="48" t="str">
        <f t="shared" si="26"/>
        <v>Distrito Capital de Bogotá</v>
      </c>
      <c r="X135" s="144" t="s">
        <v>331</v>
      </c>
      <c r="Y135" s="132">
        <v>2427400</v>
      </c>
      <c r="Z135" s="146" t="s">
        <v>332</v>
      </c>
    </row>
    <row r="136" spans="1:26" s="10" customFormat="1" ht="12.75" customHeight="1" x14ac:dyDescent="0.2">
      <c r="A136" s="131" t="s">
        <v>315</v>
      </c>
      <c r="B136" s="132">
        <v>10</v>
      </c>
      <c r="C136" s="133" t="s">
        <v>325</v>
      </c>
      <c r="D136" s="133" t="s">
        <v>317</v>
      </c>
      <c r="E136" s="129"/>
      <c r="F136" s="129">
        <v>229777840</v>
      </c>
      <c r="G136" s="129"/>
      <c r="H136" s="134" t="s">
        <v>333</v>
      </c>
      <c r="I136" s="135" t="s">
        <v>334</v>
      </c>
      <c r="J136" s="136">
        <v>2</v>
      </c>
      <c r="K136" s="137">
        <v>2</v>
      </c>
      <c r="L136" s="138">
        <v>6</v>
      </c>
      <c r="M136" s="132">
        <f t="shared" si="15"/>
        <v>1</v>
      </c>
      <c r="N136" s="139" t="s">
        <v>328</v>
      </c>
      <c r="O136" s="140" t="str">
        <f>IF(ISBLANK(N136),"",VLOOKUP(N136,[8]Parámetros!$G$2:$H$23,2,FALSE))</f>
        <v>Selección abreviada menor cuantía</v>
      </c>
      <c r="P136" s="141">
        <f t="shared" si="29"/>
        <v>1</v>
      </c>
      <c r="Q136" s="142">
        <f t="shared" si="17"/>
        <v>229777840</v>
      </c>
      <c r="R136" s="142">
        <f t="shared" si="18"/>
        <v>229777840</v>
      </c>
      <c r="S136" s="143" t="s">
        <v>223</v>
      </c>
      <c r="T136" s="139">
        <f t="shared" si="30"/>
        <v>0</v>
      </c>
      <c r="U136" s="48" t="str">
        <f t="shared" si="20"/>
        <v>SUBDIRECCION DE GESTION CONTRACTUAL</v>
      </c>
      <c r="V136" s="132" t="str">
        <f t="shared" si="25"/>
        <v>CO-DC</v>
      </c>
      <c r="W136" s="48" t="str">
        <f t="shared" si="26"/>
        <v>Distrito Capital de Bogotá</v>
      </c>
      <c r="X136" s="144" t="s">
        <v>82</v>
      </c>
      <c r="Y136" s="132">
        <v>2427400</v>
      </c>
      <c r="Z136" s="146" t="s">
        <v>83</v>
      </c>
    </row>
    <row r="137" spans="1:26" s="10" customFormat="1" ht="12.75" customHeight="1" x14ac:dyDescent="0.2">
      <c r="A137" s="131" t="s">
        <v>315</v>
      </c>
      <c r="B137" s="132">
        <v>11</v>
      </c>
      <c r="C137" s="133" t="s">
        <v>325</v>
      </c>
      <c r="D137" s="133" t="s">
        <v>317</v>
      </c>
      <c r="E137" s="129"/>
      <c r="F137" s="129">
        <v>150000000</v>
      </c>
      <c r="G137" s="129"/>
      <c r="H137" s="134" t="s">
        <v>239</v>
      </c>
      <c r="I137" s="135" t="s">
        <v>335</v>
      </c>
      <c r="J137" s="136">
        <v>2</v>
      </c>
      <c r="K137" s="137">
        <v>3</v>
      </c>
      <c r="L137" s="138">
        <v>4</v>
      </c>
      <c r="M137" s="132">
        <f t="shared" si="15"/>
        <v>1</v>
      </c>
      <c r="N137" s="139" t="s">
        <v>43</v>
      </c>
      <c r="O137" s="140" t="str">
        <f>IF(ISBLANK(N137),"",VLOOKUP(N137,[8]Parámetros!$G$2:$H$23,2,FALSE))</f>
        <v>Selección abreviada subasta inversa</v>
      </c>
      <c r="P137" s="141">
        <f t="shared" si="29"/>
        <v>1</v>
      </c>
      <c r="Q137" s="142">
        <f t="shared" si="17"/>
        <v>150000000</v>
      </c>
      <c r="R137" s="142">
        <f t="shared" si="18"/>
        <v>150000000</v>
      </c>
      <c r="S137" s="143" t="s">
        <v>223</v>
      </c>
      <c r="T137" s="139">
        <f t="shared" si="30"/>
        <v>0</v>
      </c>
      <c r="U137" s="48" t="str">
        <f t="shared" si="20"/>
        <v>SUBDIRECCION DE GESTION CONTRACTUAL</v>
      </c>
      <c r="V137" s="132" t="str">
        <f t="shared" si="25"/>
        <v>CO-DC</v>
      </c>
      <c r="W137" s="48" t="str">
        <f t="shared" si="26"/>
        <v>Distrito Capital de Bogotá</v>
      </c>
      <c r="X137" s="144" t="s">
        <v>331</v>
      </c>
      <c r="Y137" s="132">
        <v>2427400</v>
      </c>
      <c r="Z137" s="146" t="s">
        <v>94</v>
      </c>
    </row>
    <row r="138" spans="1:26" s="10" customFormat="1" ht="12.75" customHeight="1" x14ac:dyDescent="0.2">
      <c r="A138" s="131" t="s">
        <v>96</v>
      </c>
      <c r="B138" s="132">
        <v>1</v>
      </c>
      <c r="C138" s="133" t="s">
        <v>336</v>
      </c>
      <c r="D138" s="133" t="s">
        <v>97</v>
      </c>
      <c r="E138" s="129"/>
      <c r="F138" s="129">
        <v>122000000</v>
      </c>
      <c r="G138" s="129"/>
      <c r="H138" s="134">
        <v>80111600</v>
      </c>
      <c r="I138" s="135" t="s">
        <v>337</v>
      </c>
      <c r="J138" s="136">
        <v>1</v>
      </c>
      <c r="K138" s="137">
        <v>1</v>
      </c>
      <c r="L138" s="138">
        <v>12</v>
      </c>
      <c r="M138" s="132">
        <f t="shared" si="15"/>
        <v>1</v>
      </c>
      <c r="N138" s="139" t="s">
        <v>216</v>
      </c>
      <c r="O138" s="140" t="str">
        <f>IF(ISBLANK(N138),"",VLOOKUP(N138,[9]Parámetros!$G$2:$H$23,2,FALSE))</f>
        <v>Contratación directa.</v>
      </c>
      <c r="P138" s="141">
        <f t="shared" si="29"/>
        <v>1</v>
      </c>
      <c r="Q138" s="142">
        <f t="shared" si="17"/>
        <v>122000000</v>
      </c>
      <c r="R138" s="142">
        <f t="shared" si="18"/>
        <v>122000000</v>
      </c>
      <c r="S138" s="143" t="s">
        <v>223</v>
      </c>
      <c r="T138" s="139">
        <f t="shared" si="30"/>
        <v>0</v>
      </c>
      <c r="U138" s="48" t="str">
        <f t="shared" si="20"/>
        <v>SUBDIRECCION DE GESTION CONTRACTUAL</v>
      </c>
      <c r="V138" s="132" t="str">
        <f t="shared" si="25"/>
        <v>CO-DC</v>
      </c>
      <c r="W138" s="48" t="str">
        <f t="shared" si="26"/>
        <v>Distrito Capital de Bogotá</v>
      </c>
      <c r="X138" s="144" t="s">
        <v>668</v>
      </c>
      <c r="Y138" s="132">
        <v>2427400</v>
      </c>
      <c r="Z138" s="146" t="s">
        <v>98</v>
      </c>
    </row>
    <row r="139" spans="1:26" s="10" customFormat="1" ht="12.75" customHeight="1" x14ac:dyDescent="0.2">
      <c r="A139" s="131" t="s">
        <v>96</v>
      </c>
      <c r="B139" s="132">
        <v>2</v>
      </c>
      <c r="C139" s="133" t="s">
        <v>336</v>
      </c>
      <c r="D139" s="133" t="s">
        <v>97</v>
      </c>
      <c r="E139" s="129"/>
      <c r="F139" s="129">
        <v>235000000</v>
      </c>
      <c r="G139" s="129"/>
      <c r="H139" s="134">
        <v>80111600</v>
      </c>
      <c r="I139" s="135" t="s">
        <v>337</v>
      </c>
      <c r="J139" s="136">
        <v>1</v>
      </c>
      <c r="K139" s="137">
        <v>1</v>
      </c>
      <c r="L139" s="138">
        <v>12</v>
      </c>
      <c r="M139" s="132">
        <f t="shared" si="15"/>
        <v>1</v>
      </c>
      <c r="N139" s="139" t="s">
        <v>216</v>
      </c>
      <c r="O139" s="140" t="str">
        <f>IF(ISBLANK(N139),"",VLOOKUP(N139,[9]Parámetros!$G$2:$H$23,2,FALSE))</f>
        <v>Contratación directa.</v>
      </c>
      <c r="P139" s="141">
        <f t="shared" si="29"/>
        <v>1</v>
      </c>
      <c r="Q139" s="142">
        <f t="shared" si="17"/>
        <v>235000000</v>
      </c>
      <c r="R139" s="142">
        <f t="shared" si="18"/>
        <v>235000000</v>
      </c>
      <c r="S139" s="143" t="s">
        <v>223</v>
      </c>
      <c r="T139" s="139">
        <f t="shared" si="30"/>
        <v>0</v>
      </c>
      <c r="U139" s="48" t="str">
        <f t="shared" si="20"/>
        <v>SUBDIRECCION DE GESTION CONTRACTUAL</v>
      </c>
      <c r="V139" s="132" t="str">
        <f t="shared" si="25"/>
        <v>CO-DC</v>
      </c>
      <c r="W139" s="48" t="str">
        <f t="shared" si="26"/>
        <v>Distrito Capital de Bogotá</v>
      </c>
      <c r="X139" s="144" t="s">
        <v>668</v>
      </c>
      <c r="Y139" s="132">
        <v>2427400</v>
      </c>
      <c r="Z139" s="146" t="s">
        <v>98</v>
      </c>
    </row>
    <row r="140" spans="1:26" s="10" customFormat="1" ht="12.75" customHeight="1" x14ac:dyDescent="0.2">
      <c r="A140" s="131" t="s">
        <v>96</v>
      </c>
      <c r="B140" s="132">
        <v>3</v>
      </c>
      <c r="C140" s="133" t="s">
        <v>338</v>
      </c>
      <c r="D140" s="133" t="s">
        <v>97</v>
      </c>
      <c r="E140" s="129"/>
      <c r="F140" s="129">
        <v>65000000</v>
      </c>
      <c r="G140" s="129"/>
      <c r="H140" s="134">
        <v>80111600</v>
      </c>
      <c r="I140" s="135" t="s">
        <v>337</v>
      </c>
      <c r="J140" s="136">
        <v>1</v>
      </c>
      <c r="K140" s="137">
        <v>1</v>
      </c>
      <c r="L140" s="138">
        <v>12</v>
      </c>
      <c r="M140" s="132">
        <f t="shared" si="15"/>
        <v>1</v>
      </c>
      <c r="N140" s="139" t="s">
        <v>216</v>
      </c>
      <c r="O140" s="140" t="str">
        <f>IF(ISBLANK(N140),"",VLOOKUP(N140,[9]Parámetros!$G$2:$H$23,2,FALSE))</f>
        <v>Contratación directa.</v>
      </c>
      <c r="P140" s="141">
        <f t="shared" si="29"/>
        <v>1</v>
      </c>
      <c r="Q140" s="142">
        <f t="shared" si="17"/>
        <v>65000000</v>
      </c>
      <c r="R140" s="142">
        <f t="shared" si="18"/>
        <v>65000000</v>
      </c>
      <c r="S140" s="143" t="s">
        <v>223</v>
      </c>
      <c r="T140" s="139">
        <f t="shared" si="30"/>
        <v>0</v>
      </c>
      <c r="U140" s="48" t="str">
        <f t="shared" si="20"/>
        <v>SUBDIRECCION DE GESTION CONTRACTUAL</v>
      </c>
      <c r="V140" s="132" t="str">
        <f t="shared" si="25"/>
        <v>CO-DC</v>
      </c>
      <c r="W140" s="48" t="str">
        <f t="shared" si="26"/>
        <v>Distrito Capital de Bogotá</v>
      </c>
      <c r="X140" s="144" t="s">
        <v>668</v>
      </c>
      <c r="Y140" s="132">
        <v>2427400</v>
      </c>
      <c r="Z140" s="146" t="s">
        <v>98</v>
      </c>
    </row>
    <row r="141" spans="1:26" s="10" customFormat="1" ht="12.75" customHeight="1" x14ac:dyDescent="0.2">
      <c r="A141" s="131" t="s">
        <v>96</v>
      </c>
      <c r="B141" s="132">
        <v>4</v>
      </c>
      <c r="C141" s="133" t="s">
        <v>339</v>
      </c>
      <c r="D141" s="133" t="s">
        <v>97</v>
      </c>
      <c r="E141" s="129"/>
      <c r="F141" s="129">
        <v>24500000</v>
      </c>
      <c r="G141" s="129"/>
      <c r="H141" s="134" t="s">
        <v>103</v>
      </c>
      <c r="I141" s="135" t="s">
        <v>629</v>
      </c>
      <c r="J141" s="136">
        <v>2</v>
      </c>
      <c r="K141" s="137">
        <v>3</v>
      </c>
      <c r="L141" s="138">
        <v>10</v>
      </c>
      <c r="M141" s="132">
        <f t="shared" si="15"/>
        <v>1</v>
      </c>
      <c r="N141" s="139" t="s">
        <v>36</v>
      </c>
      <c r="O141" s="140" t="str">
        <f>IF(ISBLANK(N141),"",VLOOKUP(N141,[1]Parámetros!$G$2:$H$23,2,FALSE))</f>
        <v xml:space="preserve">Contratación directa (con ofertas) </v>
      </c>
      <c r="P141" s="141">
        <f t="shared" si="29"/>
        <v>1</v>
      </c>
      <c r="Q141" s="142">
        <f t="shared" si="17"/>
        <v>24500000</v>
      </c>
      <c r="R141" s="142">
        <f t="shared" si="18"/>
        <v>24500000</v>
      </c>
      <c r="S141" s="143" t="s">
        <v>223</v>
      </c>
      <c r="T141" s="139">
        <f t="shared" si="30"/>
        <v>0</v>
      </c>
      <c r="U141" s="48" t="str">
        <f t="shared" si="20"/>
        <v>SUBDIRECCION DE GESTION CONTRACTUAL</v>
      </c>
      <c r="V141" s="132" t="str">
        <f t="shared" si="25"/>
        <v>CO-DC</v>
      </c>
      <c r="W141" s="48" t="str">
        <f t="shared" si="26"/>
        <v>Distrito Capital de Bogotá</v>
      </c>
      <c r="X141" s="144" t="s">
        <v>668</v>
      </c>
      <c r="Y141" s="132">
        <v>2427400</v>
      </c>
      <c r="Z141" s="146" t="s">
        <v>98</v>
      </c>
    </row>
    <row r="142" spans="1:26" s="10" customFormat="1" ht="12.75" customHeight="1" x14ac:dyDescent="0.2">
      <c r="A142" s="131" t="s">
        <v>96</v>
      </c>
      <c r="B142" s="132">
        <v>5</v>
      </c>
      <c r="C142" s="133" t="s">
        <v>339</v>
      </c>
      <c r="D142" s="133" t="s">
        <v>97</v>
      </c>
      <c r="E142" s="129"/>
      <c r="F142" s="129">
        <v>54500000</v>
      </c>
      <c r="G142" s="129"/>
      <c r="H142" s="134" t="s">
        <v>644</v>
      </c>
      <c r="I142" s="135" t="s">
        <v>645</v>
      </c>
      <c r="J142" s="136">
        <v>2</v>
      </c>
      <c r="K142" s="137">
        <v>2</v>
      </c>
      <c r="L142" s="138">
        <v>10</v>
      </c>
      <c r="M142" s="132">
        <f t="shared" si="15"/>
        <v>1</v>
      </c>
      <c r="N142" s="139" t="s">
        <v>36</v>
      </c>
      <c r="O142" s="140" t="str">
        <f>IF(ISBLANK(N142),"",VLOOKUP(N142,[9]Parámetros!$G$2:$H$23,2,FALSE))</f>
        <v xml:space="preserve">Contratación directa (con ofertas) </v>
      </c>
      <c r="P142" s="141">
        <f t="shared" si="29"/>
        <v>1</v>
      </c>
      <c r="Q142" s="142">
        <f t="shared" si="17"/>
        <v>54500000</v>
      </c>
      <c r="R142" s="142">
        <f t="shared" si="18"/>
        <v>54500000</v>
      </c>
      <c r="S142" s="143" t="s">
        <v>223</v>
      </c>
      <c r="T142" s="139">
        <f t="shared" si="30"/>
        <v>0</v>
      </c>
      <c r="U142" s="48" t="str">
        <f t="shared" si="20"/>
        <v>SUBDIRECCION DE GESTION CONTRACTUAL</v>
      </c>
      <c r="V142" s="132" t="str">
        <f t="shared" si="25"/>
        <v>CO-DC</v>
      </c>
      <c r="W142" s="48" t="str">
        <f t="shared" si="26"/>
        <v>Distrito Capital de Bogotá</v>
      </c>
      <c r="X142" s="144" t="s">
        <v>331</v>
      </c>
      <c r="Y142" s="132">
        <v>2427400</v>
      </c>
      <c r="Z142" s="146" t="s">
        <v>94</v>
      </c>
    </row>
    <row r="143" spans="1:26" s="10" customFormat="1" ht="12.75" customHeight="1" x14ac:dyDescent="0.2">
      <c r="A143" s="131" t="s">
        <v>96</v>
      </c>
      <c r="B143" s="132">
        <v>6</v>
      </c>
      <c r="C143" s="133" t="s">
        <v>339</v>
      </c>
      <c r="D143" s="133" t="s">
        <v>97</v>
      </c>
      <c r="E143" s="129"/>
      <c r="F143" s="129">
        <f>390000000-24500000-54500000-96000000</f>
        <v>215000000</v>
      </c>
      <c r="G143" s="129"/>
      <c r="H143" s="134" t="s">
        <v>795</v>
      </c>
      <c r="I143" s="135" t="s">
        <v>340</v>
      </c>
      <c r="J143" s="136">
        <v>2</v>
      </c>
      <c r="K143" s="137">
        <v>3</v>
      </c>
      <c r="L143" s="138">
        <v>9</v>
      </c>
      <c r="M143" s="132">
        <f t="shared" si="15"/>
        <v>1</v>
      </c>
      <c r="N143" s="139" t="s">
        <v>233</v>
      </c>
      <c r="O143" s="140" t="str">
        <f>IF(ISBLANK(N143),"",VLOOKUP(N143,[9]Parámetros!$G$2:$H$23,2,FALSE))</f>
        <v>Licitación pública</v>
      </c>
      <c r="P143" s="141">
        <f t="shared" si="29"/>
        <v>1</v>
      </c>
      <c r="Q143" s="142">
        <f t="shared" si="17"/>
        <v>215000000</v>
      </c>
      <c r="R143" s="142">
        <f t="shared" si="18"/>
        <v>215000000</v>
      </c>
      <c r="S143" s="143" t="s">
        <v>223</v>
      </c>
      <c r="T143" s="139">
        <f t="shared" si="30"/>
        <v>0</v>
      </c>
      <c r="U143" s="48" t="str">
        <f t="shared" si="20"/>
        <v>SUBDIRECCION DE GESTION CONTRACTUAL</v>
      </c>
      <c r="V143" s="132" t="str">
        <f t="shared" si="25"/>
        <v>CO-DC</v>
      </c>
      <c r="W143" s="48" t="str">
        <f t="shared" si="26"/>
        <v>Distrito Capital de Bogotá</v>
      </c>
      <c r="X143" s="144" t="s">
        <v>668</v>
      </c>
      <c r="Y143" s="132">
        <v>2427400</v>
      </c>
      <c r="Z143" s="146" t="s">
        <v>98</v>
      </c>
    </row>
    <row r="144" spans="1:26" s="10" customFormat="1" ht="12.75" customHeight="1" x14ac:dyDescent="0.2">
      <c r="A144" s="131" t="s">
        <v>96</v>
      </c>
      <c r="B144" s="132">
        <v>7</v>
      </c>
      <c r="C144" s="133" t="s">
        <v>339</v>
      </c>
      <c r="D144" s="133" t="s">
        <v>97</v>
      </c>
      <c r="E144" s="129"/>
      <c r="F144" s="129">
        <v>170000000</v>
      </c>
      <c r="G144" s="129"/>
      <c r="H144" s="134">
        <v>80111600</v>
      </c>
      <c r="I144" s="135" t="s">
        <v>337</v>
      </c>
      <c r="J144" s="136">
        <v>1</v>
      </c>
      <c r="K144" s="137">
        <v>1</v>
      </c>
      <c r="L144" s="138">
        <v>12</v>
      </c>
      <c r="M144" s="132">
        <f t="shared" si="15"/>
        <v>1</v>
      </c>
      <c r="N144" s="139" t="s">
        <v>216</v>
      </c>
      <c r="O144" s="140" t="str">
        <f>IF(ISBLANK(N144),"",VLOOKUP(N144,[9]Parámetros!$G$2:$H$23,2,FALSE))</f>
        <v>Contratación directa.</v>
      </c>
      <c r="P144" s="141">
        <f t="shared" si="29"/>
        <v>1</v>
      </c>
      <c r="Q144" s="142">
        <f t="shared" si="17"/>
        <v>170000000</v>
      </c>
      <c r="R144" s="142">
        <f t="shared" si="18"/>
        <v>170000000</v>
      </c>
      <c r="S144" s="143" t="s">
        <v>223</v>
      </c>
      <c r="T144" s="139">
        <f t="shared" si="30"/>
        <v>0</v>
      </c>
      <c r="U144" s="48" t="str">
        <f t="shared" si="20"/>
        <v>SUBDIRECCION DE GESTION CONTRACTUAL</v>
      </c>
      <c r="V144" s="132" t="str">
        <f t="shared" si="25"/>
        <v>CO-DC</v>
      </c>
      <c r="W144" s="48" t="str">
        <f t="shared" si="26"/>
        <v>Distrito Capital de Bogotá</v>
      </c>
      <c r="X144" s="144" t="s">
        <v>668</v>
      </c>
      <c r="Y144" s="132">
        <v>2427400</v>
      </c>
      <c r="Z144" s="146" t="s">
        <v>98</v>
      </c>
    </row>
    <row r="145" spans="1:26" s="10" customFormat="1" ht="12.75" customHeight="1" x14ac:dyDescent="0.2">
      <c r="A145" s="131" t="s">
        <v>96</v>
      </c>
      <c r="B145" s="132">
        <v>8</v>
      </c>
      <c r="C145" s="133" t="s">
        <v>339</v>
      </c>
      <c r="D145" s="133" t="s">
        <v>97</v>
      </c>
      <c r="E145" s="129"/>
      <c r="F145" s="129">
        <f>96000000-E145</f>
        <v>96000000</v>
      </c>
      <c r="G145" s="129"/>
      <c r="H145" s="134" t="s">
        <v>42</v>
      </c>
      <c r="I145" s="135" t="s">
        <v>341</v>
      </c>
      <c r="J145" s="136">
        <v>3</v>
      </c>
      <c r="K145" s="137">
        <v>4</v>
      </c>
      <c r="L145" s="138">
        <v>9</v>
      </c>
      <c r="M145" s="132">
        <f t="shared" ref="M145:M209" si="31">IF(ISBLANK(J145),"",1)</f>
        <v>1</v>
      </c>
      <c r="N145" s="139" t="s">
        <v>61</v>
      </c>
      <c r="O145" s="140" t="str">
        <f>IF(ISBLANK(N145),"",VLOOKUP(N145,[9]Parámetros!$G$2:$H$23,2,FALSE))</f>
        <v>Contratación régimen especial - Selección de comisionista</v>
      </c>
      <c r="P145" s="141">
        <f t="shared" si="29"/>
        <v>1</v>
      </c>
      <c r="Q145" s="142">
        <f t="shared" ref="Q145:Q209" si="32">+E145+F145+G145</f>
        <v>96000000</v>
      </c>
      <c r="R145" s="142">
        <f t="shared" ref="R145:R209" si="33">+F145</f>
        <v>96000000</v>
      </c>
      <c r="S145" s="143" t="s">
        <v>223</v>
      </c>
      <c r="T145" s="139">
        <f t="shared" si="30"/>
        <v>0</v>
      </c>
      <c r="U145" s="48" t="str">
        <f t="shared" ref="U145:U209" si="34">IF(ISBLANK(N145),"","SUBDIRECCION DE GESTION CONTRACTUAL")</f>
        <v>SUBDIRECCION DE GESTION CONTRACTUAL</v>
      </c>
      <c r="V145" s="132" t="str">
        <f t="shared" si="25"/>
        <v>CO-DC</v>
      </c>
      <c r="W145" s="48" t="str">
        <f t="shared" si="26"/>
        <v>Distrito Capital de Bogotá</v>
      </c>
      <c r="X145" s="144" t="s">
        <v>668</v>
      </c>
      <c r="Y145" s="132">
        <v>2427400</v>
      </c>
      <c r="Z145" s="146" t="s">
        <v>98</v>
      </c>
    </row>
    <row r="146" spans="1:26" s="10" customFormat="1" ht="12.75" customHeight="1" x14ac:dyDescent="0.2">
      <c r="A146" s="131" t="s">
        <v>96</v>
      </c>
      <c r="B146" s="132">
        <v>9</v>
      </c>
      <c r="C146" s="133" t="s">
        <v>342</v>
      </c>
      <c r="D146" s="133" t="s">
        <v>97</v>
      </c>
      <c r="E146" s="129"/>
      <c r="F146" s="129">
        <v>355000000</v>
      </c>
      <c r="G146" s="129"/>
      <c r="H146" s="134" t="s">
        <v>343</v>
      </c>
      <c r="I146" s="135" t="s">
        <v>344</v>
      </c>
      <c r="J146" s="136">
        <v>4</v>
      </c>
      <c r="K146" s="137">
        <v>4</v>
      </c>
      <c r="L146" s="138">
        <v>8</v>
      </c>
      <c r="M146" s="132">
        <f t="shared" si="31"/>
        <v>1</v>
      </c>
      <c r="N146" s="139" t="s">
        <v>36</v>
      </c>
      <c r="O146" s="140" t="str">
        <f>IF(ISBLANK(N146),"",VLOOKUP(N146,[9]Parámetros!$G$2:$H$23,2,FALSE))</f>
        <v xml:space="preserve">Contratación directa (con ofertas) </v>
      </c>
      <c r="P146" s="141">
        <f t="shared" si="29"/>
        <v>1</v>
      </c>
      <c r="Q146" s="142">
        <f t="shared" si="32"/>
        <v>355000000</v>
      </c>
      <c r="R146" s="142">
        <f t="shared" si="33"/>
        <v>355000000</v>
      </c>
      <c r="S146" s="143" t="s">
        <v>223</v>
      </c>
      <c r="T146" s="139">
        <f t="shared" si="30"/>
        <v>0</v>
      </c>
      <c r="U146" s="48" t="str">
        <f t="shared" si="34"/>
        <v>SUBDIRECCION DE GESTION CONTRACTUAL</v>
      </c>
      <c r="V146" s="132" t="str">
        <f t="shared" si="25"/>
        <v>CO-DC</v>
      </c>
      <c r="W146" s="48" t="str">
        <f t="shared" si="26"/>
        <v>Distrito Capital de Bogotá</v>
      </c>
      <c r="X146" s="144" t="s">
        <v>668</v>
      </c>
      <c r="Y146" s="132">
        <v>2427400</v>
      </c>
      <c r="Z146" s="146" t="s">
        <v>98</v>
      </c>
    </row>
    <row r="147" spans="1:26" s="10" customFormat="1" ht="12.75" customHeight="1" x14ac:dyDescent="0.2">
      <c r="A147" s="131" t="s">
        <v>96</v>
      </c>
      <c r="B147" s="132">
        <v>10</v>
      </c>
      <c r="C147" s="133" t="s">
        <v>342</v>
      </c>
      <c r="D147" s="133" t="s">
        <v>851</v>
      </c>
      <c r="E147" s="129"/>
      <c r="F147" s="129">
        <v>950000000</v>
      </c>
      <c r="G147" s="129"/>
      <c r="H147" s="134" t="s">
        <v>343</v>
      </c>
      <c r="I147" s="135" t="s">
        <v>345</v>
      </c>
      <c r="J147" s="136">
        <v>4</v>
      </c>
      <c r="K147" s="137">
        <v>4</v>
      </c>
      <c r="L147" s="138">
        <v>8</v>
      </c>
      <c r="M147" s="132">
        <f t="shared" si="31"/>
        <v>1</v>
      </c>
      <c r="N147" s="139" t="s">
        <v>36</v>
      </c>
      <c r="O147" s="140" t="str">
        <f>IF(ISBLANK(N147),"",VLOOKUP(N147,[9]Parámetros!$G$2:$H$23,2,FALSE))</f>
        <v xml:space="preserve">Contratación directa (con ofertas) </v>
      </c>
      <c r="P147" s="141">
        <f t="shared" si="29"/>
        <v>1</v>
      </c>
      <c r="Q147" s="142">
        <f t="shared" si="32"/>
        <v>950000000</v>
      </c>
      <c r="R147" s="142">
        <f t="shared" si="33"/>
        <v>950000000</v>
      </c>
      <c r="S147" s="143" t="s">
        <v>223</v>
      </c>
      <c r="T147" s="139">
        <f t="shared" si="30"/>
        <v>0</v>
      </c>
      <c r="U147" s="48" t="str">
        <f t="shared" si="34"/>
        <v>SUBDIRECCION DE GESTION CONTRACTUAL</v>
      </c>
      <c r="V147" s="132" t="str">
        <f t="shared" si="25"/>
        <v>CO-DC</v>
      </c>
      <c r="W147" s="48" t="str">
        <f t="shared" si="26"/>
        <v>Distrito Capital de Bogotá</v>
      </c>
      <c r="X147" s="144" t="s">
        <v>668</v>
      </c>
      <c r="Y147" s="132">
        <v>2427400</v>
      </c>
      <c r="Z147" s="146" t="s">
        <v>98</v>
      </c>
    </row>
    <row r="148" spans="1:26" s="10" customFormat="1" ht="12.75" customHeight="1" x14ac:dyDescent="0.2">
      <c r="A148" s="131" t="s">
        <v>96</v>
      </c>
      <c r="B148" s="132">
        <v>11</v>
      </c>
      <c r="C148" s="133" t="s">
        <v>346</v>
      </c>
      <c r="D148" s="133" t="s">
        <v>851</v>
      </c>
      <c r="E148" s="129"/>
      <c r="F148" s="129">
        <v>168150363</v>
      </c>
      <c r="G148" s="129"/>
      <c r="H148" s="134" t="s">
        <v>343</v>
      </c>
      <c r="I148" s="135" t="s">
        <v>347</v>
      </c>
      <c r="J148" s="136">
        <v>4</v>
      </c>
      <c r="K148" s="137">
        <v>4</v>
      </c>
      <c r="L148" s="138">
        <v>8</v>
      </c>
      <c r="M148" s="132">
        <f t="shared" si="31"/>
        <v>1</v>
      </c>
      <c r="N148" s="139" t="s">
        <v>36</v>
      </c>
      <c r="O148" s="140" t="str">
        <f>IF(ISBLANK(N148),"",VLOOKUP(N148,[9]Parámetros!$G$2:$H$23,2,FALSE))</f>
        <v xml:space="preserve">Contratación directa (con ofertas) </v>
      </c>
      <c r="P148" s="141">
        <f t="shared" si="29"/>
        <v>1</v>
      </c>
      <c r="Q148" s="142">
        <f t="shared" si="32"/>
        <v>168150363</v>
      </c>
      <c r="R148" s="142">
        <f t="shared" si="33"/>
        <v>168150363</v>
      </c>
      <c r="S148" s="143" t="s">
        <v>223</v>
      </c>
      <c r="T148" s="139">
        <f t="shared" si="30"/>
        <v>0</v>
      </c>
      <c r="U148" s="48" t="str">
        <f t="shared" si="34"/>
        <v>SUBDIRECCION DE GESTION CONTRACTUAL</v>
      </c>
      <c r="V148" s="132" t="str">
        <f t="shared" si="25"/>
        <v>CO-DC</v>
      </c>
      <c r="W148" s="48" t="str">
        <f t="shared" si="26"/>
        <v>Distrito Capital de Bogotá</v>
      </c>
      <c r="X148" s="144" t="s">
        <v>668</v>
      </c>
      <c r="Y148" s="132">
        <v>2427400</v>
      </c>
      <c r="Z148" s="146" t="s">
        <v>98</v>
      </c>
    </row>
    <row r="149" spans="1:26" s="10" customFormat="1" ht="12.75" customHeight="1" x14ac:dyDescent="0.2">
      <c r="A149" s="131" t="s">
        <v>96</v>
      </c>
      <c r="B149" s="132">
        <v>12</v>
      </c>
      <c r="C149" s="133" t="s">
        <v>346</v>
      </c>
      <c r="D149" s="133" t="s">
        <v>97</v>
      </c>
      <c r="E149" s="129"/>
      <c r="F149" s="129">
        <v>97800000</v>
      </c>
      <c r="G149" s="129"/>
      <c r="H149" s="134">
        <v>80111600</v>
      </c>
      <c r="I149" s="135" t="s">
        <v>337</v>
      </c>
      <c r="J149" s="136">
        <v>1</v>
      </c>
      <c r="K149" s="137">
        <v>1</v>
      </c>
      <c r="L149" s="138">
        <v>12</v>
      </c>
      <c r="M149" s="132">
        <f t="shared" si="31"/>
        <v>1</v>
      </c>
      <c r="N149" s="139" t="s">
        <v>216</v>
      </c>
      <c r="O149" s="140" t="str">
        <f>IF(ISBLANK(N149),"",VLOOKUP(N149,[9]Parámetros!$G$2:$H$23,2,FALSE))</f>
        <v>Contratación directa.</v>
      </c>
      <c r="P149" s="141">
        <f t="shared" si="29"/>
        <v>1</v>
      </c>
      <c r="Q149" s="142">
        <f t="shared" si="32"/>
        <v>97800000</v>
      </c>
      <c r="R149" s="142">
        <f t="shared" si="33"/>
        <v>97800000</v>
      </c>
      <c r="S149" s="143" t="s">
        <v>223</v>
      </c>
      <c r="T149" s="139">
        <f t="shared" si="30"/>
        <v>0</v>
      </c>
      <c r="U149" s="48" t="str">
        <f t="shared" si="34"/>
        <v>SUBDIRECCION DE GESTION CONTRACTUAL</v>
      </c>
      <c r="V149" s="132" t="str">
        <f t="shared" si="25"/>
        <v>CO-DC</v>
      </c>
      <c r="W149" s="48" t="str">
        <f t="shared" si="26"/>
        <v>Distrito Capital de Bogotá</v>
      </c>
      <c r="X149" s="144" t="s">
        <v>668</v>
      </c>
      <c r="Y149" s="132">
        <v>2427400</v>
      </c>
      <c r="Z149" s="146" t="s">
        <v>98</v>
      </c>
    </row>
    <row r="150" spans="1:26" s="10" customFormat="1" ht="12.75" customHeight="1" x14ac:dyDescent="0.2">
      <c r="A150" s="131" t="s">
        <v>96</v>
      </c>
      <c r="B150" s="132">
        <v>13</v>
      </c>
      <c r="C150" s="133" t="s">
        <v>346</v>
      </c>
      <c r="D150" s="133" t="s">
        <v>851</v>
      </c>
      <c r="E150" s="129"/>
      <c r="F150" s="129">
        <f>206849637+131000000</f>
        <v>337849637</v>
      </c>
      <c r="G150" s="129"/>
      <c r="H150" s="134">
        <v>80111600</v>
      </c>
      <c r="I150" s="135" t="s">
        <v>337</v>
      </c>
      <c r="J150" s="136">
        <v>1</v>
      </c>
      <c r="K150" s="137">
        <v>1</v>
      </c>
      <c r="L150" s="138">
        <v>12</v>
      </c>
      <c r="M150" s="132">
        <f t="shared" si="31"/>
        <v>1</v>
      </c>
      <c r="N150" s="139" t="s">
        <v>216</v>
      </c>
      <c r="O150" s="140" t="str">
        <f>IF(ISBLANK(N150),"",VLOOKUP(N150,[9]Parámetros!$G$2:$H$23,2,FALSE))</f>
        <v>Contratación directa.</v>
      </c>
      <c r="P150" s="141">
        <f t="shared" si="29"/>
        <v>1</v>
      </c>
      <c r="Q150" s="142">
        <f t="shared" si="32"/>
        <v>337849637</v>
      </c>
      <c r="R150" s="142">
        <f t="shared" si="33"/>
        <v>337849637</v>
      </c>
      <c r="S150" s="143" t="s">
        <v>223</v>
      </c>
      <c r="T150" s="139">
        <f t="shared" si="30"/>
        <v>0</v>
      </c>
      <c r="U150" s="48" t="str">
        <f t="shared" si="34"/>
        <v>SUBDIRECCION DE GESTION CONTRACTUAL</v>
      </c>
      <c r="V150" s="132" t="str">
        <f t="shared" si="25"/>
        <v>CO-DC</v>
      </c>
      <c r="W150" s="48" t="str">
        <f t="shared" si="26"/>
        <v>Distrito Capital de Bogotá</v>
      </c>
      <c r="X150" s="144" t="s">
        <v>668</v>
      </c>
      <c r="Y150" s="132">
        <v>2427400</v>
      </c>
      <c r="Z150" s="146" t="s">
        <v>98</v>
      </c>
    </row>
    <row r="151" spans="1:26" s="10" customFormat="1" ht="12.75" customHeight="1" x14ac:dyDescent="0.2">
      <c r="A151" s="131" t="s">
        <v>96</v>
      </c>
      <c r="B151" s="132">
        <v>14</v>
      </c>
      <c r="C151" s="133" t="s">
        <v>348</v>
      </c>
      <c r="D151" s="133" t="s">
        <v>851</v>
      </c>
      <c r="E151" s="129"/>
      <c r="F151" s="129">
        <v>288256034</v>
      </c>
      <c r="G151" s="129"/>
      <c r="H151" s="134" t="s">
        <v>795</v>
      </c>
      <c r="I151" s="135" t="s">
        <v>340</v>
      </c>
      <c r="J151" s="136">
        <v>2</v>
      </c>
      <c r="K151" s="137">
        <v>3</v>
      </c>
      <c r="L151" s="138">
        <v>9</v>
      </c>
      <c r="M151" s="132">
        <f t="shared" si="31"/>
        <v>1</v>
      </c>
      <c r="N151" s="139" t="s">
        <v>233</v>
      </c>
      <c r="O151" s="140" t="str">
        <f>IF(ISBLANK(N151),"",VLOOKUP(N151,[9]Parámetros!$G$2:$H$23,2,FALSE))</f>
        <v>Licitación pública</v>
      </c>
      <c r="P151" s="141">
        <f t="shared" si="29"/>
        <v>1</v>
      </c>
      <c r="Q151" s="142">
        <f t="shared" si="32"/>
        <v>288256034</v>
      </c>
      <c r="R151" s="142">
        <f t="shared" si="33"/>
        <v>288256034</v>
      </c>
      <c r="S151" s="143" t="s">
        <v>223</v>
      </c>
      <c r="T151" s="139">
        <f t="shared" si="30"/>
        <v>0</v>
      </c>
      <c r="U151" s="48" t="str">
        <f t="shared" si="34"/>
        <v>SUBDIRECCION DE GESTION CONTRACTUAL</v>
      </c>
      <c r="V151" s="132" t="str">
        <f t="shared" si="25"/>
        <v>CO-DC</v>
      </c>
      <c r="W151" s="48" t="str">
        <f t="shared" si="26"/>
        <v>Distrito Capital de Bogotá</v>
      </c>
      <c r="X151" s="144" t="s">
        <v>668</v>
      </c>
      <c r="Y151" s="132">
        <v>2427400</v>
      </c>
      <c r="Z151" s="146" t="s">
        <v>98</v>
      </c>
    </row>
    <row r="152" spans="1:26" s="10" customFormat="1" ht="12.75" customHeight="1" x14ac:dyDescent="0.2">
      <c r="A152" s="131" t="s">
        <v>96</v>
      </c>
      <c r="B152" s="132">
        <v>15</v>
      </c>
      <c r="C152" s="133" t="s">
        <v>348</v>
      </c>
      <c r="D152" s="133" t="s">
        <v>851</v>
      </c>
      <c r="E152" s="129"/>
      <c r="F152" s="129">
        <v>261743966</v>
      </c>
      <c r="G152" s="129"/>
      <c r="H152" s="134">
        <v>80111600</v>
      </c>
      <c r="I152" s="135" t="s">
        <v>337</v>
      </c>
      <c r="J152" s="136">
        <v>1</v>
      </c>
      <c r="K152" s="137">
        <v>1</v>
      </c>
      <c r="L152" s="138">
        <v>12</v>
      </c>
      <c r="M152" s="132">
        <f t="shared" si="31"/>
        <v>1</v>
      </c>
      <c r="N152" s="139" t="s">
        <v>216</v>
      </c>
      <c r="O152" s="140" t="str">
        <f>IF(ISBLANK(N152),"",VLOOKUP(N152,[9]Parámetros!$G$2:$H$23,2,FALSE))</f>
        <v>Contratación directa.</v>
      </c>
      <c r="P152" s="141">
        <f t="shared" si="29"/>
        <v>1</v>
      </c>
      <c r="Q152" s="142">
        <f t="shared" si="32"/>
        <v>261743966</v>
      </c>
      <c r="R152" s="142">
        <f t="shared" si="33"/>
        <v>261743966</v>
      </c>
      <c r="S152" s="143" t="s">
        <v>223</v>
      </c>
      <c r="T152" s="139">
        <f t="shared" si="30"/>
        <v>0</v>
      </c>
      <c r="U152" s="48" t="str">
        <f t="shared" si="34"/>
        <v>SUBDIRECCION DE GESTION CONTRACTUAL</v>
      </c>
      <c r="V152" s="132" t="str">
        <f t="shared" si="25"/>
        <v>CO-DC</v>
      </c>
      <c r="W152" s="48" t="str">
        <f t="shared" si="26"/>
        <v>Distrito Capital de Bogotá</v>
      </c>
      <c r="X152" s="144" t="s">
        <v>668</v>
      </c>
      <c r="Y152" s="132">
        <v>2427400</v>
      </c>
      <c r="Z152" s="146" t="s">
        <v>98</v>
      </c>
    </row>
    <row r="153" spans="1:26" s="10" customFormat="1" ht="12.75" customHeight="1" x14ac:dyDescent="0.2">
      <c r="A153" s="131" t="s">
        <v>96</v>
      </c>
      <c r="B153" s="132">
        <v>16</v>
      </c>
      <c r="C153" s="133" t="s">
        <v>349</v>
      </c>
      <c r="D153" s="133" t="s">
        <v>851</v>
      </c>
      <c r="E153" s="129"/>
      <c r="F153" s="129">
        <f>144000000-94000000</f>
        <v>50000000</v>
      </c>
      <c r="G153" s="129"/>
      <c r="H153" s="134" t="s">
        <v>795</v>
      </c>
      <c r="I153" s="135" t="s">
        <v>340</v>
      </c>
      <c r="J153" s="158">
        <v>1</v>
      </c>
      <c r="K153" s="158">
        <v>2</v>
      </c>
      <c r="L153" s="158">
        <v>3</v>
      </c>
      <c r="M153" s="132">
        <f t="shared" si="31"/>
        <v>1</v>
      </c>
      <c r="N153" s="139" t="s">
        <v>36</v>
      </c>
      <c r="O153" s="140" t="str">
        <f>IF(ISBLANK(N153),"",VLOOKUP(N153,[9]Parámetros!$G$2:$H$23,2,FALSE))</f>
        <v xml:space="preserve">Contratación directa (con ofertas) </v>
      </c>
      <c r="P153" s="141">
        <f t="shared" si="29"/>
        <v>1</v>
      </c>
      <c r="Q153" s="142">
        <f t="shared" si="32"/>
        <v>50000000</v>
      </c>
      <c r="R153" s="142">
        <f t="shared" si="33"/>
        <v>50000000</v>
      </c>
      <c r="S153" s="143" t="s">
        <v>223</v>
      </c>
      <c r="T153" s="139">
        <f t="shared" si="30"/>
        <v>0</v>
      </c>
      <c r="U153" s="48" t="str">
        <f t="shared" si="34"/>
        <v>SUBDIRECCION DE GESTION CONTRACTUAL</v>
      </c>
      <c r="V153" s="132" t="str">
        <f t="shared" si="25"/>
        <v>CO-DC</v>
      </c>
      <c r="W153" s="48" t="str">
        <f t="shared" si="26"/>
        <v>Distrito Capital de Bogotá</v>
      </c>
      <c r="X153" s="144" t="s">
        <v>668</v>
      </c>
      <c r="Y153" s="132">
        <v>2427400</v>
      </c>
      <c r="Z153" s="146" t="s">
        <v>98</v>
      </c>
    </row>
    <row r="154" spans="1:26" s="10" customFormat="1" ht="12.75" customHeight="1" x14ac:dyDescent="0.2">
      <c r="A154" s="131" t="s">
        <v>96</v>
      </c>
      <c r="B154" s="132">
        <v>17</v>
      </c>
      <c r="C154" s="133" t="s">
        <v>349</v>
      </c>
      <c r="D154" s="133" t="s">
        <v>851</v>
      </c>
      <c r="E154" s="129"/>
      <c r="F154" s="129">
        <v>50000000</v>
      </c>
      <c r="G154" s="129"/>
      <c r="H154" s="134" t="s">
        <v>239</v>
      </c>
      <c r="I154" s="135" t="s">
        <v>350</v>
      </c>
      <c r="J154" s="136">
        <v>2</v>
      </c>
      <c r="K154" s="137">
        <v>3</v>
      </c>
      <c r="L154" s="138">
        <v>4</v>
      </c>
      <c r="M154" s="132">
        <f t="shared" si="31"/>
        <v>1</v>
      </c>
      <c r="N154" s="139" t="s">
        <v>43</v>
      </c>
      <c r="O154" s="140" t="str">
        <f>IF(ISBLANK(N154),"",VLOOKUP(N154,[9]Parámetros!$G$2:$H$23,2,FALSE))</f>
        <v>Selección abreviada subasta inversa</v>
      </c>
      <c r="P154" s="141">
        <f t="shared" si="29"/>
        <v>1</v>
      </c>
      <c r="Q154" s="142">
        <f t="shared" si="32"/>
        <v>50000000</v>
      </c>
      <c r="R154" s="142">
        <f t="shared" si="33"/>
        <v>50000000</v>
      </c>
      <c r="S154" s="143" t="s">
        <v>223</v>
      </c>
      <c r="T154" s="139">
        <f t="shared" si="30"/>
        <v>0</v>
      </c>
      <c r="U154" s="48" t="str">
        <f t="shared" si="34"/>
        <v>SUBDIRECCION DE GESTION CONTRACTUAL</v>
      </c>
      <c r="V154" s="132" t="str">
        <f t="shared" si="25"/>
        <v>CO-DC</v>
      </c>
      <c r="W154" s="48" t="str">
        <f t="shared" si="26"/>
        <v>Distrito Capital de Bogotá</v>
      </c>
      <c r="X154" s="144" t="s">
        <v>331</v>
      </c>
      <c r="Y154" s="132">
        <v>2427400</v>
      </c>
      <c r="Z154" s="146" t="s">
        <v>94</v>
      </c>
    </row>
    <row r="155" spans="1:26" s="10" customFormat="1" ht="12.75" customHeight="1" x14ac:dyDescent="0.2">
      <c r="A155" s="131" t="s">
        <v>96</v>
      </c>
      <c r="B155" s="132">
        <v>18</v>
      </c>
      <c r="C155" s="133" t="s">
        <v>349</v>
      </c>
      <c r="D155" s="133" t="s">
        <v>851</v>
      </c>
      <c r="E155" s="129"/>
      <c r="F155" s="129">
        <v>15000000</v>
      </c>
      <c r="G155" s="129"/>
      <c r="H155" s="134" t="s">
        <v>51</v>
      </c>
      <c r="I155" s="135" t="s">
        <v>351</v>
      </c>
      <c r="J155" s="136">
        <v>4</v>
      </c>
      <c r="K155" s="137">
        <v>6</v>
      </c>
      <c r="L155" s="138">
        <v>1</v>
      </c>
      <c r="M155" s="132">
        <f t="shared" si="31"/>
        <v>1</v>
      </c>
      <c r="N155" s="139" t="s">
        <v>43</v>
      </c>
      <c r="O155" s="140" t="str">
        <f>IF(ISBLANK(N155),"",VLOOKUP(N155,[9]Parámetros!$G$2:$H$23,2,FALSE))</f>
        <v>Selección abreviada subasta inversa</v>
      </c>
      <c r="P155" s="141">
        <f t="shared" si="29"/>
        <v>1</v>
      </c>
      <c r="Q155" s="142">
        <f t="shared" si="32"/>
        <v>15000000</v>
      </c>
      <c r="R155" s="142">
        <f t="shared" si="33"/>
        <v>15000000</v>
      </c>
      <c r="S155" s="143" t="s">
        <v>223</v>
      </c>
      <c r="T155" s="139">
        <f t="shared" si="30"/>
        <v>0</v>
      </c>
      <c r="U155" s="48" t="str">
        <f t="shared" si="34"/>
        <v>SUBDIRECCION DE GESTION CONTRACTUAL</v>
      </c>
      <c r="V155" s="132" t="str">
        <f t="shared" si="25"/>
        <v>CO-DC</v>
      </c>
      <c r="W155" s="48" t="str">
        <f t="shared" si="26"/>
        <v>Distrito Capital de Bogotá</v>
      </c>
      <c r="X155" s="144" t="s">
        <v>73</v>
      </c>
      <c r="Y155" s="132">
        <v>2427400</v>
      </c>
      <c r="Z155" s="146" t="s">
        <v>74</v>
      </c>
    </row>
    <row r="156" spans="1:26" s="10" customFormat="1" ht="12.75" customHeight="1" x14ac:dyDescent="0.2">
      <c r="A156" s="131" t="s">
        <v>96</v>
      </c>
      <c r="B156" s="132">
        <v>19</v>
      </c>
      <c r="C156" s="133" t="s">
        <v>349</v>
      </c>
      <c r="D156" s="133" t="s">
        <v>851</v>
      </c>
      <c r="E156" s="129"/>
      <c r="F156" s="129">
        <f>847246000-32700000-10000000-5000000-17300000</f>
        <v>782246000</v>
      </c>
      <c r="G156" s="129"/>
      <c r="H156" s="134" t="s">
        <v>343</v>
      </c>
      <c r="I156" s="135" t="s">
        <v>352</v>
      </c>
      <c r="J156" s="136">
        <v>4</v>
      </c>
      <c r="K156" s="137">
        <v>4</v>
      </c>
      <c r="L156" s="138">
        <v>8</v>
      </c>
      <c r="M156" s="132">
        <f t="shared" si="31"/>
        <v>1</v>
      </c>
      <c r="N156" s="139" t="s">
        <v>36</v>
      </c>
      <c r="O156" s="140" t="str">
        <f>IF(ISBLANK(N156),"",VLOOKUP(N156,[9]Parámetros!$G$2:$H$23,2,FALSE))</f>
        <v xml:space="preserve">Contratación directa (con ofertas) </v>
      </c>
      <c r="P156" s="141">
        <f t="shared" si="29"/>
        <v>1</v>
      </c>
      <c r="Q156" s="142">
        <f t="shared" si="32"/>
        <v>782246000</v>
      </c>
      <c r="R156" s="142">
        <f t="shared" si="33"/>
        <v>782246000</v>
      </c>
      <c r="S156" s="143" t="s">
        <v>223</v>
      </c>
      <c r="T156" s="139">
        <f t="shared" si="30"/>
        <v>0</v>
      </c>
      <c r="U156" s="48" t="str">
        <f t="shared" si="34"/>
        <v>SUBDIRECCION DE GESTION CONTRACTUAL</v>
      </c>
      <c r="V156" s="132" t="str">
        <f t="shared" si="25"/>
        <v>CO-DC</v>
      </c>
      <c r="W156" s="48" t="str">
        <f t="shared" si="26"/>
        <v>Distrito Capital de Bogotá</v>
      </c>
      <c r="X156" s="144" t="s">
        <v>668</v>
      </c>
      <c r="Y156" s="132">
        <v>2427400</v>
      </c>
      <c r="Z156" s="146" t="s">
        <v>98</v>
      </c>
    </row>
    <row r="157" spans="1:26" s="10" customFormat="1" ht="23.25" customHeight="1" x14ac:dyDescent="0.2">
      <c r="A157" s="159" t="s">
        <v>96</v>
      </c>
      <c r="B157" s="160">
        <v>20</v>
      </c>
      <c r="C157" s="133" t="s">
        <v>349</v>
      </c>
      <c r="D157" s="133" t="s">
        <v>851</v>
      </c>
      <c r="E157" s="161"/>
      <c r="F157" s="129">
        <f>144000000-50000000</f>
        <v>94000000</v>
      </c>
      <c r="G157" s="161"/>
      <c r="H157" s="162" t="s">
        <v>795</v>
      </c>
      <c r="I157" s="135" t="s">
        <v>852</v>
      </c>
      <c r="J157" s="136">
        <v>2</v>
      </c>
      <c r="K157" s="137">
        <v>3</v>
      </c>
      <c r="L157" s="138">
        <v>9</v>
      </c>
      <c r="M157" s="163">
        <f>IF(ISBLANK(J157),"",1)</f>
        <v>1</v>
      </c>
      <c r="N157" s="160" t="s">
        <v>233</v>
      </c>
      <c r="O157" s="164" t="str">
        <f>IF(ISBLANK(N157),"",VLOOKUP(N157,[10]Parámetros!$G$2:$H$23,2,FALSE))</f>
        <v>Licitación pública</v>
      </c>
      <c r="P157" s="165">
        <f t="shared" si="29"/>
        <v>1</v>
      </c>
      <c r="Q157" s="142">
        <f t="shared" ref="Q157" si="35">IF(VALUE(E157+F157+G157)=0,"",E157+F157+G157)</f>
        <v>94000000</v>
      </c>
      <c r="R157" s="142">
        <f t="shared" ref="R157" si="36">IF(VALUE(F157)=0,"",F157)</f>
        <v>94000000</v>
      </c>
      <c r="S157" s="166" t="s">
        <v>223</v>
      </c>
      <c r="T157" s="167">
        <f t="shared" si="30"/>
        <v>0</v>
      </c>
      <c r="U157" s="168" t="str">
        <f t="shared" si="34"/>
        <v>SUBDIRECCION DE GESTION CONTRACTUAL</v>
      </c>
      <c r="V157" s="167" t="str">
        <f t="shared" si="25"/>
        <v>CO-DC</v>
      </c>
      <c r="W157" s="168" t="str">
        <f t="shared" si="26"/>
        <v>Distrito Capital de Bogotá</v>
      </c>
      <c r="X157" s="169" t="s">
        <v>668</v>
      </c>
      <c r="Y157" s="160">
        <v>2427400</v>
      </c>
      <c r="Z157" s="170" t="s">
        <v>98</v>
      </c>
    </row>
    <row r="158" spans="1:26" s="10" customFormat="1" ht="12.75" customHeight="1" x14ac:dyDescent="0.2">
      <c r="A158" s="131" t="s">
        <v>84</v>
      </c>
      <c r="B158" s="132">
        <v>1</v>
      </c>
      <c r="C158" s="133" t="s">
        <v>91</v>
      </c>
      <c r="D158" s="133" t="s">
        <v>89</v>
      </c>
      <c r="E158" s="129"/>
      <c r="F158" s="129">
        <v>2930922041</v>
      </c>
      <c r="G158" s="129"/>
      <c r="H158" s="134">
        <v>80111600</v>
      </c>
      <c r="I158" s="135" t="s">
        <v>353</v>
      </c>
      <c r="J158" s="136">
        <v>1</v>
      </c>
      <c r="K158" s="137">
        <v>1</v>
      </c>
      <c r="L158" s="138">
        <v>12</v>
      </c>
      <c r="M158" s="132">
        <f t="shared" si="31"/>
        <v>1</v>
      </c>
      <c r="N158" s="139" t="s">
        <v>216</v>
      </c>
      <c r="O158" s="140" t="str">
        <f>IF(ISBLANK(N158),"",VLOOKUP(N158,[11]Parámetros!$G$2:$H$23,2,FALSE))</f>
        <v>Contratación directa.</v>
      </c>
      <c r="P158" s="141">
        <f t="shared" si="29"/>
        <v>1</v>
      </c>
      <c r="Q158" s="142">
        <f t="shared" si="32"/>
        <v>2930922041</v>
      </c>
      <c r="R158" s="142">
        <f t="shared" si="33"/>
        <v>2930922041</v>
      </c>
      <c r="S158" s="143" t="s">
        <v>223</v>
      </c>
      <c r="T158" s="139">
        <f t="shared" si="30"/>
        <v>0</v>
      </c>
      <c r="U158" s="48" t="str">
        <f t="shared" si="34"/>
        <v>SUBDIRECCION DE GESTION CONTRACTUAL</v>
      </c>
      <c r="V158" s="132" t="str">
        <f t="shared" si="25"/>
        <v>CO-DC</v>
      </c>
      <c r="W158" s="48" t="str">
        <f t="shared" si="26"/>
        <v>Distrito Capital de Bogotá</v>
      </c>
      <c r="X158" s="144" t="s">
        <v>671</v>
      </c>
      <c r="Y158" s="132">
        <v>2427400</v>
      </c>
      <c r="Z158" s="146" t="s">
        <v>87</v>
      </c>
    </row>
    <row r="159" spans="1:26" s="10" customFormat="1" ht="12.75" customHeight="1" x14ac:dyDescent="0.2">
      <c r="A159" s="131" t="s">
        <v>84</v>
      </c>
      <c r="B159" s="132">
        <v>2</v>
      </c>
      <c r="C159" s="133" t="s">
        <v>354</v>
      </c>
      <c r="D159" s="133" t="s">
        <v>89</v>
      </c>
      <c r="E159" s="129"/>
      <c r="F159" s="129">
        <v>1002214917</v>
      </c>
      <c r="G159" s="129"/>
      <c r="H159" s="134">
        <v>80111600</v>
      </c>
      <c r="I159" s="135" t="s">
        <v>353</v>
      </c>
      <c r="J159" s="136">
        <v>1</v>
      </c>
      <c r="K159" s="137">
        <v>1</v>
      </c>
      <c r="L159" s="138">
        <v>12</v>
      </c>
      <c r="M159" s="132">
        <f t="shared" si="31"/>
        <v>1</v>
      </c>
      <c r="N159" s="139" t="s">
        <v>216</v>
      </c>
      <c r="O159" s="140" t="str">
        <f>IF(ISBLANK(N159),"",VLOOKUP(N159,[11]Parámetros!$G$2:$H$23,2,FALSE))</f>
        <v>Contratación directa.</v>
      </c>
      <c r="P159" s="141">
        <f t="shared" si="29"/>
        <v>1</v>
      </c>
      <c r="Q159" s="142">
        <f t="shared" si="32"/>
        <v>1002214917</v>
      </c>
      <c r="R159" s="142">
        <f t="shared" si="33"/>
        <v>1002214917</v>
      </c>
      <c r="S159" s="143" t="s">
        <v>223</v>
      </c>
      <c r="T159" s="139">
        <f t="shared" si="30"/>
        <v>0</v>
      </c>
      <c r="U159" s="48" t="str">
        <f t="shared" si="34"/>
        <v>SUBDIRECCION DE GESTION CONTRACTUAL</v>
      </c>
      <c r="V159" s="132" t="str">
        <f t="shared" si="25"/>
        <v>CO-DC</v>
      </c>
      <c r="W159" s="48" t="str">
        <f t="shared" si="26"/>
        <v>Distrito Capital de Bogotá</v>
      </c>
      <c r="X159" s="144" t="s">
        <v>671</v>
      </c>
      <c r="Y159" s="132">
        <v>2427400</v>
      </c>
      <c r="Z159" s="146" t="s">
        <v>87</v>
      </c>
    </row>
    <row r="160" spans="1:26" s="10" customFormat="1" ht="12.75" customHeight="1" x14ac:dyDescent="0.2">
      <c r="A160" s="131" t="s">
        <v>84</v>
      </c>
      <c r="B160" s="132">
        <v>3</v>
      </c>
      <c r="C160" s="133" t="s">
        <v>355</v>
      </c>
      <c r="D160" s="133" t="s">
        <v>89</v>
      </c>
      <c r="E160" s="129"/>
      <c r="F160" s="129">
        <v>377068280</v>
      </c>
      <c r="G160" s="129"/>
      <c r="H160" s="134">
        <v>80111600</v>
      </c>
      <c r="I160" s="135" t="s">
        <v>353</v>
      </c>
      <c r="J160" s="136">
        <v>1</v>
      </c>
      <c r="K160" s="137">
        <v>1</v>
      </c>
      <c r="L160" s="138">
        <v>12</v>
      </c>
      <c r="M160" s="132">
        <f t="shared" si="31"/>
        <v>1</v>
      </c>
      <c r="N160" s="139" t="s">
        <v>216</v>
      </c>
      <c r="O160" s="140" t="str">
        <f>IF(ISBLANK(N160),"",VLOOKUP(N160,[11]Parámetros!$G$2:$H$23,2,FALSE))</f>
        <v>Contratación directa.</v>
      </c>
      <c r="P160" s="141">
        <f t="shared" si="29"/>
        <v>1</v>
      </c>
      <c r="Q160" s="142">
        <f t="shared" si="32"/>
        <v>377068280</v>
      </c>
      <c r="R160" s="142">
        <f t="shared" si="33"/>
        <v>377068280</v>
      </c>
      <c r="S160" s="143" t="s">
        <v>223</v>
      </c>
      <c r="T160" s="139">
        <f t="shared" si="30"/>
        <v>0</v>
      </c>
      <c r="U160" s="48" t="str">
        <f t="shared" si="34"/>
        <v>SUBDIRECCION DE GESTION CONTRACTUAL</v>
      </c>
      <c r="V160" s="132" t="str">
        <f t="shared" si="25"/>
        <v>CO-DC</v>
      </c>
      <c r="W160" s="48" t="str">
        <f t="shared" si="26"/>
        <v>Distrito Capital de Bogotá</v>
      </c>
      <c r="X160" s="144" t="s">
        <v>671</v>
      </c>
      <c r="Y160" s="132">
        <v>2427400</v>
      </c>
      <c r="Z160" s="146" t="s">
        <v>87</v>
      </c>
    </row>
    <row r="161" spans="1:26" s="10" customFormat="1" ht="12.75" customHeight="1" x14ac:dyDescent="0.2">
      <c r="A161" s="131" t="s">
        <v>84</v>
      </c>
      <c r="B161" s="132">
        <f t="shared" ref="B161:B192" si="37">+B160+1</f>
        <v>4</v>
      </c>
      <c r="C161" s="133" t="s">
        <v>91</v>
      </c>
      <c r="D161" s="133" t="s">
        <v>89</v>
      </c>
      <c r="E161" s="129"/>
      <c r="F161" s="286">
        <f>6775505000+325175000</f>
        <v>7100680000</v>
      </c>
      <c r="G161" s="129"/>
      <c r="H161" s="134" t="s">
        <v>795</v>
      </c>
      <c r="I161" s="135" t="s">
        <v>356</v>
      </c>
      <c r="J161" s="136">
        <v>2</v>
      </c>
      <c r="K161" s="137">
        <v>3</v>
      </c>
      <c r="L161" s="138">
        <v>9</v>
      </c>
      <c r="M161" s="132">
        <f t="shared" si="31"/>
        <v>1</v>
      </c>
      <c r="N161" s="139" t="s">
        <v>233</v>
      </c>
      <c r="O161" s="140" t="str">
        <f>IF(ISBLANK(N161),"",VLOOKUP(N161,[11]Parámetros!$G$2:$H$23,2,FALSE))</f>
        <v>Licitación pública</v>
      </c>
      <c r="P161" s="141">
        <f t="shared" si="29"/>
        <v>1</v>
      </c>
      <c r="Q161" s="171">
        <f t="shared" si="32"/>
        <v>7100680000</v>
      </c>
      <c r="R161" s="171">
        <f t="shared" si="33"/>
        <v>7100680000</v>
      </c>
      <c r="S161" s="143" t="s">
        <v>223</v>
      </c>
      <c r="T161" s="139">
        <f t="shared" si="30"/>
        <v>0</v>
      </c>
      <c r="U161" s="48" t="str">
        <f t="shared" si="34"/>
        <v>SUBDIRECCION DE GESTION CONTRACTUAL</v>
      </c>
      <c r="V161" s="132" t="str">
        <f t="shared" si="25"/>
        <v>CO-DC</v>
      </c>
      <c r="W161" s="48" t="str">
        <f t="shared" si="26"/>
        <v>Distrito Capital de Bogotá</v>
      </c>
      <c r="X161" s="144" t="s">
        <v>671</v>
      </c>
      <c r="Y161" s="132">
        <v>2427400</v>
      </c>
      <c r="Z161" s="146" t="s">
        <v>87</v>
      </c>
    </row>
    <row r="162" spans="1:26" s="10" customFormat="1" ht="12.75" customHeight="1" x14ac:dyDescent="0.2">
      <c r="A162" s="131" t="s">
        <v>84</v>
      </c>
      <c r="B162" s="132">
        <f t="shared" si="37"/>
        <v>5</v>
      </c>
      <c r="C162" s="133" t="s">
        <v>354</v>
      </c>
      <c r="D162" s="133" t="s">
        <v>89</v>
      </c>
      <c r="E162" s="129"/>
      <c r="F162" s="286">
        <f>3133047492+96000000</f>
        <v>3229047492</v>
      </c>
      <c r="G162" s="129"/>
      <c r="H162" s="134" t="s">
        <v>795</v>
      </c>
      <c r="I162" s="135" t="s">
        <v>356</v>
      </c>
      <c r="J162" s="136">
        <v>2</v>
      </c>
      <c r="K162" s="137">
        <v>3</v>
      </c>
      <c r="L162" s="138">
        <v>9</v>
      </c>
      <c r="M162" s="132">
        <f t="shared" si="31"/>
        <v>1</v>
      </c>
      <c r="N162" s="139" t="s">
        <v>233</v>
      </c>
      <c r="O162" s="140" t="str">
        <f>IF(ISBLANK(N162),"",VLOOKUP(N162,[11]Parámetros!$G$2:$H$23,2,FALSE))</f>
        <v>Licitación pública</v>
      </c>
      <c r="P162" s="141">
        <f t="shared" si="29"/>
        <v>1</v>
      </c>
      <c r="Q162" s="171">
        <f t="shared" si="32"/>
        <v>3229047492</v>
      </c>
      <c r="R162" s="171">
        <f t="shared" si="33"/>
        <v>3229047492</v>
      </c>
      <c r="S162" s="143" t="s">
        <v>223</v>
      </c>
      <c r="T162" s="139">
        <f t="shared" si="30"/>
        <v>0</v>
      </c>
      <c r="U162" s="48" t="str">
        <f t="shared" si="34"/>
        <v>SUBDIRECCION DE GESTION CONTRACTUAL</v>
      </c>
      <c r="V162" s="132" t="str">
        <f t="shared" si="25"/>
        <v>CO-DC</v>
      </c>
      <c r="W162" s="48" t="str">
        <f t="shared" si="26"/>
        <v>Distrito Capital de Bogotá</v>
      </c>
      <c r="X162" s="144" t="s">
        <v>671</v>
      </c>
      <c r="Y162" s="132">
        <v>2427400</v>
      </c>
      <c r="Z162" s="146" t="s">
        <v>87</v>
      </c>
    </row>
    <row r="163" spans="1:26" s="10" customFormat="1" ht="12.75" customHeight="1" x14ac:dyDescent="0.2">
      <c r="A163" s="131" t="s">
        <v>84</v>
      </c>
      <c r="B163" s="132">
        <f t="shared" si="37"/>
        <v>6</v>
      </c>
      <c r="C163" s="133" t="s">
        <v>355</v>
      </c>
      <c r="D163" s="133" t="s">
        <v>89</v>
      </c>
      <c r="E163" s="129"/>
      <c r="F163" s="286">
        <f>77250000+865200000+77250000</f>
        <v>1019700000</v>
      </c>
      <c r="G163" s="129"/>
      <c r="H163" s="134" t="s">
        <v>795</v>
      </c>
      <c r="I163" s="135" t="s">
        <v>356</v>
      </c>
      <c r="J163" s="136">
        <v>2</v>
      </c>
      <c r="K163" s="137">
        <v>3</v>
      </c>
      <c r="L163" s="138">
        <v>9</v>
      </c>
      <c r="M163" s="132">
        <f t="shared" si="31"/>
        <v>1</v>
      </c>
      <c r="N163" s="139" t="s">
        <v>233</v>
      </c>
      <c r="O163" s="140" t="str">
        <f>IF(ISBLANK(N163),"",VLOOKUP(N163,[11]Parámetros!$G$2:$H$23,2,FALSE))</f>
        <v>Licitación pública</v>
      </c>
      <c r="P163" s="141">
        <f t="shared" si="29"/>
        <v>1</v>
      </c>
      <c r="Q163" s="171">
        <f t="shared" si="32"/>
        <v>1019700000</v>
      </c>
      <c r="R163" s="171">
        <f t="shared" si="33"/>
        <v>1019700000</v>
      </c>
      <c r="S163" s="143" t="s">
        <v>223</v>
      </c>
      <c r="T163" s="139">
        <f t="shared" si="30"/>
        <v>0</v>
      </c>
      <c r="U163" s="48" t="str">
        <f t="shared" si="34"/>
        <v>SUBDIRECCION DE GESTION CONTRACTUAL</v>
      </c>
      <c r="V163" s="132" t="str">
        <f t="shared" si="25"/>
        <v>CO-DC</v>
      </c>
      <c r="W163" s="48" t="str">
        <f t="shared" si="26"/>
        <v>Distrito Capital de Bogotá</v>
      </c>
      <c r="X163" s="144" t="s">
        <v>671</v>
      </c>
      <c r="Y163" s="132">
        <v>2427400</v>
      </c>
      <c r="Z163" s="146" t="s">
        <v>87</v>
      </c>
    </row>
    <row r="164" spans="1:26" s="10" customFormat="1" ht="12.75" customHeight="1" x14ac:dyDescent="0.2">
      <c r="A164" s="131" t="s">
        <v>84</v>
      </c>
      <c r="B164" s="132">
        <f t="shared" si="37"/>
        <v>7</v>
      </c>
      <c r="C164" s="133" t="s">
        <v>91</v>
      </c>
      <c r="D164" s="133" t="s">
        <v>89</v>
      </c>
      <c r="E164" s="129"/>
      <c r="F164" s="129">
        <v>451170000</v>
      </c>
      <c r="G164" s="129"/>
      <c r="H164" s="134" t="s">
        <v>42</v>
      </c>
      <c r="I164" s="135" t="s">
        <v>357</v>
      </c>
      <c r="J164" s="136">
        <v>3</v>
      </c>
      <c r="K164" s="137">
        <v>4</v>
      </c>
      <c r="L164" s="138">
        <v>9</v>
      </c>
      <c r="M164" s="132">
        <f t="shared" si="31"/>
        <v>1</v>
      </c>
      <c r="N164" s="139" t="s">
        <v>61</v>
      </c>
      <c r="O164" s="140" t="str">
        <f>IF(ISBLANK(N164),"",VLOOKUP(N164,[11]Parámetros!$G$2:$H$23,2,FALSE))</f>
        <v>Contratación régimen especial - Selección de comisionista</v>
      </c>
      <c r="P164" s="141">
        <f t="shared" si="29"/>
        <v>1</v>
      </c>
      <c r="Q164" s="142">
        <f t="shared" si="32"/>
        <v>451170000</v>
      </c>
      <c r="R164" s="142">
        <f t="shared" si="33"/>
        <v>451170000</v>
      </c>
      <c r="S164" s="143" t="s">
        <v>223</v>
      </c>
      <c r="T164" s="139">
        <f t="shared" si="30"/>
        <v>0</v>
      </c>
      <c r="U164" s="48" t="str">
        <f t="shared" si="34"/>
        <v>SUBDIRECCION DE GESTION CONTRACTUAL</v>
      </c>
      <c r="V164" s="132" t="str">
        <f t="shared" si="25"/>
        <v>CO-DC</v>
      </c>
      <c r="W164" s="48" t="str">
        <f t="shared" si="26"/>
        <v>Distrito Capital de Bogotá</v>
      </c>
      <c r="X164" s="144" t="s">
        <v>358</v>
      </c>
      <c r="Y164" s="132">
        <v>2427400</v>
      </c>
      <c r="Z164" s="146" t="s">
        <v>75</v>
      </c>
    </row>
    <row r="165" spans="1:26" s="10" customFormat="1" ht="12.75" customHeight="1" x14ac:dyDescent="0.2">
      <c r="A165" s="131" t="s">
        <v>84</v>
      </c>
      <c r="B165" s="132">
        <f t="shared" si="37"/>
        <v>8</v>
      </c>
      <c r="C165" s="133" t="s">
        <v>354</v>
      </c>
      <c r="D165" s="133" t="s">
        <v>89</v>
      </c>
      <c r="E165" s="129"/>
      <c r="F165" s="129">
        <v>187110000</v>
      </c>
      <c r="G165" s="129"/>
      <c r="H165" s="134" t="s">
        <v>42</v>
      </c>
      <c r="I165" s="135" t="s">
        <v>357</v>
      </c>
      <c r="J165" s="136">
        <v>3</v>
      </c>
      <c r="K165" s="137">
        <v>4</v>
      </c>
      <c r="L165" s="138">
        <v>9</v>
      </c>
      <c r="M165" s="132">
        <f t="shared" si="31"/>
        <v>1</v>
      </c>
      <c r="N165" s="139" t="s">
        <v>61</v>
      </c>
      <c r="O165" s="140" t="str">
        <f>IF(ISBLANK(N165),"",VLOOKUP(N165,[11]Parámetros!$G$2:$H$23,2,FALSE))</f>
        <v>Contratación régimen especial - Selección de comisionista</v>
      </c>
      <c r="P165" s="141">
        <f t="shared" si="29"/>
        <v>1</v>
      </c>
      <c r="Q165" s="142">
        <f t="shared" si="32"/>
        <v>187110000</v>
      </c>
      <c r="R165" s="142">
        <f t="shared" si="33"/>
        <v>187110000</v>
      </c>
      <c r="S165" s="143" t="s">
        <v>223</v>
      </c>
      <c r="T165" s="139">
        <f t="shared" si="30"/>
        <v>0</v>
      </c>
      <c r="U165" s="48" t="str">
        <f t="shared" si="34"/>
        <v>SUBDIRECCION DE GESTION CONTRACTUAL</v>
      </c>
      <c r="V165" s="132" t="str">
        <f t="shared" si="25"/>
        <v>CO-DC</v>
      </c>
      <c r="W165" s="48" t="str">
        <f t="shared" si="26"/>
        <v>Distrito Capital de Bogotá</v>
      </c>
      <c r="X165" s="144" t="s">
        <v>358</v>
      </c>
      <c r="Y165" s="132">
        <v>2427400</v>
      </c>
      <c r="Z165" s="146" t="s">
        <v>75</v>
      </c>
    </row>
    <row r="166" spans="1:26" s="10" customFormat="1" ht="12.75" customHeight="1" x14ac:dyDescent="0.2">
      <c r="A166" s="131" t="s">
        <v>84</v>
      </c>
      <c r="B166" s="132">
        <f t="shared" si="37"/>
        <v>9</v>
      </c>
      <c r="C166" s="133" t="s">
        <v>355</v>
      </c>
      <c r="D166" s="133" t="s">
        <v>89</v>
      </c>
      <c r="E166" s="129"/>
      <c r="F166" s="129">
        <v>32400000</v>
      </c>
      <c r="G166" s="129"/>
      <c r="H166" s="134" t="s">
        <v>42</v>
      </c>
      <c r="I166" s="135" t="s">
        <v>357</v>
      </c>
      <c r="J166" s="136">
        <v>3</v>
      </c>
      <c r="K166" s="137">
        <v>4</v>
      </c>
      <c r="L166" s="138">
        <v>9</v>
      </c>
      <c r="M166" s="132">
        <f t="shared" si="31"/>
        <v>1</v>
      </c>
      <c r="N166" s="139" t="s">
        <v>61</v>
      </c>
      <c r="O166" s="140" t="str">
        <f>IF(ISBLANK(N166),"",VLOOKUP(N166,[11]Parámetros!$G$2:$H$23,2,FALSE))</f>
        <v>Contratación régimen especial - Selección de comisionista</v>
      </c>
      <c r="P166" s="141">
        <f t="shared" ref="P166:P197" si="38">IF(ISBLANK(N166),"",1)</f>
        <v>1</v>
      </c>
      <c r="Q166" s="142">
        <f t="shared" si="32"/>
        <v>32400000</v>
      </c>
      <c r="R166" s="142">
        <f t="shared" si="33"/>
        <v>32400000</v>
      </c>
      <c r="S166" s="143" t="s">
        <v>223</v>
      </c>
      <c r="T166" s="139">
        <f t="shared" ref="T166:T197" si="39">IF(ISBLANK(S166),"",IF(VALUE(S166)=0,0,IF(VALUE(S166)=1,3,"")))</f>
        <v>0</v>
      </c>
      <c r="U166" s="48" t="str">
        <f t="shared" si="34"/>
        <v>SUBDIRECCION DE GESTION CONTRACTUAL</v>
      </c>
      <c r="V166" s="132" t="str">
        <f t="shared" ref="V166:V229" si="40">IF(ISBLANK(N166),"","CO-DC")</f>
        <v>CO-DC</v>
      </c>
      <c r="W166" s="48" t="str">
        <f t="shared" ref="W166:W229" si="41">IF(ISBLANK(N166),"","Distrito Capital de Bogotá")</f>
        <v>Distrito Capital de Bogotá</v>
      </c>
      <c r="X166" s="144" t="s">
        <v>358</v>
      </c>
      <c r="Y166" s="132">
        <v>2427400</v>
      </c>
      <c r="Z166" s="146" t="s">
        <v>75</v>
      </c>
    </row>
    <row r="167" spans="1:26" s="10" customFormat="1" ht="12.75" customHeight="1" x14ac:dyDescent="0.2">
      <c r="A167" s="131" t="s">
        <v>84</v>
      </c>
      <c r="B167" s="132">
        <f t="shared" si="37"/>
        <v>10</v>
      </c>
      <c r="C167" s="133" t="s">
        <v>91</v>
      </c>
      <c r="D167" s="133" t="s">
        <v>89</v>
      </c>
      <c r="E167" s="129"/>
      <c r="F167" s="129">
        <v>1730400000</v>
      </c>
      <c r="G167" s="129"/>
      <c r="H167" s="134" t="s">
        <v>359</v>
      </c>
      <c r="I167" s="135" t="s">
        <v>360</v>
      </c>
      <c r="J167" s="136">
        <v>3</v>
      </c>
      <c r="K167" s="137">
        <v>4</v>
      </c>
      <c r="L167" s="138">
        <v>9</v>
      </c>
      <c r="M167" s="132">
        <f t="shared" si="31"/>
        <v>1</v>
      </c>
      <c r="N167" s="139" t="s">
        <v>36</v>
      </c>
      <c r="O167" s="140" t="str">
        <f>IF(ISBLANK(N167),"",VLOOKUP(N167,[11]Parámetros!$G$2:$H$23,2,FALSE))</f>
        <v xml:space="preserve">Contratación directa (con ofertas) </v>
      </c>
      <c r="P167" s="141">
        <f t="shared" si="38"/>
        <v>1</v>
      </c>
      <c r="Q167" s="142">
        <f t="shared" si="32"/>
        <v>1730400000</v>
      </c>
      <c r="R167" s="142">
        <f t="shared" si="33"/>
        <v>1730400000</v>
      </c>
      <c r="S167" s="143" t="s">
        <v>223</v>
      </c>
      <c r="T167" s="139">
        <f t="shared" si="39"/>
        <v>0</v>
      </c>
      <c r="U167" s="48" t="str">
        <f t="shared" si="34"/>
        <v>SUBDIRECCION DE GESTION CONTRACTUAL</v>
      </c>
      <c r="V167" s="132" t="str">
        <f t="shared" si="40"/>
        <v>CO-DC</v>
      </c>
      <c r="W167" s="48" t="str">
        <f t="shared" si="41"/>
        <v>Distrito Capital de Bogotá</v>
      </c>
      <c r="X167" s="144" t="s">
        <v>671</v>
      </c>
      <c r="Y167" s="132">
        <v>2427400</v>
      </c>
      <c r="Z167" s="146" t="s">
        <v>87</v>
      </c>
    </row>
    <row r="168" spans="1:26" s="10" customFormat="1" ht="12.75" customHeight="1" x14ac:dyDescent="0.2">
      <c r="A168" s="131" t="s">
        <v>84</v>
      </c>
      <c r="B168" s="132">
        <f t="shared" si="37"/>
        <v>11</v>
      </c>
      <c r="C168" s="133" t="s">
        <v>91</v>
      </c>
      <c r="D168" s="133" t="s">
        <v>89</v>
      </c>
      <c r="E168" s="129"/>
      <c r="F168" s="129">
        <v>18810000000</v>
      </c>
      <c r="G168" s="129"/>
      <c r="H168" s="134" t="s">
        <v>92</v>
      </c>
      <c r="I168" s="135" t="s">
        <v>361</v>
      </c>
      <c r="J168" s="136">
        <v>2</v>
      </c>
      <c r="K168" s="137">
        <v>5</v>
      </c>
      <c r="L168" s="138">
        <v>8</v>
      </c>
      <c r="M168" s="132">
        <f t="shared" si="31"/>
        <v>1</v>
      </c>
      <c r="N168" s="139" t="s">
        <v>36</v>
      </c>
      <c r="O168" s="140" t="str">
        <f>IF(ISBLANK(N168),"",VLOOKUP(N168,[11]Parámetros!$G$2:$H$23,2,FALSE))</f>
        <v xml:space="preserve">Contratación directa (con ofertas) </v>
      </c>
      <c r="P168" s="141">
        <f t="shared" si="38"/>
        <v>1</v>
      </c>
      <c r="Q168" s="142">
        <f t="shared" si="32"/>
        <v>18810000000</v>
      </c>
      <c r="R168" s="142">
        <f t="shared" si="33"/>
        <v>18810000000</v>
      </c>
      <c r="S168" s="143" t="s">
        <v>223</v>
      </c>
      <c r="T168" s="139">
        <f t="shared" si="39"/>
        <v>0</v>
      </c>
      <c r="U168" s="48" t="str">
        <f t="shared" si="34"/>
        <v>SUBDIRECCION DE GESTION CONTRACTUAL</v>
      </c>
      <c r="V168" s="132" t="str">
        <f t="shared" si="40"/>
        <v>CO-DC</v>
      </c>
      <c r="W168" s="48" t="str">
        <f t="shared" si="41"/>
        <v>Distrito Capital de Bogotá</v>
      </c>
      <c r="X168" s="144" t="s">
        <v>671</v>
      </c>
      <c r="Y168" s="132">
        <v>2427400</v>
      </c>
      <c r="Z168" s="146" t="s">
        <v>87</v>
      </c>
    </row>
    <row r="169" spans="1:26" s="10" customFormat="1" ht="12.75" customHeight="1" x14ac:dyDescent="0.2">
      <c r="A169" s="131" t="s">
        <v>84</v>
      </c>
      <c r="B169" s="132">
        <f t="shared" si="37"/>
        <v>12</v>
      </c>
      <c r="C169" s="133" t="s">
        <v>91</v>
      </c>
      <c r="D169" s="133" t="s">
        <v>89</v>
      </c>
      <c r="E169" s="129"/>
      <c r="F169" s="129">
        <v>143296144.09999999</v>
      </c>
      <c r="G169" s="129"/>
      <c r="H169" s="134" t="s">
        <v>644</v>
      </c>
      <c r="I169" s="135" t="s">
        <v>646</v>
      </c>
      <c r="J169" s="136">
        <v>2</v>
      </c>
      <c r="K169" s="137">
        <v>2</v>
      </c>
      <c r="L169" s="138">
        <v>10</v>
      </c>
      <c r="M169" s="132">
        <f t="shared" si="31"/>
        <v>1</v>
      </c>
      <c r="N169" s="139" t="s">
        <v>36</v>
      </c>
      <c r="O169" s="140" t="str">
        <f>IF(ISBLANK(N169),"",VLOOKUP(N169,[11]Parámetros!$G$2:$H$23,2,FALSE))</f>
        <v xml:space="preserve">Contratación directa (con ofertas) </v>
      </c>
      <c r="P169" s="141">
        <f t="shared" si="38"/>
        <v>1</v>
      </c>
      <c r="Q169" s="142">
        <f t="shared" si="32"/>
        <v>143296144.09999999</v>
      </c>
      <c r="R169" s="142">
        <f t="shared" si="33"/>
        <v>143296144.09999999</v>
      </c>
      <c r="S169" s="143" t="s">
        <v>223</v>
      </c>
      <c r="T169" s="139">
        <f t="shared" si="39"/>
        <v>0</v>
      </c>
      <c r="U169" s="48" t="str">
        <f t="shared" si="34"/>
        <v>SUBDIRECCION DE GESTION CONTRACTUAL</v>
      </c>
      <c r="V169" s="132" t="str">
        <f t="shared" si="40"/>
        <v>CO-DC</v>
      </c>
      <c r="W169" s="48" t="str">
        <f t="shared" si="41"/>
        <v>Distrito Capital de Bogotá</v>
      </c>
      <c r="X169" s="144" t="s">
        <v>331</v>
      </c>
      <c r="Y169" s="132">
        <v>2427400</v>
      </c>
      <c r="Z169" s="146" t="s">
        <v>94</v>
      </c>
    </row>
    <row r="170" spans="1:26" s="10" customFormat="1" ht="12.75" customHeight="1" x14ac:dyDescent="0.2">
      <c r="A170" s="131" t="s">
        <v>84</v>
      </c>
      <c r="B170" s="132">
        <f t="shared" si="37"/>
        <v>13</v>
      </c>
      <c r="C170" s="133" t="s">
        <v>91</v>
      </c>
      <c r="D170" s="133" t="s">
        <v>89</v>
      </c>
      <c r="E170" s="129"/>
      <c r="F170" s="129">
        <v>102257200.97499847</v>
      </c>
      <c r="G170" s="129"/>
      <c r="H170" s="134" t="s">
        <v>92</v>
      </c>
      <c r="I170" s="291" t="s">
        <v>865</v>
      </c>
      <c r="J170" s="136">
        <v>3</v>
      </c>
      <c r="K170" s="137">
        <v>4</v>
      </c>
      <c r="L170" s="138">
        <v>9</v>
      </c>
      <c r="M170" s="132">
        <f t="shared" si="31"/>
        <v>1</v>
      </c>
      <c r="N170" s="139" t="s">
        <v>36</v>
      </c>
      <c r="O170" s="140" t="str">
        <f>IF(ISBLANK(N170),"",VLOOKUP(N170,[11]Parámetros!$G$2:$H$23,2,FALSE))</f>
        <v xml:space="preserve">Contratación directa (con ofertas) </v>
      </c>
      <c r="P170" s="141">
        <f t="shared" si="38"/>
        <v>1</v>
      </c>
      <c r="Q170" s="142">
        <f t="shared" si="32"/>
        <v>102257200.97499847</v>
      </c>
      <c r="R170" s="142">
        <f t="shared" si="33"/>
        <v>102257200.97499847</v>
      </c>
      <c r="S170" s="143" t="s">
        <v>223</v>
      </c>
      <c r="T170" s="139">
        <f t="shared" si="39"/>
        <v>0</v>
      </c>
      <c r="U170" s="48" t="str">
        <f t="shared" si="34"/>
        <v>SUBDIRECCION DE GESTION CONTRACTUAL</v>
      </c>
      <c r="V170" s="132" t="str">
        <f t="shared" si="40"/>
        <v>CO-DC</v>
      </c>
      <c r="W170" s="48" t="str">
        <f t="shared" si="41"/>
        <v>Distrito Capital de Bogotá</v>
      </c>
      <c r="X170" s="144" t="s">
        <v>671</v>
      </c>
      <c r="Y170" s="132">
        <v>2427400</v>
      </c>
      <c r="Z170" s="146" t="s">
        <v>87</v>
      </c>
    </row>
    <row r="171" spans="1:26" s="10" customFormat="1" ht="12.75" customHeight="1" x14ac:dyDescent="0.2">
      <c r="A171" s="131" t="s">
        <v>84</v>
      </c>
      <c r="B171" s="132">
        <f t="shared" si="37"/>
        <v>14</v>
      </c>
      <c r="C171" s="133" t="s">
        <v>91</v>
      </c>
      <c r="D171" s="133" t="s">
        <v>89</v>
      </c>
      <c r="E171" s="129"/>
      <c r="F171" s="129">
        <v>126000000</v>
      </c>
      <c r="G171" s="129"/>
      <c r="H171" s="134" t="s">
        <v>93</v>
      </c>
      <c r="I171" s="128" t="s">
        <v>865</v>
      </c>
      <c r="J171" s="136">
        <v>3</v>
      </c>
      <c r="K171" s="137">
        <v>4</v>
      </c>
      <c r="L171" s="138">
        <v>9</v>
      </c>
      <c r="M171" s="132">
        <f t="shared" si="31"/>
        <v>1</v>
      </c>
      <c r="N171" s="139" t="s">
        <v>36</v>
      </c>
      <c r="O171" s="140" t="str">
        <f>IF(ISBLANK(N171),"",VLOOKUP(N171,[11]Parámetros!$G$2:$H$23,2,FALSE))</f>
        <v xml:space="preserve">Contratación directa (con ofertas) </v>
      </c>
      <c r="P171" s="141">
        <f t="shared" si="38"/>
        <v>1</v>
      </c>
      <c r="Q171" s="142">
        <f t="shared" si="32"/>
        <v>126000000</v>
      </c>
      <c r="R171" s="142">
        <f t="shared" si="33"/>
        <v>126000000</v>
      </c>
      <c r="S171" s="143" t="s">
        <v>223</v>
      </c>
      <c r="T171" s="139">
        <f t="shared" si="39"/>
        <v>0</v>
      </c>
      <c r="U171" s="48" t="str">
        <f t="shared" si="34"/>
        <v>SUBDIRECCION DE GESTION CONTRACTUAL</v>
      </c>
      <c r="V171" s="132" t="str">
        <f t="shared" si="40"/>
        <v>CO-DC</v>
      </c>
      <c r="W171" s="48" t="str">
        <f t="shared" si="41"/>
        <v>Distrito Capital de Bogotá</v>
      </c>
      <c r="X171" s="144" t="s">
        <v>671</v>
      </c>
      <c r="Y171" s="132">
        <v>2427400</v>
      </c>
      <c r="Z171" s="146" t="s">
        <v>87</v>
      </c>
    </row>
    <row r="172" spans="1:26" s="10" customFormat="1" ht="12.75" customHeight="1" x14ac:dyDescent="0.2">
      <c r="A172" s="131" t="s">
        <v>84</v>
      </c>
      <c r="B172" s="132">
        <f t="shared" si="37"/>
        <v>15</v>
      </c>
      <c r="C172" s="133" t="s">
        <v>355</v>
      </c>
      <c r="D172" s="133" t="s">
        <v>89</v>
      </c>
      <c r="E172" s="129"/>
      <c r="F172" s="129">
        <v>130000000</v>
      </c>
      <c r="G172" s="129"/>
      <c r="H172" s="134" t="s">
        <v>644</v>
      </c>
      <c r="I172" s="135" t="s">
        <v>646</v>
      </c>
      <c r="J172" s="136">
        <v>2</v>
      </c>
      <c r="K172" s="137">
        <v>2</v>
      </c>
      <c r="L172" s="138">
        <v>10</v>
      </c>
      <c r="M172" s="132">
        <f t="shared" si="31"/>
        <v>1</v>
      </c>
      <c r="N172" s="139" t="s">
        <v>36</v>
      </c>
      <c r="O172" s="140" t="str">
        <f>IF(ISBLANK(N172),"",VLOOKUP(N172,[11]Parámetros!$G$2:$H$23,2,FALSE))</f>
        <v xml:space="preserve">Contratación directa (con ofertas) </v>
      </c>
      <c r="P172" s="141">
        <f t="shared" si="38"/>
        <v>1</v>
      </c>
      <c r="Q172" s="142">
        <f t="shared" si="32"/>
        <v>130000000</v>
      </c>
      <c r="R172" s="142">
        <f t="shared" si="33"/>
        <v>130000000</v>
      </c>
      <c r="S172" s="143" t="s">
        <v>223</v>
      </c>
      <c r="T172" s="139">
        <f t="shared" si="39"/>
        <v>0</v>
      </c>
      <c r="U172" s="48" t="str">
        <f t="shared" si="34"/>
        <v>SUBDIRECCION DE GESTION CONTRACTUAL</v>
      </c>
      <c r="V172" s="132" t="str">
        <f t="shared" si="40"/>
        <v>CO-DC</v>
      </c>
      <c r="W172" s="48" t="str">
        <f t="shared" si="41"/>
        <v>Distrito Capital de Bogotá</v>
      </c>
      <c r="X172" s="144" t="s">
        <v>331</v>
      </c>
      <c r="Y172" s="132">
        <v>2427400</v>
      </c>
      <c r="Z172" s="146" t="s">
        <v>94</v>
      </c>
    </row>
    <row r="173" spans="1:26" s="10" customFormat="1" ht="12.75" customHeight="1" x14ac:dyDescent="0.2">
      <c r="A173" s="131" t="s">
        <v>84</v>
      </c>
      <c r="B173" s="132">
        <f t="shared" si="37"/>
        <v>16</v>
      </c>
      <c r="C173" s="133" t="s">
        <v>363</v>
      </c>
      <c r="D173" s="133" t="s">
        <v>364</v>
      </c>
      <c r="E173" s="129"/>
      <c r="F173" s="129">
        <v>1841153635.2</v>
      </c>
      <c r="G173" s="129"/>
      <c r="H173" s="134">
        <v>80111600</v>
      </c>
      <c r="I173" s="135" t="s">
        <v>353</v>
      </c>
      <c r="J173" s="136">
        <v>1</v>
      </c>
      <c r="K173" s="137">
        <v>1</v>
      </c>
      <c r="L173" s="138">
        <v>12</v>
      </c>
      <c r="M173" s="132">
        <f t="shared" si="31"/>
        <v>1</v>
      </c>
      <c r="N173" s="139" t="s">
        <v>216</v>
      </c>
      <c r="O173" s="140" t="str">
        <f>IF(ISBLANK(N173),"",VLOOKUP(N173,[11]Parámetros!$G$2:$H$23,2,FALSE))</f>
        <v>Contratación directa.</v>
      </c>
      <c r="P173" s="141">
        <f t="shared" si="38"/>
        <v>1</v>
      </c>
      <c r="Q173" s="142">
        <f t="shared" si="32"/>
        <v>1841153635.2</v>
      </c>
      <c r="R173" s="142">
        <f t="shared" si="33"/>
        <v>1841153635.2</v>
      </c>
      <c r="S173" s="143" t="s">
        <v>223</v>
      </c>
      <c r="T173" s="139">
        <f t="shared" si="39"/>
        <v>0</v>
      </c>
      <c r="U173" s="48" t="str">
        <f t="shared" si="34"/>
        <v>SUBDIRECCION DE GESTION CONTRACTUAL</v>
      </c>
      <c r="V173" s="132" t="str">
        <f t="shared" si="40"/>
        <v>CO-DC</v>
      </c>
      <c r="W173" s="48" t="str">
        <f t="shared" si="41"/>
        <v>Distrito Capital de Bogotá</v>
      </c>
      <c r="X173" s="144" t="s">
        <v>671</v>
      </c>
      <c r="Y173" s="132">
        <v>2427400</v>
      </c>
      <c r="Z173" s="146" t="s">
        <v>87</v>
      </c>
    </row>
    <row r="174" spans="1:26" s="10" customFormat="1" ht="12.75" customHeight="1" x14ac:dyDescent="0.2">
      <c r="A174" s="131" t="s">
        <v>84</v>
      </c>
      <c r="B174" s="132">
        <f t="shared" si="37"/>
        <v>17</v>
      </c>
      <c r="C174" s="133" t="s">
        <v>363</v>
      </c>
      <c r="D174" s="133" t="s">
        <v>364</v>
      </c>
      <c r="E174" s="129"/>
      <c r="F174" s="129">
        <v>189000000</v>
      </c>
      <c r="G174" s="129"/>
      <c r="H174" s="134" t="s">
        <v>42</v>
      </c>
      <c r="I174" s="135" t="s">
        <v>357</v>
      </c>
      <c r="J174" s="136">
        <v>3</v>
      </c>
      <c r="K174" s="137">
        <v>4</v>
      </c>
      <c r="L174" s="138">
        <v>9</v>
      </c>
      <c r="M174" s="132">
        <f t="shared" si="31"/>
        <v>1</v>
      </c>
      <c r="N174" s="139" t="s">
        <v>61</v>
      </c>
      <c r="O174" s="140" t="str">
        <f>IF(ISBLANK(N174),"",VLOOKUP(N174,[11]Parámetros!$G$2:$H$23,2,FALSE))</f>
        <v>Contratación régimen especial - Selección de comisionista</v>
      </c>
      <c r="P174" s="141">
        <f t="shared" si="38"/>
        <v>1</v>
      </c>
      <c r="Q174" s="142">
        <f t="shared" si="32"/>
        <v>189000000</v>
      </c>
      <c r="R174" s="142">
        <f t="shared" si="33"/>
        <v>189000000</v>
      </c>
      <c r="S174" s="143" t="s">
        <v>223</v>
      </c>
      <c r="T174" s="139">
        <f t="shared" si="39"/>
        <v>0</v>
      </c>
      <c r="U174" s="48" t="str">
        <f t="shared" si="34"/>
        <v>SUBDIRECCION DE GESTION CONTRACTUAL</v>
      </c>
      <c r="V174" s="132" t="str">
        <f t="shared" si="40"/>
        <v>CO-DC</v>
      </c>
      <c r="W174" s="48" t="str">
        <f t="shared" si="41"/>
        <v>Distrito Capital de Bogotá</v>
      </c>
      <c r="X174" s="144" t="s">
        <v>358</v>
      </c>
      <c r="Y174" s="132">
        <v>2427400</v>
      </c>
      <c r="Z174" s="146" t="s">
        <v>75</v>
      </c>
    </row>
    <row r="175" spans="1:26" s="10" customFormat="1" ht="12.75" customHeight="1" x14ac:dyDescent="0.2">
      <c r="A175" s="131" t="s">
        <v>84</v>
      </c>
      <c r="B175" s="132">
        <f t="shared" si="37"/>
        <v>18</v>
      </c>
      <c r="C175" s="133" t="s">
        <v>363</v>
      </c>
      <c r="D175" s="133" t="s">
        <v>364</v>
      </c>
      <c r="E175" s="129"/>
      <c r="F175" s="286">
        <f>6579163981+198202843</f>
        <v>6777366824</v>
      </c>
      <c r="G175" s="129"/>
      <c r="H175" s="134" t="s">
        <v>795</v>
      </c>
      <c r="I175" s="135" t="s">
        <v>356</v>
      </c>
      <c r="J175" s="136">
        <v>2</v>
      </c>
      <c r="K175" s="137">
        <v>3</v>
      </c>
      <c r="L175" s="138">
        <v>9</v>
      </c>
      <c r="M175" s="132">
        <f t="shared" si="31"/>
        <v>1</v>
      </c>
      <c r="N175" s="139" t="s">
        <v>233</v>
      </c>
      <c r="O175" s="140" t="str">
        <f>IF(ISBLANK(N175),"",VLOOKUP(N175,[11]Parámetros!$G$2:$H$23,2,FALSE))</f>
        <v>Licitación pública</v>
      </c>
      <c r="P175" s="141">
        <f t="shared" si="38"/>
        <v>1</v>
      </c>
      <c r="Q175" s="142">
        <f t="shared" si="32"/>
        <v>6777366824</v>
      </c>
      <c r="R175" s="142">
        <f t="shared" si="33"/>
        <v>6777366824</v>
      </c>
      <c r="S175" s="143" t="s">
        <v>223</v>
      </c>
      <c r="T175" s="139">
        <f t="shared" si="39"/>
        <v>0</v>
      </c>
      <c r="U175" s="48" t="str">
        <f t="shared" si="34"/>
        <v>SUBDIRECCION DE GESTION CONTRACTUAL</v>
      </c>
      <c r="V175" s="132" t="str">
        <f t="shared" si="40"/>
        <v>CO-DC</v>
      </c>
      <c r="W175" s="48" t="str">
        <f t="shared" si="41"/>
        <v>Distrito Capital de Bogotá</v>
      </c>
      <c r="X175" s="144" t="s">
        <v>671</v>
      </c>
      <c r="Y175" s="132">
        <v>2427400</v>
      </c>
      <c r="Z175" s="146" t="s">
        <v>87</v>
      </c>
    </row>
    <row r="176" spans="1:26" s="10" customFormat="1" ht="12.75" customHeight="1" x14ac:dyDescent="0.2">
      <c r="A176" s="131" t="s">
        <v>84</v>
      </c>
      <c r="B176" s="132">
        <f t="shared" si="37"/>
        <v>19</v>
      </c>
      <c r="C176" s="133" t="s">
        <v>363</v>
      </c>
      <c r="D176" s="133" t="s">
        <v>364</v>
      </c>
      <c r="E176" s="129"/>
      <c r="F176" s="129">
        <v>2440000000</v>
      </c>
      <c r="G176" s="129"/>
      <c r="H176" s="134" t="s">
        <v>92</v>
      </c>
      <c r="I176" s="135" t="s">
        <v>361</v>
      </c>
      <c r="J176" s="136">
        <v>2</v>
      </c>
      <c r="K176" s="137">
        <v>5</v>
      </c>
      <c r="L176" s="138">
        <v>8</v>
      </c>
      <c r="M176" s="132">
        <f t="shared" si="31"/>
        <v>1</v>
      </c>
      <c r="N176" s="139" t="s">
        <v>36</v>
      </c>
      <c r="O176" s="140" t="str">
        <f>IF(ISBLANK(N176),"",VLOOKUP(N176,[11]Parámetros!$G$2:$H$23,2,FALSE))</f>
        <v xml:space="preserve">Contratación directa (con ofertas) </v>
      </c>
      <c r="P176" s="141">
        <f t="shared" si="38"/>
        <v>1</v>
      </c>
      <c r="Q176" s="142">
        <f t="shared" si="32"/>
        <v>2440000000</v>
      </c>
      <c r="R176" s="142">
        <f t="shared" si="33"/>
        <v>2440000000</v>
      </c>
      <c r="S176" s="143" t="s">
        <v>223</v>
      </c>
      <c r="T176" s="139">
        <f t="shared" si="39"/>
        <v>0</v>
      </c>
      <c r="U176" s="48" t="str">
        <f t="shared" si="34"/>
        <v>SUBDIRECCION DE GESTION CONTRACTUAL</v>
      </c>
      <c r="V176" s="132" t="str">
        <f t="shared" si="40"/>
        <v>CO-DC</v>
      </c>
      <c r="W176" s="48" t="str">
        <f t="shared" si="41"/>
        <v>Distrito Capital de Bogotá</v>
      </c>
      <c r="X176" s="144" t="s">
        <v>671</v>
      </c>
      <c r="Y176" s="132">
        <v>2427400</v>
      </c>
      <c r="Z176" s="146" t="s">
        <v>87</v>
      </c>
    </row>
    <row r="177" spans="1:26" s="10" customFormat="1" ht="12.75" customHeight="1" x14ac:dyDescent="0.2">
      <c r="A177" s="131" t="s">
        <v>84</v>
      </c>
      <c r="B177" s="132">
        <f t="shared" si="37"/>
        <v>20</v>
      </c>
      <c r="C177" s="133" t="s">
        <v>363</v>
      </c>
      <c r="D177" s="133" t="s">
        <v>364</v>
      </c>
      <c r="E177" s="129"/>
      <c r="F177" s="129">
        <v>330630000</v>
      </c>
      <c r="G177" s="129"/>
      <c r="H177" s="134" t="s">
        <v>92</v>
      </c>
      <c r="I177" s="291" t="s">
        <v>865</v>
      </c>
      <c r="J177" s="136">
        <v>3</v>
      </c>
      <c r="K177" s="137">
        <v>4</v>
      </c>
      <c r="L177" s="138">
        <v>9</v>
      </c>
      <c r="M177" s="132">
        <f t="shared" si="31"/>
        <v>1</v>
      </c>
      <c r="N177" s="139" t="s">
        <v>36</v>
      </c>
      <c r="O177" s="140" t="str">
        <f>IF(ISBLANK(N177),"",VLOOKUP(N177,[11]Parámetros!$G$2:$H$23,2,FALSE))</f>
        <v xml:space="preserve">Contratación directa (con ofertas) </v>
      </c>
      <c r="P177" s="141">
        <f t="shared" si="38"/>
        <v>1</v>
      </c>
      <c r="Q177" s="142">
        <f t="shared" si="32"/>
        <v>330630000</v>
      </c>
      <c r="R177" s="142">
        <f t="shared" si="33"/>
        <v>330630000</v>
      </c>
      <c r="S177" s="143" t="s">
        <v>223</v>
      </c>
      <c r="T177" s="139">
        <f t="shared" si="39"/>
        <v>0</v>
      </c>
      <c r="U177" s="48" t="str">
        <f t="shared" si="34"/>
        <v>SUBDIRECCION DE GESTION CONTRACTUAL</v>
      </c>
      <c r="V177" s="132" t="str">
        <f t="shared" si="40"/>
        <v>CO-DC</v>
      </c>
      <c r="W177" s="48" t="str">
        <f t="shared" si="41"/>
        <v>Distrito Capital de Bogotá</v>
      </c>
      <c r="X177" s="144" t="s">
        <v>671</v>
      </c>
      <c r="Y177" s="132">
        <v>2427400</v>
      </c>
      <c r="Z177" s="146" t="s">
        <v>87</v>
      </c>
    </row>
    <row r="178" spans="1:26" s="10" customFormat="1" ht="12.75" customHeight="1" x14ac:dyDescent="0.2">
      <c r="A178" s="131" t="s">
        <v>84</v>
      </c>
      <c r="B178" s="132">
        <f t="shared" si="37"/>
        <v>21</v>
      </c>
      <c r="C178" s="133" t="s">
        <v>363</v>
      </c>
      <c r="D178" s="133" t="s">
        <v>364</v>
      </c>
      <c r="E178" s="129"/>
      <c r="F178" s="129">
        <v>264504000</v>
      </c>
      <c r="G178" s="129"/>
      <c r="H178" s="134" t="s">
        <v>359</v>
      </c>
      <c r="I178" s="135" t="s">
        <v>360</v>
      </c>
      <c r="J178" s="136">
        <v>3</v>
      </c>
      <c r="K178" s="137">
        <v>4</v>
      </c>
      <c r="L178" s="138">
        <v>9</v>
      </c>
      <c r="M178" s="132">
        <f t="shared" si="31"/>
        <v>1</v>
      </c>
      <c r="N178" s="139" t="s">
        <v>36</v>
      </c>
      <c r="O178" s="140" t="str">
        <f>IF(ISBLANK(N178),"",VLOOKUP(N178,[11]Parámetros!$G$2:$H$23,2,FALSE))</f>
        <v xml:space="preserve">Contratación directa (con ofertas) </v>
      </c>
      <c r="P178" s="141">
        <f t="shared" si="38"/>
        <v>1</v>
      </c>
      <c r="Q178" s="142">
        <f t="shared" si="32"/>
        <v>264504000</v>
      </c>
      <c r="R178" s="142">
        <f t="shared" si="33"/>
        <v>264504000</v>
      </c>
      <c r="S178" s="143" t="s">
        <v>223</v>
      </c>
      <c r="T178" s="139">
        <f t="shared" si="39"/>
        <v>0</v>
      </c>
      <c r="U178" s="48" t="str">
        <f t="shared" si="34"/>
        <v>SUBDIRECCION DE GESTION CONTRACTUAL</v>
      </c>
      <c r="V178" s="132" t="str">
        <f t="shared" si="40"/>
        <v>CO-DC</v>
      </c>
      <c r="W178" s="48" t="str">
        <f t="shared" si="41"/>
        <v>Distrito Capital de Bogotá</v>
      </c>
      <c r="X178" s="144" t="s">
        <v>671</v>
      </c>
      <c r="Y178" s="132">
        <v>2427400</v>
      </c>
      <c r="Z178" s="146" t="s">
        <v>87</v>
      </c>
    </row>
    <row r="179" spans="1:26" s="10" customFormat="1" ht="12.75" customHeight="1" x14ac:dyDescent="0.2">
      <c r="A179" s="131" t="s">
        <v>84</v>
      </c>
      <c r="B179" s="132">
        <f t="shared" si="37"/>
        <v>22</v>
      </c>
      <c r="C179" s="133" t="s">
        <v>365</v>
      </c>
      <c r="D179" s="133" t="s">
        <v>366</v>
      </c>
      <c r="E179" s="129"/>
      <c r="F179" s="129">
        <v>1388265011.8870001</v>
      </c>
      <c r="G179" s="129"/>
      <c r="H179" s="134">
        <v>80111600</v>
      </c>
      <c r="I179" s="135" t="s">
        <v>353</v>
      </c>
      <c r="J179" s="136">
        <v>1</v>
      </c>
      <c r="K179" s="137">
        <v>1</v>
      </c>
      <c r="L179" s="138">
        <v>12</v>
      </c>
      <c r="M179" s="132">
        <f t="shared" si="31"/>
        <v>1</v>
      </c>
      <c r="N179" s="139" t="s">
        <v>216</v>
      </c>
      <c r="O179" s="140" t="str">
        <f>IF(ISBLANK(N179),"",VLOOKUP(N179,[11]Parámetros!$G$2:$H$23,2,FALSE))</f>
        <v>Contratación directa.</v>
      </c>
      <c r="P179" s="141">
        <f t="shared" si="38"/>
        <v>1</v>
      </c>
      <c r="Q179" s="142">
        <f t="shared" si="32"/>
        <v>1388265011.8870001</v>
      </c>
      <c r="R179" s="142">
        <f t="shared" si="33"/>
        <v>1388265011.8870001</v>
      </c>
      <c r="S179" s="143" t="s">
        <v>223</v>
      </c>
      <c r="T179" s="139">
        <f t="shared" si="39"/>
        <v>0</v>
      </c>
      <c r="U179" s="48" t="str">
        <f t="shared" si="34"/>
        <v>SUBDIRECCION DE GESTION CONTRACTUAL</v>
      </c>
      <c r="V179" s="132" t="str">
        <f t="shared" si="40"/>
        <v>CO-DC</v>
      </c>
      <c r="W179" s="48" t="str">
        <f t="shared" si="41"/>
        <v>Distrito Capital de Bogotá</v>
      </c>
      <c r="X179" s="144" t="s">
        <v>671</v>
      </c>
      <c r="Y179" s="132">
        <v>2427400</v>
      </c>
      <c r="Z179" s="146" t="s">
        <v>87</v>
      </c>
    </row>
    <row r="180" spans="1:26" s="10" customFormat="1" ht="12.75" customHeight="1" x14ac:dyDescent="0.2">
      <c r="A180" s="131" t="s">
        <v>84</v>
      </c>
      <c r="B180" s="132">
        <f t="shared" si="37"/>
        <v>23</v>
      </c>
      <c r="C180" s="133" t="s">
        <v>365</v>
      </c>
      <c r="D180" s="133" t="s">
        <v>366</v>
      </c>
      <c r="E180" s="129"/>
      <c r="F180" s="129">
        <v>155520000</v>
      </c>
      <c r="G180" s="129"/>
      <c r="H180" s="134" t="s">
        <v>42</v>
      </c>
      <c r="I180" s="135" t="s">
        <v>357</v>
      </c>
      <c r="J180" s="136">
        <v>3</v>
      </c>
      <c r="K180" s="137">
        <v>4</v>
      </c>
      <c r="L180" s="138">
        <v>9</v>
      </c>
      <c r="M180" s="132">
        <f t="shared" si="31"/>
        <v>1</v>
      </c>
      <c r="N180" s="139" t="s">
        <v>61</v>
      </c>
      <c r="O180" s="140" t="str">
        <f>IF(ISBLANK(N180),"",VLOOKUP(N180,[11]Parámetros!$G$2:$H$23,2,FALSE))</f>
        <v>Contratación régimen especial - Selección de comisionista</v>
      </c>
      <c r="P180" s="141">
        <f t="shared" si="38"/>
        <v>1</v>
      </c>
      <c r="Q180" s="142">
        <f t="shared" si="32"/>
        <v>155520000</v>
      </c>
      <c r="R180" s="142">
        <f t="shared" si="33"/>
        <v>155520000</v>
      </c>
      <c r="S180" s="143" t="s">
        <v>223</v>
      </c>
      <c r="T180" s="139">
        <f t="shared" si="39"/>
        <v>0</v>
      </c>
      <c r="U180" s="48" t="str">
        <f t="shared" si="34"/>
        <v>SUBDIRECCION DE GESTION CONTRACTUAL</v>
      </c>
      <c r="V180" s="132" t="str">
        <f t="shared" si="40"/>
        <v>CO-DC</v>
      </c>
      <c r="W180" s="48" t="str">
        <f t="shared" si="41"/>
        <v>Distrito Capital de Bogotá</v>
      </c>
      <c r="X180" s="144" t="s">
        <v>358</v>
      </c>
      <c r="Y180" s="132">
        <v>2427400</v>
      </c>
      <c r="Z180" s="146" t="s">
        <v>75</v>
      </c>
    </row>
    <row r="181" spans="1:26" s="10" customFormat="1" ht="12.75" customHeight="1" x14ac:dyDescent="0.2">
      <c r="A181" s="131" t="s">
        <v>84</v>
      </c>
      <c r="B181" s="132">
        <f t="shared" si="37"/>
        <v>24</v>
      </c>
      <c r="C181" s="133" t="s">
        <v>365</v>
      </c>
      <c r="D181" s="133" t="s">
        <v>366</v>
      </c>
      <c r="E181" s="129"/>
      <c r="F181" s="286">
        <f>510000000+80000000</f>
        <v>590000000</v>
      </c>
      <c r="G181" s="129"/>
      <c r="H181" s="134" t="s">
        <v>795</v>
      </c>
      <c r="I181" s="135" t="s">
        <v>356</v>
      </c>
      <c r="J181" s="136">
        <v>2</v>
      </c>
      <c r="K181" s="137">
        <v>3</v>
      </c>
      <c r="L181" s="138">
        <v>9</v>
      </c>
      <c r="M181" s="132">
        <f t="shared" si="31"/>
        <v>1</v>
      </c>
      <c r="N181" s="139" t="s">
        <v>233</v>
      </c>
      <c r="O181" s="140" t="str">
        <f>IF(ISBLANK(N181),"",VLOOKUP(N181,[11]Parámetros!$G$2:$H$23,2,FALSE))</f>
        <v>Licitación pública</v>
      </c>
      <c r="P181" s="141">
        <f t="shared" si="38"/>
        <v>1</v>
      </c>
      <c r="Q181" s="142">
        <f t="shared" si="32"/>
        <v>590000000</v>
      </c>
      <c r="R181" s="142">
        <f t="shared" si="33"/>
        <v>590000000</v>
      </c>
      <c r="S181" s="143" t="s">
        <v>223</v>
      </c>
      <c r="T181" s="139">
        <f t="shared" si="39"/>
        <v>0</v>
      </c>
      <c r="U181" s="48" t="str">
        <f t="shared" si="34"/>
        <v>SUBDIRECCION DE GESTION CONTRACTUAL</v>
      </c>
      <c r="V181" s="132" t="str">
        <f t="shared" si="40"/>
        <v>CO-DC</v>
      </c>
      <c r="W181" s="48" t="str">
        <f t="shared" si="41"/>
        <v>Distrito Capital de Bogotá</v>
      </c>
      <c r="X181" s="144" t="s">
        <v>671</v>
      </c>
      <c r="Y181" s="132">
        <v>2427400</v>
      </c>
      <c r="Z181" s="146" t="s">
        <v>87</v>
      </c>
    </row>
    <row r="182" spans="1:26" s="10" customFormat="1" ht="12.75" customHeight="1" x14ac:dyDescent="0.2">
      <c r="A182" s="131" t="s">
        <v>84</v>
      </c>
      <c r="B182" s="132">
        <f t="shared" si="37"/>
        <v>25</v>
      </c>
      <c r="C182" s="133" t="s">
        <v>365</v>
      </c>
      <c r="D182" s="133" t="s">
        <v>366</v>
      </c>
      <c r="E182" s="129"/>
      <c r="F182" s="129">
        <v>2070778427.1299996</v>
      </c>
      <c r="G182" s="129"/>
      <c r="H182" s="134" t="s">
        <v>92</v>
      </c>
      <c r="I182" s="135" t="s">
        <v>361</v>
      </c>
      <c r="J182" s="136">
        <v>2</v>
      </c>
      <c r="K182" s="137">
        <v>5</v>
      </c>
      <c r="L182" s="138">
        <v>8</v>
      </c>
      <c r="M182" s="132">
        <f t="shared" si="31"/>
        <v>1</v>
      </c>
      <c r="N182" s="139" t="s">
        <v>36</v>
      </c>
      <c r="O182" s="140" t="str">
        <f>IF(ISBLANK(N182),"",VLOOKUP(N182,[11]Parámetros!$G$2:$H$23,2,FALSE))</f>
        <v xml:space="preserve">Contratación directa (con ofertas) </v>
      </c>
      <c r="P182" s="141">
        <f t="shared" si="38"/>
        <v>1</v>
      </c>
      <c r="Q182" s="142">
        <f t="shared" si="32"/>
        <v>2070778427.1299996</v>
      </c>
      <c r="R182" s="142">
        <f t="shared" si="33"/>
        <v>2070778427.1299996</v>
      </c>
      <c r="S182" s="143" t="s">
        <v>223</v>
      </c>
      <c r="T182" s="139">
        <f t="shared" si="39"/>
        <v>0</v>
      </c>
      <c r="U182" s="48" t="str">
        <f t="shared" si="34"/>
        <v>SUBDIRECCION DE GESTION CONTRACTUAL</v>
      </c>
      <c r="V182" s="132" t="str">
        <f t="shared" si="40"/>
        <v>CO-DC</v>
      </c>
      <c r="W182" s="48" t="str">
        <f t="shared" si="41"/>
        <v>Distrito Capital de Bogotá</v>
      </c>
      <c r="X182" s="144" t="s">
        <v>671</v>
      </c>
      <c r="Y182" s="132">
        <v>2427400</v>
      </c>
      <c r="Z182" s="146" t="s">
        <v>87</v>
      </c>
    </row>
    <row r="183" spans="1:26" s="10" customFormat="1" ht="12.75" customHeight="1" x14ac:dyDescent="0.2">
      <c r="A183" s="131" t="s">
        <v>84</v>
      </c>
      <c r="B183" s="132">
        <f t="shared" si="37"/>
        <v>26</v>
      </c>
      <c r="C183" s="133" t="s">
        <v>367</v>
      </c>
      <c r="D183" s="133" t="s">
        <v>368</v>
      </c>
      <c r="E183" s="129"/>
      <c r="F183" s="129">
        <v>928459073.99864995</v>
      </c>
      <c r="G183" s="129"/>
      <c r="H183" s="134">
        <v>80111600</v>
      </c>
      <c r="I183" s="135" t="s">
        <v>353</v>
      </c>
      <c r="J183" s="136">
        <v>1</v>
      </c>
      <c r="K183" s="137">
        <v>1</v>
      </c>
      <c r="L183" s="138">
        <v>12</v>
      </c>
      <c r="M183" s="132">
        <f t="shared" si="31"/>
        <v>1</v>
      </c>
      <c r="N183" s="139" t="s">
        <v>216</v>
      </c>
      <c r="O183" s="140" t="str">
        <f>IF(ISBLANK(N183),"",VLOOKUP(N183,[11]Parámetros!$G$2:$H$23,2,FALSE))</f>
        <v>Contratación directa.</v>
      </c>
      <c r="P183" s="141">
        <f t="shared" si="38"/>
        <v>1</v>
      </c>
      <c r="Q183" s="142">
        <f t="shared" si="32"/>
        <v>928459073.99864995</v>
      </c>
      <c r="R183" s="142">
        <f t="shared" si="33"/>
        <v>928459073.99864995</v>
      </c>
      <c r="S183" s="143" t="s">
        <v>223</v>
      </c>
      <c r="T183" s="139">
        <f t="shared" si="39"/>
        <v>0</v>
      </c>
      <c r="U183" s="48" t="str">
        <f t="shared" si="34"/>
        <v>SUBDIRECCION DE GESTION CONTRACTUAL</v>
      </c>
      <c r="V183" s="132" t="str">
        <f t="shared" si="40"/>
        <v>CO-DC</v>
      </c>
      <c r="W183" s="48" t="str">
        <f t="shared" si="41"/>
        <v>Distrito Capital de Bogotá</v>
      </c>
      <c r="X183" s="144" t="s">
        <v>671</v>
      </c>
      <c r="Y183" s="132">
        <v>2427400</v>
      </c>
      <c r="Z183" s="146" t="s">
        <v>87</v>
      </c>
    </row>
    <row r="184" spans="1:26" s="10" customFormat="1" ht="12.75" customHeight="1" x14ac:dyDescent="0.2">
      <c r="A184" s="131" t="s">
        <v>84</v>
      </c>
      <c r="B184" s="132">
        <f t="shared" si="37"/>
        <v>27</v>
      </c>
      <c r="C184" s="133" t="s">
        <v>369</v>
      </c>
      <c r="D184" s="133" t="s">
        <v>368</v>
      </c>
      <c r="E184" s="129"/>
      <c r="F184" s="129">
        <v>460662816.76789999</v>
      </c>
      <c r="G184" s="129"/>
      <c r="H184" s="134">
        <v>80111600</v>
      </c>
      <c r="I184" s="135" t="s">
        <v>353</v>
      </c>
      <c r="J184" s="136">
        <v>1</v>
      </c>
      <c r="K184" s="137">
        <v>1</v>
      </c>
      <c r="L184" s="138">
        <v>12</v>
      </c>
      <c r="M184" s="132">
        <f t="shared" si="31"/>
        <v>1</v>
      </c>
      <c r="N184" s="139" t="s">
        <v>216</v>
      </c>
      <c r="O184" s="140" t="str">
        <f>IF(ISBLANK(N184),"",VLOOKUP(N184,[11]Parámetros!$G$2:$H$23,2,FALSE))</f>
        <v>Contratación directa.</v>
      </c>
      <c r="P184" s="141">
        <f t="shared" si="38"/>
        <v>1</v>
      </c>
      <c r="Q184" s="142">
        <f t="shared" si="32"/>
        <v>460662816.76789999</v>
      </c>
      <c r="R184" s="142">
        <f t="shared" si="33"/>
        <v>460662816.76789999</v>
      </c>
      <c r="S184" s="143" t="s">
        <v>223</v>
      </c>
      <c r="T184" s="139">
        <f t="shared" si="39"/>
        <v>0</v>
      </c>
      <c r="U184" s="48" t="str">
        <f t="shared" si="34"/>
        <v>SUBDIRECCION DE GESTION CONTRACTUAL</v>
      </c>
      <c r="V184" s="132" t="str">
        <f t="shared" si="40"/>
        <v>CO-DC</v>
      </c>
      <c r="W184" s="48" t="str">
        <f t="shared" si="41"/>
        <v>Distrito Capital de Bogotá</v>
      </c>
      <c r="X184" s="144" t="s">
        <v>671</v>
      </c>
      <c r="Y184" s="132">
        <v>2427400</v>
      </c>
      <c r="Z184" s="146" t="s">
        <v>87</v>
      </c>
    </row>
    <row r="185" spans="1:26" s="10" customFormat="1" ht="12.75" customHeight="1" x14ac:dyDescent="0.2">
      <c r="A185" s="131" t="s">
        <v>84</v>
      </c>
      <c r="B185" s="132">
        <f t="shared" si="37"/>
        <v>28</v>
      </c>
      <c r="C185" s="133" t="s">
        <v>367</v>
      </c>
      <c r="D185" s="133" t="s">
        <v>368</v>
      </c>
      <c r="E185" s="129"/>
      <c r="F185" s="129">
        <v>158400000</v>
      </c>
      <c r="G185" s="129"/>
      <c r="H185" s="134" t="s">
        <v>42</v>
      </c>
      <c r="I185" s="135" t="s">
        <v>357</v>
      </c>
      <c r="J185" s="136">
        <v>3</v>
      </c>
      <c r="K185" s="137">
        <v>4</v>
      </c>
      <c r="L185" s="138">
        <v>9</v>
      </c>
      <c r="M185" s="132">
        <f t="shared" si="31"/>
        <v>1</v>
      </c>
      <c r="N185" s="139" t="s">
        <v>61</v>
      </c>
      <c r="O185" s="140" t="str">
        <f>IF(ISBLANK(N185),"",VLOOKUP(N185,[11]Parámetros!$G$2:$H$23,2,FALSE))</f>
        <v>Contratación régimen especial - Selección de comisionista</v>
      </c>
      <c r="P185" s="141">
        <f t="shared" si="38"/>
        <v>1</v>
      </c>
      <c r="Q185" s="142">
        <f t="shared" si="32"/>
        <v>158400000</v>
      </c>
      <c r="R185" s="142">
        <f t="shared" si="33"/>
        <v>158400000</v>
      </c>
      <c r="S185" s="143" t="s">
        <v>223</v>
      </c>
      <c r="T185" s="139">
        <f t="shared" si="39"/>
        <v>0</v>
      </c>
      <c r="U185" s="48" t="str">
        <f t="shared" si="34"/>
        <v>SUBDIRECCION DE GESTION CONTRACTUAL</v>
      </c>
      <c r="V185" s="132" t="str">
        <f t="shared" si="40"/>
        <v>CO-DC</v>
      </c>
      <c r="W185" s="48" t="str">
        <f t="shared" si="41"/>
        <v>Distrito Capital de Bogotá</v>
      </c>
      <c r="X185" s="144" t="s">
        <v>358</v>
      </c>
      <c r="Y185" s="132">
        <v>2427400</v>
      </c>
      <c r="Z185" s="146" t="s">
        <v>75</v>
      </c>
    </row>
    <row r="186" spans="1:26" s="10" customFormat="1" ht="12.75" customHeight="1" x14ac:dyDescent="0.2">
      <c r="A186" s="131" t="s">
        <v>84</v>
      </c>
      <c r="B186" s="132">
        <f t="shared" si="37"/>
        <v>29</v>
      </c>
      <c r="C186" s="133" t="s">
        <v>369</v>
      </c>
      <c r="D186" s="133" t="s">
        <v>368</v>
      </c>
      <c r="E186" s="129"/>
      <c r="F186" s="129">
        <v>60750000</v>
      </c>
      <c r="G186" s="129"/>
      <c r="H186" s="134" t="s">
        <v>42</v>
      </c>
      <c r="I186" s="135" t="s">
        <v>357</v>
      </c>
      <c r="J186" s="136">
        <v>3</v>
      </c>
      <c r="K186" s="137">
        <v>4</v>
      </c>
      <c r="L186" s="138">
        <v>9</v>
      </c>
      <c r="M186" s="132">
        <f t="shared" si="31"/>
        <v>1</v>
      </c>
      <c r="N186" s="139" t="s">
        <v>61</v>
      </c>
      <c r="O186" s="140" t="str">
        <f>IF(ISBLANK(N186),"",VLOOKUP(N186,[11]Parámetros!$G$2:$H$23,2,FALSE))</f>
        <v>Contratación régimen especial - Selección de comisionista</v>
      </c>
      <c r="P186" s="141">
        <f t="shared" si="38"/>
        <v>1</v>
      </c>
      <c r="Q186" s="142">
        <f t="shared" si="32"/>
        <v>60750000</v>
      </c>
      <c r="R186" s="142">
        <f t="shared" si="33"/>
        <v>60750000</v>
      </c>
      <c r="S186" s="143" t="s">
        <v>223</v>
      </c>
      <c r="T186" s="139">
        <f t="shared" si="39"/>
        <v>0</v>
      </c>
      <c r="U186" s="48" t="str">
        <f t="shared" si="34"/>
        <v>SUBDIRECCION DE GESTION CONTRACTUAL</v>
      </c>
      <c r="V186" s="132" t="str">
        <f t="shared" si="40"/>
        <v>CO-DC</v>
      </c>
      <c r="W186" s="48" t="str">
        <f t="shared" si="41"/>
        <v>Distrito Capital de Bogotá</v>
      </c>
      <c r="X186" s="144" t="s">
        <v>358</v>
      </c>
      <c r="Y186" s="132">
        <v>2427400</v>
      </c>
      <c r="Z186" s="146" t="s">
        <v>75</v>
      </c>
    </row>
    <row r="187" spans="1:26" s="10" customFormat="1" ht="12.75" customHeight="1" x14ac:dyDescent="0.2">
      <c r="A187" s="131" t="s">
        <v>84</v>
      </c>
      <c r="B187" s="132">
        <f t="shared" si="37"/>
        <v>30</v>
      </c>
      <c r="C187" s="133" t="s">
        <v>367</v>
      </c>
      <c r="D187" s="133" t="s">
        <v>368</v>
      </c>
      <c r="E187" s="129"/>
      <c r="F187" s="286">
        <f>1486268992+200000000</f>
        <v>1686268992</v>
      </c>
      <c r="G187" s="129"/>
      <c r="H187" s="134" t="s">
        <v>795</v>
      </c>
      <c r="I187" s="135" t="s">
        <v>356</v>
      </c>
      <c r="J187" s="136">
        <v>2</v>
      </c>
      <c r="K187" s="137">
        <v>3</v>
      </c>
      <c r="L187" s="138">
        <v>9</v>
      </c>
      <c r="M187" s="132">
        <f t="shared" si="31"/>
        <v>1</v>
      </c>
      <c r="N187" s="139" t="s">
        <v>233</v>
      </c>
      <c r="O187" s="140" t="str">
        <f>IF(ISBLANK(N187),"",VLOOKUP(N187,[11]Parámetros!$G$2:$H$23,2,FALSE))</f>
        <v>Licitación pública</v>
      </c>
      <c r="P187" s="141">
        <f t="shared" si="38"/>
        <v>1</v>
      </c>
      <c r="Q187" s="142">
        <f t="shared" si="32"/>
        <v>1686268992</v>
      </c>
      <c r="R187" s="142">
        <f t="shared" si="33"/>
        <v>1686268992</v>
      </c>
      <c r="S187" s="143" t="s">
        <v>223</v>
      </c>
      <c r="T187" s="139">
        <f t="shared" si="39"/>
        <v>0</v>
      </c>
      <c r="U187" s="48" t="str">
        <f t="shared" si="34"/>
        <v>SUBDIRECCION DE GESTION CONTRACTUAL</v>
      </c>
      <c r="V187" s="132" t="str">
        <f t="shared" si="40"/>
        <v>CO-DC</v>
      </c>
      <c r="W187" s="48" t="str">
        <f t="shared" si="41"/>
        <v>Distrito Capital de Bogotá</v>
      </c>
      <c r="X187" s="144" t="s">
        <v>671</v>
      </c>
      <c r="Y187" s="132">
        <v>2427400</v>
      </c>
      <c r="Z187" s="146" t="s">
        <v>87</v>
      </c>
    </row>
    <row r="188" spans="1:26" s="10" customFormat="1" ht="12.75" customHeight="1" x14ac:dyDescent="0.2">
      <c r="A188" s="131" t="s">
        <v>84</v>
      </c>
      <c r="B188" s="132">
        <f t="shared" si="37"/>
        <v>31</v>
      </c>
      <c r="C188" s="133" t="s">
        <v>369</v>
      </c>
      <c r="D188" s="133" t="s">
        <v>368</v>
      </c>
      <c r="E188" s="129"/>
      <c r="F188" s="286">
        <f>371000000+70000000</f>
        <v>441000000</v>
      </c>
      <c r="G188" s="129"/>
      <c r="H188" s="134" t="s">
        <v>795</v>
      </c>
      <c r="I188" s="135" t="s">
        <v>356</v>
      </c>
      <c r="J188" s="136">
        <v>2</v>
      </c>
      <c r="K188" s="137">
        <v>3</v>
      </c>
      <c r="L188" s="138">
        <v>9</v>
      </c>
      <c r="M188" s="132">
        <f t="shared" si="31"/>
        <v>1</v>
      </c>
      <c r="N188" s="139" t="s">
        <v>233</v>
      </c>
      <c r="O188" s="140" t="str">
        <f>IF(ISBLANK(N188),"",VLOOKUP(N188,[11]Parámetros!$G$2:$H$23,2,FALSE))</f>
        <v>Licitación pública</v>
      </c>
      <c r="P188" s="141">
        <f t="shared" si="38"/>
        <v>1</v>
      </c>
      <c r="Q188" s="142">
        <f t="shared" si="32"/>
        <v>441000000</v>
      </c>
      <c r="R188" s="142">
        <f t="shared" si="33"/>
        <v>441000000</v>
      </c>
      <c r="S188" s="143" t="s">
        <v>223</v>
      </c>
      <c r="T188" s="139">
        <f t="shared" si="39"/>
        <v>0</v>
      </c>
      <c r="U188" s="48" t="str">
        <f t="shared" si="34"/>
        <v>SUBDIRECCION DE GESTION CONTRACTUAL</v>
      </c>
      <c r="V188" s="132" t="str">
        <f t="shared" si="40"/>
        <v>CO-DC</v>
      </c>
      <c r="W188" s="48" t="str">
        <f t="shared" si="41"/>
        <v>Distrito Capital de Bogotá</v>
      </c>
      <c r="X188" s="144" t="s">
        <v>671</v>
      </c>
      <c r="Y188" s="132">
        <v>2427400</v>
      </c>
      <c r="Z188" s="146" t="s">
        <v>87</v>
      </c>
    </row>
    <row r="189" spans="1:26" s="10" customFormat="1" ht="12.75" customHeight="1" x14ac:dyDescent="0.2">
      <c r="A189" s="131" t="s">
        <v>84</v>
      </c>
      <c r="B189" s="132">
        <f t="shared" si="37"/>
        <v>32</v>
      </c>
      <c r="C189" s="133" t="s">
        <v>367</v>
      </c>
      <c r="D189" s="133" t="s">
        <v>368</v>
      </c>
      <c r="E189" s="129"/>
      <c r="F189" s="129">
        <v>494400000</v>
      </c>
      <c r="G189" s="129"/>
      <c r="H189" s="134" t="s">
        <v>359</v>
      </c>
      <c r="I189" s="135" t="s">
        <v>360</v>
      </c>
      <c r="J189" s="136">
        <v>3</v>
      </c>
      <c r="K189" s="137">
        <v>4</v>
      </c>
      <c r="L189" s="138">
        <v>9</v>
      </c>
      <c r="M189" s="132">
        <f t="shared" si="31"/>
        <v>1</v>
      </c>
      <c r="N189" s="139" t="s">
        <v>36</v>
      </c>
      <c r="O189" s="140" t="str">
        <f>IF(ISBLANK(N189),"",VLOOKUP(N189,[11]Parámetros!$G$2:$H$23,2,FALSE))</f>
        <v xml:space="preserve">Contratación directa (con ofertas) </v>
      </c>
      <c r="P189" s="141">
        <f t="shared" si="38"/>
        <v>1</v>
      </c>
      <c r="Q189" s="142">
        <f t="shared" si="32"/>
        <v>494400000</v>
      </c>
      <c r="R189" s="142">
        <f t="shared" si="33"/>
        <v>494400000</v>
      </c>
      <c r="S189" s="143" t="s">
        <v>223</v>
      </c>
      <c r="T189" s="139">
        <f t="shared" si="39"/>
        <v>0</v>
      </c>
      <c r="U189" s="48" t="str">
        <f t="shared" si="34"/>
        <v>SUBDIRECCION DE GESTION CONTRACTUAL</v>
      </c>
      <c r="V189" s="132" t="str">
        <f t="shared" si="40"/>
        <v>CO-DC</v>
      </c>
      <c r="W189" s="48" t="str">
        <f t="shared" si="41"/>
        <v>Distrito Capital de Bogotá</v>
      </c>
      <c r="X189" s="144" t="s">
        <v>671</v>
      </c>
      <c r="Y189" s="132">
        <v>2427400</v>
      </c>
      <c r="Z189" s="146" t="s">
        <v>87</v>
      </c>
    </row>
    <row r="190" spans="1:26" s="10" customFormat="1" ht="12.75" customHeight="1" x14ac:dyDescent="0.2">
      <c r="A190" s="131" t="s">
        <v>84</v>
      </c>
      <c r="B190" s="132">
        <f t="shared" si="37"/>
        <v>33</v>
      </c>
      <c r="C190" s="133" t="s">
        <v>367</v>
      </c>
      <c r="D190" s="133" t="s">
        <v>368</v>
      </c>
      <c r="E190" s="129"/>
      <c r="F190" s="129">
        <v>1610000000</v>
      </c>
      <c r="G190" s="129"/>
      <c r="H190" s="134" t="s">
        <v>92</v>
      </c>
      <c r="I190" s="135" t="s">
        <v>361</v>
      </c>
      <c r="J190" s="136">
        <v>2</v>
      </c>
      <c r="K190" s="137">
        <v>5</v>
      </c>
      <c r="L190" s="138">
        <v>8</v>
      </c>
      <c r="M190" s="132">
        <f t="shared" si="31"/>
        <v>1</v>
      </c>
      <c r="N190" s="139" t="s">
        <v>36</v>
      </c>
      <c r="O190" s="140" t="str">
        <f>IF(ISBLANK(N190),"",VLOOKUP(N190,[11]Parámetros!$G$2:$H$23,2,FALSE))</f>
        <v xml:space="preserve">Contratación directa (con ofertas) </v>
      </c>
      <c r="P190" s="141">
        <f t="shared" si="38"/>
        <v>1</v>
      </c>
      <c r="Q190" s="142">
        <f t="shared" si="32"/>
        <v>1610000000</v>
      </c>
      <c r="R190" s="142">
        <f t="shared" si="33"/>
        <v>1610000000</v>
      </c>
      <c r="S190" s="143" t="s">
        <v>223</v>
      </c>
      <c r="T190" s="139">
        <f t="shared" si="39"/>
        <v>0</v>
      </c>
      <c r="U190" s="48" t="str">
        <f t="shared" si="34"/>
        <v>SUBDIRECCION DE GESTION CONTRACTUAL</v>
      </c>
      <c r="V190" s="132" t="str">
        <f t="shared" si="40"/>
        <v>CO-DC</v>
      </c>
      <c r="W190" s="48" t="str">
        <f t="shared" si="41"/>
        <v>Distrito Capital de Bogotá</v>
      </c>
      <c r="X190" s="144" t="s">
        <v>671</v>
      </c>
      <c r="Y190" s="132">
        <v>2427400</v>
      </c>
      <c r="Z190" s="146" t="s">
        <v>87</v>
      </c>
    </row>
    <row r="191" spans="1:26" s="10" customFormat="1" ht="12.75" customHeight="1" x14ac:dyDescent="0.2">
      <c r="A191" s="131" t="s">
        <v>84</v>
      </c>
      <c r="B191" s="132">
        <f t="shared" si="37"/>
        <v>34</v>
      </c>
      <c r="C191" s="133" t="s">
        <v>369</v>
      </c>
      <c r="D191" s="133" t="s">
        <v>368</v>
      </c>
      <c r="E191" s="129"/>
      <c r="F191" s="129">
        <v>575000000</v>
      </c>
      <c r="G191" s="129"/>
      <c r="H191" s="134" t="s">
        <v>92</v>
      </c>
      <c r="I191" s="135" t="s">
        <v>361</v>
      </c>
      <c r="J191" s="136">
        <v>2</v>
      </c>
      <c r="K191" s="137">
        <v>5</v>
      </c>
      <c r="L191" s="138">
        <v>8</v>
      </c>
      <c r="M191" s="132">
        <f t="shared" si="31"/>
        <v>1</v>
      </c>
      <c r="N191" s="139" t="s">
        <v>36</v>
      </c>
      <c r="O191" s="140" t="str">
        <f>IF(ISBLANK(N191),"",VLOOKUP(N191,[11]Parámetros!$G$2:$H$23,2,FALSE))</f>
        <v xml:space="preserve">Contratación directa (con ofertas) </v>
      </c>
      <c r="P191" s="141">
        <f t="shared" si="38"/>
        <v>1</v>
      </c>
      <c r="Q191" s="142">
        <f t="shared" si="32"/>
        <v>575000000</v>
      </c>
      <c r="R191" s="142">
        <f t="shared" si="33"/>
        <v>575000000</v>
      </c>
      <c r="S191" s="143" t="s">
        <v>223</v>
      </c>
      <c r="T191" s="139">
        <f t="shared" si="39"/>
        <v>0</v>
      </c>
      <c r="U191" s="48" t="str">
        <f t="shared" si="34"/>
        <v>SUBDIRECCION DE GESTION CONTRACTUAL</v>
      </c>
      <c r="V191" s="132" t="str">
        <f t="shared" si="40"/>
        <v>CO-DC</v>
      </c>
      <c r="W191" s="48" t="str">
        <f t="shared" si="41"/>
        <v>Distrito Capital de Bogotá</v>
      </c>
      <c r="X191" s="144" t="s">
        <v>671</v>
      </c>
      <c r="Y191" s="132">
        <v>2427400</v>
      </c>
      <c r="Z191" s="146" t="s">
        <v>87</v>
      </c>
    </row>
    <row r="192" spans="1:26" s="10" customFormat="1" ht="12.75" customHeight="1" x14ac:dyDescent="0.2">
      <c r="A192" s="131" t="s">
        <v>84</v>
      </c>
      <c r="B192" s="132">
        <f t="shared" si="37"/>
        <v>35</v>
      </c>
      <c r="C192" s="133" t="s">
        <v>370</v>
      </c>
      <c r="D192" s="133" t="s">
        <v>371</v>
      </c>
      <c r="E192" s="129"/>
      <c r="F192" s="129">
        <v>1601373918</v>
      </c>
      <c r="G192" s="129"/>
      <c r="H192" s="134">
        <v>80111600</v>
      </c>
      <c r="I192" s="135" t="s">
        <v>353</v>
      </c>
      <c r="J192" s="136">
        <v>1</v>
      </c>
      <c r="K192" s="137">
        <v>1</v>
      </c>
      <c r="L192" s="138">
        <v>12</v>
      </c>
      <c r="M192" s="132">
        <f t="shared" si="31"/>
        <v>1</v>
      </c>
      <c r="N192" s="139" t="s">
        <v>216</v>
      </c>
      <c r="O192" s="140" t="str">
        <f>IF(ISBLANK(N192),"",VLOOKUP(N192,[11]Parámetros!$G$2:$H$23,2,FALSE))</f>
        <v>Contratación directa.</v>
      </c>
      <c r="P192" s="141">
        <f t="shared" si="38"/>
        <v>1</v>
      </c>
      <c r="Q192" s="142">
        <f t="shared" si="32"/>
        <v>1601373918</v>
      </c>
      <c r="R192" s="142">
        <f t="shared" si="33"/>
        <v>1601373918</v>
      </c>
      <c r="S192" s="143" t="s">
        <v>223</v>
      </c>
      <c r="T192" s="139">
        <f t="shared" si="39"/>
        <v>0</v>
      </c>
      <c r="U192" s="48" t="str">
        <f t="shared" si="34"/>
        <v>SUBDIRECCION DE GESTION CONTRACTUAL</v>
      </c>
      <c r="V192" s="132" t="str">
        <f t="shared" si="40"/>
        <v>CO-DC</v>
      </c>
      <c r="W192" s="48" t="str">
        <f t="shared" si="41"/>
        <v>Distrito Capital de Bogotá</v>
      </c>
      <c r="X192" s="144" t="s">
        <v>671</v>
      </c>
      <c r="Y192" s="132">
        <v>2427400</v>
      </c>
      <c r="Z192" s="146" t="s">
        <v>87</v>
      </c>
    </row>
    <row r="193" spans="1:26" s="10" customFormat="1" ht="12.75" customHeight="1" x14ac:dyDescent="0.2">
      <c r="A193" s="131" t="s">
        <v>84</v>
      </c>
      <c r="B193" s="132">
        <f t="shared" ref="B193:B227" si="42">+B192+1</f>
        <v>36</v>
      </c>
      <c r="C193" s="133" t="s">
        <v>370</v>
      </c>
      <c r="D193" s="133" t="s">
        <v>371</v>
      </c>
      <c r="E193" s="129"/>
      <c r="F193" s="286">
        <f>4656415718+329345102</f>
        <v>4985760820</v>
      </c>
      <c r="G193" s="129"/>
      <c r="H193" s="134" t="s">
        <v>795</v>
      </c>
      <c r="I193" s="135" t="s">
        <v>356</v>
      </c>
      <c r="J193" s="136">
        <v>2</v>
      </c>
      <c r="K193" s="137">
        <v>3</v>
      </c>
      <c r="L193" s="138">
        <v>9</v>
      </c>
      <c r="M193" s="132">
        <f t="shared" si="31"/>
        <v>1</v>
      </c>
      <c r="N193" s="139" t="s">
        <v>233</v>
      </c>
      <c r="O193" s="140" t="str">
        <f>IF(ISBLANK(N193),"",VLOOKUP(N193,[11]Parámetros!$G$2:$H$23,2,FALSE))</f>
        <v>Licitación pública</v>
      </c>
      <c r="P193" s="141">
        <f t="shared" si="38"/>
        <v>1</v>
      </c>
      <c r="Q193" s="142">
        <f t="shared" si="32"/>
        <v>4985760820</v>
      </c>
      <c r="R193" s="142">
        <f t="shared" si="33"/>
        <v>4985760820</v>
      </c>
      <c r="S193" s="143" t="s">
        <v>223</v>
      </c>
      <c r="T193" s="139">
        <f t="shared" si="39"/>
        <v>0</v>
      </c>
      <c r="U193" s="48" t="str">
        <f t="shared" si="34"/>
        <v>SUBDIRECCION DE GESTION CONTRACTUAL</v>
      </c>
      <c r="V193" s="132" t="str">
        <f t="shared" si="40"/>
        <v>CO-DC</v>
      </c>
      <c r="W193" s="48" t="str">
        <f t="shared" si="41"/>
        <v>Distrito Capital de Bogotá</v>
      </c>
      <c r="X193" s="144" t="s">
        <v>671</v>
      </c>
      <c r="Y193" s="132">
        <v>2427400</v>
      </c>
      <c r="Z193" s="146" t="s">
        <v>87</v>
      </c>
    </row>
    <row r="194" spans="1:26" s="10" customFormat="1" ht="12.75" customHeight="1" x14ac:dyDescent="0.2">
      <c r="A194" s="131" t="s">
        <v>84</v>
      </c>
      <c r="B194" s="132">
        <f t="shared" si="42"/>
        <v>37</v>
      </c>
      <c r="C194" s="133" t="s">
        <v>370</v>
      </c>
      <c r="D194" s="133" t="s">
        <v>371</v>
      </c>
      <c r="E194" s="129"/>
      <c r="F194" s="129">
        <v>71280000</v>
      </c>
      <c r="G194" s="129"/>
      <c r="H194" s="134" t="s">
        <v>42</v>
      </c>
      <c r="I194" s="135" t="s">
        <v>357</v>
      </c>
      <c r="J194" s="136">
        <v>3</v>
      </c>
      <c r="K194" s="137">
        <v>4</v>
      </c>
      <c r="L194" s="138">
        <v>9</v>
      </c>
      <c r="M194" s="132">
        <f t="shared" si="31"/>
        <v>1</v>
      </c>
      <c r="N194" s="139" t="s">
        <v>61</v>
      </c>
      <c r="O194" s="140" t="str">
        <f>IF(ISBLANK(N194),"",VLOOKUP(N194,[11]Parámetros!$G$2:$H$23,2,FALSE))</f>
        <v>Contratación régimen especial - Selección de comisionista</v>
      </c>
      <c r="P194" s="141">
        <f t="shared" si="38"/>
        <v>1</v>
      </c>
      <c r="Q194" s="142">
        <f t="shared" si="32"/>
        <v>71280000</v>
      </c>
      <c r="R194" s="142">
        <f t="shared" si="33"/>
        <v>71280000</v>
      </c>
      <c r="S194" s="143" t="s">
        <v>223</v>
      </c>
      <c r="T194" s="139">
        <f t="shared" si="39"/>
        <v>0</v>
      </c>
      <c r="U194" s="48" t="str">
        <f t="shared" si="34"/>
        <v>SUBDIRECCION DE GESTION CONTRACTUAL</v>
      </c>
      <c r="V194" s="132" t="str">
        <f t="shared" si="40"/>
        <v>CO-DC</v>
      </c>
      <c r="W194" s="48" t="str">
        <f t="shared" si="41"/>
        <v>Distrito Capital de Bogotá</v>
      </c>
      <c r="X194" s="144" t="s">
        <v>358</v>
      </c>
      <c r="Y194" s="132">
        <v>2427400</v>
      </c>
      <c r="Z194" s="146" t="s">
        <v>75</v>
      </c>
    </row>
    <row r="195" spans="1:26" s="10" customFormat="1" ht="12.75" customHeight="1" x14ac:dyDescent="0.2">
      <c r="A195" s="131" t="s">
        <v>84</v>
      </c>
      <c r="B195" s="132">
        <f t="shared" si="42"/>
        <v>38</v>
      </c>
      <c r="C195" s="133" t="s">
        <v>370</v>
      </c>
      <c r="D195" s="133" t="s">
        <v>371</v>
      </c>
      <c r="E195" s="129"/>
      <c r="F195" s="129">
        <v>180000000</v>
      </c>
      <c r="G195" s="129"/>
      <c r="H195" s="134" t="s">
        <v>644</v>
      </c>
      <c r="I195" s="135" t="s">
        <v>646</v>
      </c>
      <c r="J195" s="136">
        <v>2</v>
      </c>
      <c r="K195" s="137">
        <v>2</v>
      </c>
      <c r="L195" s="138">
        <v>10</v>
      </c>
      <c r="M195" s="132">
        <f t="shared" si="31"/>
        <v>1</v>
      </c>
      <c r="N195" s="139" t="s">
        <v>36</v>
      </c>
      <c r="O195" s="140" t="str">
        <f>IF(ISBLANK(N195),"",VLOOKUP(N195,[11]Parámetros!$G$2:$H$23,2,FALSE))</f>
        <v xml:space="preserve">Contratación directa (con ofertas) </v>
      </c>
      <c r="P195" s="141">
        <f t="shared" si="38"/>
        <v>1</v>
      </c>
      <c r="Q195" s="142">
        <f t="shared" si="32"/>
        <v>180000000</v>
      </c>
      <c r="R195" s="142">
        <f t="shared" si="33"/>
        <v>180000000</v>
      </c>
      <c r="S195" s="143" t="s">
        <v>223</v>
      </c>
      <c r="T195" s="139">
        <f t="shared" si="39"/>
        <v>0</v>
      </c>
      <c r="U195" s="48" t="str">
        <f t="shared" si="34"/>
        <v>SUBDIRECCION DE GESTION CONTRACTUAL</v>
      </c>
      <c r="V195" s="132" t="str">
        <f t="shared" si="40"/>
        <v>CO-DC</v>
      </c>
      <c r="W195" s="48" t="str">
        <f t="shared" si="41"/>
        <v>Distrito Capital de Bogotá</v>
      </c>
      <c r="X195" s="144" t="s">
        <v>331</v>
      </c>
      <c r="Y195" s="132">
        <v>2427400</v>
      </c>
      <c r="Z195" s="146" t="s">
        <v>94</v>
      </c>
    </row>
    <row r="196" spans="1:26" s="10" customFormat="1" ht="12.75" customHeight="1" x14ac:dyDescent="0.2">
      <c r="A196" s="131" t="s">
        <v>84</v>
      </c>
      <c r="B196" s="132">
        <f t="shared" si="42"/>
        <v>39</v>
      </c>
      <c r="C196" s="133" t="s">
        <v>85</v>
      </c>
      <c r="D196" s="133" t="s">
        <v>86</v>
      </c>
      <c r="E196" s="129"/>
      <c r="F196" s="129">
        <v>1752566308</v>
      </c>
      <c r="G196" s="129"/>
      <c r="H196" s="134">
        <v>80111600</v>
      </c>
      <c r="I196" s="135" t="s">
        <v>353</v>
      </c>
      <c r="J196" s="136">
        <v>1</v>
      </c>
      <c r="K196" s="137">
        <v>1</v>
      </c>
      <c r="L196" s="138">
        <v>12</v>
      </c>
      <c r="M196" s="132">
        <f t="shared" si="31"/>
        <v>1</v>
      </c>
      <c r="N196" s="139" t="s">
        <v>216</v>
      </c>
      <c r="O196" s="140" t="str">
        <f>IF(ISBLANK(N196),"",VLOOKUP(N196,[11]Parámetros!$G$2:$H$23,2,FALSE))</f>
        <v>Contratación directa.</v>
      </c>
      <c r="P196" s="141">
        <f t="shared" si="38"/>
        <v>1</v>
      </c>
      <c r="Q196" s="142">
        <f t="shared" si="32"/>
        <v>1752566308</v>
      </c>
      <c r="R196" s="142">
        <f t="shared" si="33"/>
        <v>1752566308</v>
      </c>
      <c r="S196" s="143" t="s">
        <v>223</v>
      </c>
      <c r="T196" s="139">
        <f t="shared" si="39"/>
        <v>0</v>
      </c>
      <c r="U196" s="48" t="str">
        <f t="shared" si="34"/>
        <v>SUBDIRECCION DE GESTION CONTRACTUAL</v>
      </c>
      <c r="V196" s="132" t="str">
        <f t="shared" si="40"/>
        <v>CO-DC</v>
      </c>
      <c r="W196" s="48" t="str">
        <f t="shared" si="41"/>
        <v>Distrito Capital de Bogotá</v>
      </c>
      <c r="X196" s="144" t="s">
        <v>671</v>
      </c>
      <c r="Y196" s="132">
        <v>2427400</v>
      </c>
      <c r="Z196" s="146" t="s">
        <v>87</v>
      </c>
    </row>
    <row r="197" spans="1:26" s="10" customFormat="1" ht="12.75" customHeight="1" x14ac:dyDescent="0.2">
      <c r="A197" s="131" t="s">
        <v>84</v>
      </c>
      <c r="B197" s="132">
        <f t="shared" si="42"/>
        <v>40</v>
      </c>
      <c r="C197" s="133" t="s">
        <v>85</v>
      </c>
      <c r="D197" s="133" t="s">
        <v>86</v>
      </c>
      <c r="E197" s="129">
        <v>84511564</v>
      </c>
      <c r="F197" s="129"/>
      <c r="G197" s="129"/>
      <c r="H197" s="134" t="s">
        <v>42</v>
      </c>
      <c r="I197" s="135" t="s">
        <v>357</v>
      </c>
      <c r="J197" s="136">
        <v>3</v>
      </c>
      <c r="K197" s="137">
        <v>4</v>
      </c>
      <c r="L197" s="138">
        <v>9</v>
      </c>
      <c r="M197" s="132">
        <f t="shared" si="31"/>
        <v>1</v>
      </c>
      <c r="N197" s="139" t="s">
        <v>61</v>
      </c>
      <c r="O197" s="140" t="str">
        <f>IF(ISBLANK(N197),"",VLOOKUP(N197,[11]Parámetros!$G$2:$H$23,2,FALSE))</f>
        <v>Contratación régimen especial - Selección de comisionista</v>
      </c>
      <c r="P197" s="141">
        <f t="shared" si="38"/>
        <v>1</v>
      </c>
      <c r="Q197" s="142">
        <f t="shared" si="32"/>
        <v>84511564</v>
      </c>
      <c r="R197" s="142">
        <f t="shared" si="33"/>
        <v>0</v>
      </c>
      <c r="S197" s="143" t="s">
        <v>226</v>
      </c>
      <c r="T197" s="139">
        <f t="shared" si="39"/>
        <v>3</v>
      </c>
      <c r="U197" s="48" t="str">
        <f t="shared" si="34"/>
        <v>SUBDIRECCION DE GESTION CONTRACTUAL</v>
      </c>
      <c r="V197" s="132" t="str">
        <f t="shared" si="40"/>
        <v>CO-DC</v>
      </c>
      <c r="W197" s="48" t="str">
        <f t="shared" si="41"/>
        <v>Distrito Capital de Bogotá</v>
      </c>
      <c r="X197" s="144" t="s">
        <v>358</v>
      </c>
      <c r="Y197" s="132">
        <v>2427400</v>
      </c>
      <c r="Z197" s="146" t="s">
        <v>75</v>
      </c>
    </row>
    <row r="198" spans="1:26" s="10" customFormat="1" ht="12.75" customHeight="1" x14ac:dyDescent="0.2">
      <c r="A198" s="131" t="s">
        <v>84</v>
      </c>
      <c r="B198" s="132">
        <f t="shared" si="42"/>
        <v>41</v>
      </c>
      <c r="C198" s="133" t="s">
        <v>85</v>
      </c>
      <c r="D198" s="133" t="s">
        <v>86</v>
      </c>
      <c r="E198" s="129"/>
      <c r="F198" s="129">
        <v>42930000</v>
      </c>
      <c r="G198" s="129"/>
      <c r="H198" s="134" t="s">
        <v>42</v>
      </c>
      <c r="I198" s="135" t="s">
        <v>357</v>
      </c>
      <c r="J198" s="136">
        <v>3</v>
      </c>
      <c r="K198" s="137">
        <v>4</v>
      </c>
      <c r="L198" s="138">
        <v>9</v>
      </c>
      <c r="M198" s="132">
        <f t="shared" si="31"/>
        <v>1</v>
      </c>
      <c r="N198" s="139" t="s">
        <v>61</v>
      </c>
      <c r="O198" s="140" t="str">
        <f>IF(ISBLANK(N198),"",VLOOKUP(N198,[11]Parámetros!$G$2:$H$23,2,FALSE))</f>
        <v>Contratación régimen especial - Selección de comisionista</v>
      </c>
      <c r="P198" s="141">
        <f t="shared" ref="P198:P228" si="43">IF(ISBLANK(N198),"",1)</f>
        <v>1</v>
      </c>
      <c r="Q198" s="142">
        <f t="shared" si="32"/>
        <v>42930000</v>
      </c>
      <c r="R198" s="142">
        <f t="shared" si="33"/>
        <v>42930000</v>
      </c>
      <c r="S198" s="143" t="s">
        <v>223</v>
      </c>
      <c r="T198" s="139">
        <f t="shared" ref="T198:T228" si="44">IF(ISBLANK(S198),"",IF(VALUE(S198)=0,0,IF(VALUE(S198)=1,3,"")))</f>
        <v>0</v>
      </c>
      <c r="U198" s="48" t="str">
        <f t="shared" si="34"/>
        <v>SUBDIRECCION DE GESTION CONTRACTUAL</v>
      </c>
      <c r="V198" s="132" t="str">
        <f t="shared" si="40"/>
        <v>CO-DC</v>
      </c>
      <c r="W198" s="48" t="str">
        <f t="shared" si="41"/>
        <v>Distrito Capital de Bogotá</v>
      </c>
      <c r="X198" s="144" t="s">
        <v>358</v>
      </c>
      <c r="Y198" s="132">
        <v>2427400</v>
      </c>
      <c r="Z198" s="146" t="s">
        <v>75</v>
      </c>
    </row>
    <row r="199" spans="1:26" s="10" customFormat="1" ht="12.75" customHeight="1" x14ac:dyDescent="0.2">
      <c r="A199" s="131" t="s">
        <v>84</v>
      </c>
      <c r="B199" s="132">
        <f t="shared" si="42"/>
        <v>42</v>
      </c>
      <c r="C199" s="133" t="s">
        <v>85</v>
      </c>
      <c r="D199" s="133" t="s">
        <v>86</v>
      </c>
      <c r="E199" s="129"/>
      <c r="F199" s="129">
        <v>400000000</v>
      </c>
      <c r="G199" s="129"/>
      <c r="H199" s="134" t="s">
        <v>103</v>
      </c>
      <c r="I199" s="135" t="s">
        <v>372</v>
      </c>
      <c r="J199" s="136">
        <v>2</v>
      </c>
      <c r="K199" s="137">
        <v>3</v>
      </c>
      <c r="L199" s="138">
        <v>10</v>
      </c>
      <c r="M199" s="132">
        <f t="shared" si="31"/>
        <v>1</v>
      </c>
      <c r="N199" s="139" t="s">
        <v>36</v>
      </c>
      <c r="O199" s="140" t="str">
        <f>IF(ISBLANK(N199),"",VLOOKUP(N199,[1]Parámetros!$G$2:$H$23,2,FALSE))</f>
        <v xml:space="preserve">Contratación directa (con ofertas) </v>
      </c>
      <c r="P199" s="141">
        <f t="shared" si="43"/>
        <v>1</v>
      </c>
      <c r="Q199" s="142">
        <f t="shared" si="32"/>
        <v>400000000</v>
      </c>
      <c r="R199" s="142">
        <f t="shared" si="33"/>
        <v>400000000</v>
      </c>
      <c r="S199" s="143" t="s">
        <v>226</v>
      </c>
      <c r="T199" s="139">
        <f t="shared" si="44"/>
        <v>3</v>
      </c>
      <c r="U199" s="48" t="str">
        <f t="shared" si="34"/>
        <v>SUBDIRECCION DE GESTION CONTRACTUAL</v>
      </c>
      <c r="V199" s="132" t="str">
        <f t="shared" si="40"/>
        <v>CO-DC</v>
      </c>
      <c r="W199" s="48" t="str">
        <f t="shared" si="41"/>
        <v>Distrito Capital de Bogotá</v>
      </c>
      <c r="X199" s="144" t="s">
        <v>671</v>
      </c>
      <c r="Y199" s="132">
        <v>2427400</v>
      </c>
      <c r="Z199" s="146" t="s">
        <v>87</v>
      </c>
    </row>
    <row r="200" spans="1:26" s="10" customFormat="1" ht="12.75" customHeight="1" x14ac:dyDescent="0.2">
      <c r="A200" s="131" t="s">
        <v>84</v>
      </c>
      <c r="B200" s="132">
        <f t="shared" si="42"/>
        <v>43</v>
      </c>
      <c r="C200" s="133" t="s">
        <v>85</v>
      </c>
      <c r="D200" s="133" t="s">
        <v>86</v>
      </c>
      <c r="E200" s="129"/>
      <c r="F200" s="129">
        <v>1800000000</v>
      </c>
      <c r="G200" s="129"/>
      <c r="H200" s="134" t="s">
        <v>92</v>
      </c>
      <c r="I200" s="135" t="s">
        <v>361</v>
      </c>
      <c r="J200" s="136">
        <v>2</v>
      </c>
      <c r="K200" s="137">
        <v>5</v>
      </c>
      <c r="L200" s="138">
        <v>8</v>
      </c>
      <c r="M200" s="132">
        <f t="shared" si="31"/>
        <v>1</v>
      </c>
      <c r="N200" s="139" t="s">
        <v>36</v>
      </c>
      <c r="O200" s="140" t="str">
        <f>IF(ISBLANK(N200),"",VLOOKUP(N200,[11]Parámetros!$G$2:$H$23,2,FALSE))</f>
        <v xml:space="preserve">Contratación directa (con ofertas) </v>
      </c>
      <c r="P200" s="141">
        <f t="shared" si="43"/>
        <v>1</v>
      </c>
      <c r="Q200" s="142">
        <f t="shared" si="32"/>
        <v>1800000000</v>
      </c>
      <c r="R200" s="142">
        <f t="shared" si="33"/>
        <v>1800000000</v>
      </c>
      <c r="S200" s="143" t="s">
        <v>223</v>
      </c>
      <c r="T200" s="139">
        <f t="shared" si="44"/>
        <v>0</v>
      </c>
      <c r="U200" s="48" t="str">
        <f t="shared" si="34"/>
        <v>SUBDIRECCION DE GESTION CONTRACTUAL</v>
      </c>
      <c r="V200" s="132" t="str">
        <f t="shared" si="40"/>
        <v>CO-DC</v>
      </c>
      <c r="W200" s="48" t="str">
        <f t="shared" si="41"/>
        <v>Distrito Capital de Bogotá</v>
      </c>
      <c r="X200" s="144" t="s">
        <v>671</v>
      </c>
      <c r="Y200" s="132">
        <v>2427400</v>
      </c>
      <c r="Z200" s="146" t="s">
        <v>87</v>
      </c>
    </row>
    <row r="201" spans="1:26" s="10" customFormat="1" ht="12.75" customHeight="1" x14ac:dyDescent="0.2">
      <c r="A201" s="131" t="s">
        <v>84</v>
      </c>
      <c r="B201" s="132">
        <f t="shared" si="42"/>
        <v>44</v>
      </c>
      <c r="C201" s="133" t="s">
        <v>354</v>
      </c>
      <c r="D201" s="133" t="s">
        <v>86</v>
      </c>
      <c r="E201" s="129"/>
      <c r="F201" s="129">
        <v>2700000000</v>
      </c>
      <c r="G201" s="129"/>
      <c r="H201" s="134" t="s">
        <v>92</v>
      </c>
      <c r="I201" s="135" t="s">
        <v>361</v>
      </c>
      <c r="J201" s="136">
        <v>2</v>
      </c>
      <c r="K201" s="137">
        <v>5</v>
      </c>
      <c r="L201" s="138">
        <v>8</v>
      </c>
      <c r="M201" s="132">
        <f t="shared" si="31"/>
        <v>1</v>
      </c>
      <c r="N201" s="139" t="s">
        <v>36</v>
      </c>
      <c r="O201" s="140" t="str">
        <f>IF(ISBLANK(N201),"",VLOOKUP(N201,[11]Parámetros!$G$2:$H$23,2,FALSE))</f>
        <v xml:space="preserve">Contratación directa (con ofertas) </v>
      </c>
      <c r="P201" s="141">
        <f t="shared" si="43"/>
        <v>1</v>
      </c>
      <c r="Q201" s="142">
        <f t="shared" si="32"/>
        <v>2700000000</v>
      </c>
      <c r="R201" s="142">
        <f t="shared" si="33"/>
        <v>2700000000</v>
      </c>
      <c r="S201" s="143" t="s">
        <v>223</v>
      </c>
      <c r="T201" s="139">
        <f t="shared" si="44"/>
        <v>0</v>
      </c>
      <c r="U201" s="48" t="str">
        <f t="shared" si="34"/>
        <v>SUBDIRECCION DE GESTION CONTRACTUAL</v>
      </c>
      <c r="V201" s="132" t="str">
        <f t="shared" si="40"/>
        <v>CO-DC</v>
      </c>
      <c r="W201" s="48" t="str">
        <f t="shared" si="41"/>
        <v>Distrito Capital de Bogotá</v>
      </c>
      <c r="X201" s="144" t="s">
        <v>671</v>
      </c>
      <c r="Y201" s="132">
        <v>2427400</v>
      </c>
      <c r="Z201" s="146" t="s">
        <v>87</v>
      </c>
    </row>
    <row r="202" spans="1:26" s="10" customFormat="1" ht="12.75" customHeight="1" x14ac:dyDescent="0.2">
      <c r="A202" s="131" t="s">
        <v>84</v>
      </c>
      <c r="B202" s="132">
        <f t="shared" si="42"/>
        <v>45</v>
      </c>
      <c r="C202" s="133" t="s">
        <v>373</v>
      </c>
      <c r="D202" s="133" t="s">
        <v>88</v>
      </c>
      <c r="E202" s="129"/>
      <c r="F202" s="129">
        <v>532873475.50294244</v>
      </c>
      <c r="G202" s="129"/>
      <c r="H202" s="134">
        <v>80111600</v>
      </c>
      <c r="I202" s="135" t="s">
        <v>353</v>
      </c>
      <c r="J202" s="136">
        <v>1</v>
      </c>
      <c r="K202" s="137">
        <v>1</v>
      </c>
      <c r="L202" s="138">
        <v>12</v>
      </c>
      <c r="M202" s="132">
        <f t="shared" si="31"/>
        <v>1</v>
      </c>
      <c r="N202" s="139" t="s">
        <v>216</v>
      </c>
      <c r="O202" s="140" t="str">
        <f>IF(ISBLANK(N202),"",VLOOKUP(N202,[11]Parámetros!$G$2:$H$23,2,FALSE))</f>
        <v>Contratación directa.</v>
      </c>
      <c r="P202" s="141">
        <f t="shared" si="43"/>
        <v>1</v>
      </c>
      <c r="Q202" s="142">
        <f t="shared" si="32"/>
        <v>532873475.50294244</v>
      </c>
      <c r="R202" s="142">
        <f t="shared" si="33"/>
        <v>532873475.50294244</v>
      </c>
      <c r="S202" s="143" t="s">
        <v>223</v>
      </c>
      <c r="T202" s="139">
        <f t="shared" si="44"/>
        <v>0</v>
      </c>
      <c r="U202" s="48" t="str">
        <f t="shared" si="34"/>
        <v>SUBDIRECCION DE GESTION CONTRACTUAL</v>
      </c>
      <c r="V202" s="132" t="str">
        <f t="shared" si="40"/>
        <v>CO-DC</v>
      </c>
      <c r="W202" s="48" t="str">
        <f t="shared" si="41"/>
        <v>Distrito Capital de Bogotá</v>
      </c>
      <c r="X202" s="144" t="s">
        <v>671</v>
      </c>
      <c r="Y202" s="132">
        <v>2427400</v>
      </c>
      <c r="Z202" s="146" t="s">
        <v>87</v>
      </c>
    </row>
    <row r="203" spans="1:26" s="10" customFormat="1" ht="12.75" customHeight="1" x14ac:dyDescent="0.2">
      <c r="A203" s="131" t="s">
        <v>84</v>
      </c>
      <c r="B203" s="132">
        <f t="shared" si="42"/>
        <v>46</v>
      </c>
      <c r="C203" s="133" t="s">
        <v>374</v>
      </c>
      <c r="D203" s="133" t="s">
        <v>88</v>
      </c>
      <c r="E203" s="129"/>
      <c r="F203" s="129">
        <v>462703317.26866001</v>
      </c>
      <c r="G203" s="129"/>
      <c r="H203" s="134">
        <v>80111600</v>
      </c>
      <c r="I203" s="135" t="s">
        <v>353</v>
      </c>
      <c r="J203" s="136">
        <v>1</v>
      </c>
      <c r="K203" s="137">
        <v>1</v>
      </c>
      <c r="L203" s="138">
        <v>12</v>
      </c>
      <c r="M203" s="132">
        <f t="shared" si="31"/>
        <v>1</v>
      </c>
      <c r="N203" s="139" t="s">
        <v>216</v>
      </c>
      <c r="O203" s="140" t="str">
        <f>IF(ISBLANK(N203),"",VLOOKUP(N203,[11]Parámetros!$G$2:$H$23,2,FALSE))</f>
        <v>Contratación directa.</v>
      </c>
      <c r="P203" s="141">
        <f t="shared" si="43"/>
        <v>1</v>
      </c>
      <c r="Q203" s="142">
        <f t="shared" si="32"/>
        <v>462703317.26866001</v>
      </c>
      <c r="R203" s="142">
        <f t="shared" si="33"/>
        <v>462703317.26866001</v>
      </c>
      <c r="S203" s="143" t="s">
        <v>223</v>
      </c>
      <c r="T203" s="139">
        <f t="shared" si="44"/>
        <v>0</v>
      </c>
      <c r="U203" s="48" t="str">
        <f t="shared" si="34"/>
        <v>SUBDIRECCION DE GESTION CONTRACTUAL</v>
      </c>
      <c r="V203" s="132" t="str">
        <f t="shared" si="40"/>
        <v>CO-DC</v>
      </c>
      <c r="W203" s="48" t="str">
        <f t="shared" si="41"/>
        <v>Distrito Capital de Bogotá</v>
      </c>
      <c r="X203" s="144" t="s">
        <v>671</v>
      </c>
      <c r="Y203" s="132">
        <v>2427400</v>
      </c>
      <c r="Z203" s="146" t="s">
        <v>87</v>
      </c>
    </row>
    <row r="204" spans="1:26" s="10" customFormat="1" ht="12.75" customHeight="1" x14ac:dyDescent="0.2">
      <c r="A204" s="131" t="s">
        <v>84</v>
      </c>
      <c r="B204" s="132">
        <f t="shared" si="42"/>
        <v>47</v>
      </c>
      <c r="C204" s="133" t="s">
        <v>90</v>
      </c>
      <c r="D204" s="133" t="s">
        <v>88</v>
      </c>
      <c r="E204" s="129"/>
      <c r="F204" s="129">
        <v>344578782.46415001</v>
      </c>
      <c r="G204" s="129"/>
      <c r="H204" s="134">
        <v>80111600</v>
      </c>
      <c r="I204" s="135" t="s">
        <v>353</v>
      </c>
      <c r="J204" s="136">
        <v>1</v>
      </c>
      <c r="K204" s="137">
        <v>1</v>
      </c>
      <c r="L204" s="138">
        <v>12</v>
      </c>
      <c r="M204" s="132">
        <f t="shared" si="31"/>
        <v>1</v>
      </c>
      <c r="N204" s="139" t="s">
        <v>216</v>
      </c>
      <c r="O204" s="140" t="str">
        <f>IF(ISBLANK(N204),"",VLOOKUP(N204,[11]Parámetros!$G$2:$H$23,2,FALSE))</f>
        <v>Contratación directa.</v>
      </c>
      <c r="P204" s="141">
        <f t="shared" si="43"/>
        <v>1</v>
      </c>
      <c r="Q204" s="142">
        <f t="shared" si="32"/>
        <v>344578782.46415001</v>
      </c>
      <c r="R204" s="142">
        <f t="shared" si="33"/>
        <v>344578782.46415001</v>
      </c>
      <c r="S204" s="143" t="s">
        <v>223</v>
      </c>
      <c r="T204" s="139">
        <f t="shared" si="44"/>
        <v>0</v>
      </c>
      <c r="U204" s="48" t="str">
        <f t="shared" si="34"/>
        <v>SUBDIRECCION DE GESTION CONTRACTUAL</v>
      </c>
      <c r="V204" s="132" t="str">
        <f t="shared" si="40"/>
        <v>CO-DC</v>
      </c>
      <c r="W204" s="48" t="str">
        <f t="shared" si="41"/>
        <v>Distrito Capital de Bogotá</v>
      </c>
      <c r="X204" s="144" t="s">
        <v>671</v>
      </c>
      <c r="Y204" s="132">
        <v>2427400</v>
      </c>
      <c r="Z204" s="146" t="s">
        <v>87</v>
      </c>
    </row>
    <row r="205" spans="1:26" s="10" customFormat="1" ht="12.75" customHeight="1" x14ac:dyDescent="0.2">
      <c r="A205" s="131" t="s">
        <v>84</v>
      </c>
      <c r="B205" s="132">
        <f t="shared" si="42"/>
        <v>48</v>
      </c>
      <c r="C205" s="133" t="s">
        <v>373</v>
      </c>
      <c r="D205" s="133" t="s">
        <v>88</v>
      </c>
      <c r="E205" s="129"/>
      <c r="F205" s="286">
        <f>265237115-380000+380000</f>
        <v>265237115</v>
      </c>
      <c r="G205" s="129"/>
      <c r="H205" s="134" t="s">
        <v>795</v>
      </c>
      <c r="I205" s="135" t="s">
        <v>356</v>
      </c>
      <c r="J205" s="136">
        <v>2</v>
      </c>
      <c r="K205" s="137">
        <v>3</v>
      </c>
      <c r="L205" s="138">
        <v>9</v>
      </c>
      <c r="M205" s="132">
        <f t="shared" si="31"/>
        <v>1</v>
      </c>
      <c r="N205" s="139" t="s">
        <v>233</v>
      </c>
      <c r="O205" s="140" t="str">
        <f>IF(ISBLANK(N205),"",VLOOKUP(N205,[11]Parámetros!$G$2:$H$23,2,FALSE))</f>
        <v>Licitación pública</v>
      </c>
      <c r="P205" s="141">
        <f t="shared" si="43"/>
        <v>1</v>
      </c>
      <c r="Q205" s="142">
        <f t="shared" si="32"/>
        <v>265237115</v>
      </c>
      <c r="R205" s="142">
        <f t="shared" si="33"/>
        <v>265237115</v>
      </c>
      <c r="S205" s="143" t="s">
        <v>223</v>
      </c>
      <c r="T205" s="139">
        <f t="shared" si="44"/>
        <v>0</v>
      </c>
      <c r="U205" s="48" t="str">
        <f t="shared" si="34"/>
        <v>SUBDIRECCION DE GESTION CONTRACTUAL</v>
      </c>
      <c r="V205" s="132" t="str">
        <f t="shared" si="40"/>
        <v>CO-DC</v>
      </c>
      <c r="W205" s="48" t="str">
        <f t="shared" si="41"/>
        <v>Distrito Capital de Bogotá</v>
      </c>
      <c r="X205" s="144" t="s">
        <v>671</v>
      </c>
      <c r="Y205" s="132">
        <v>2427400</v>
      </c>
      <c r="Z205" s="146" t="s">
        <v>87</v>
      </c>
    </row>
    <row r="206" spans="1:26" s="10" customFormat="1" ht="12.75" customHeight="1" x14ac:dyDescent="0.2">
      <c r="A206" s="131" t="s">
        <v>84</v>
      </c>
      <c r="B206" s="132">
        <f t="shared" si="42"/>
        <v>49</v>
      </c>
      <c r="C206" s="133" t="s">
        <v>374</v>
      </c>
      <c r="D206" s="133" t="s">
        <v>88</v>
      </c>
      <c r="E206" s="129"/>
      <c r="F206" s="286">
        <f>1392000000+60000000</f>
        <v>1452000000</v>
      </c>
      <c r="G206" s="129"/>
      <c r="H206" s="134" t="s">
        <v>795</v>
      </c>
      <c r="I206" s="135" t="s">
        <v>356</v>
      </c>
      <c r="J206" s="136">
        <v>2</v>
      </c>
      <c r="K206" s="137">
        <v>3</v>
      </c>
      <c r="L206" s="138">
        <v>9</v>
      </c>
      <c r="M206" s="132">
        <f t="shared" si="31"/>
        <v>1</v>
      </c>
      <c r="N206" s="139" t="s">
        <v>233</v>
      </c>
      <c r="O206" s="140" t="str">
        <f>IF(ISBLANK(N206),"",VLOOKUP(N206,[11]Parámetros!$G$2:$H$23,2,FALSE))</f>
        <v>Licitación pública</v>
      </c>
      <c r="P206" s="141">
        <f t="shared" si="43"/>
        <v>1</v>
      </c>
      <c r="Q206" s="142">
        <f t="shared" si="32"/>
        <v>1452000000</v>
      </c>
      <c r="R206" s="142">
        <f t="shared" si="33"/>
        <v>1452000000</v>
      </c>
      <c r="S206" s="143" t="s">
        <v>223</v>
      </c>
      <c r="T206" s="139">
        <f t="shared" si="44"/>
        <v>0</v>
      </c>
      <c r="U206" s="48" t="str">
        <f t="shared" si="34"/>
        <v>SUBDIRECCION DE GESTION CONTRACTUAL</v>
      </c>
      <c r="V206" s="132" t="str">
        <f t="shared" si="40"/>
        <v>CO-DC</v>
      </c>
      <c r="W206" s="48" t="str">
        <f t="shared" si="41"/>
        <v>Distrito Capital de Bogotá</v>
      </c>
      <c r="X206" s="144" t="s">
        <v>671</v>
      </c>
      <c r="Y206" s="132">
        <v>2427400</v>
      </c>
      <c r="Z206" s="146" t="s">
        <v>87</v>
      </c>
    </row>
    <row r="207" spans="1:26" s="10" customFormat="1" ht="12.75" customHeight="1" x14ac:dyDescent="0.2">
      <c r="A207" s="131" t="s">
        <v>84</v>
      </c>
      <c r="B207" s="132">
        <f t="shared" si="42"/>
        <v>50</v>
      </c>
      <c r="C207" s="133" t="s">
        <v>373</v>
      </c>
      <c r="D207" s="133" t="s">
        <v>88</v>
      </c>
      <c r="E207" s="129"/>
      <c r="F207" s="129">
        <v>1600000000</v>
      </c>
      <c r="G207" s="129"/>
      <c r="H207" s="134" t="s">
        <v>92</v>
      </c>
      <c r="I207" s="135" t="s">
        <v>361</v>
      </c>
      <c r="J207" s="136">
        <v>2</v>
      </c>
      <c r="K207" s="137">
        <v>5</v>
      </c>
      <c r="L207" s="138">
        <v>8</v>
      </c>
      <c r="M207" s="132">
        <f t="shared" si="31"/>
        <v>1</v>
      </c>
      <c r="N207" s="139" t="s">
        <v>36</v>
      </c>
      <c r="O207" s="140" t="str">
        <f>IF(ISBLANK(N207),"",VLOOKUP(N207,[11]Parámetros!$G$2:$H$23,2,FALSE))</f>
        <v xml:space="preserve">Contratación directa (con ofertas) </v>
      </c>
      <c r="P207" s="141">
        <f t="shared" si="43"/>
        <v>1</v>
      </c>
      <c r="Q207" s="142">
        <f t="shared" si="32"/>
        <v>1600000000</v>
      </c>
      <c r="R207" s="142">
        <f t="shared" si="33"/>
        <v>1600000000</v>
      </c>
      <c r="S207" s="143" t="s">
        <v>223</v>
      </c>
      <c r="T207" s="139">
        <f t="shared" si="44"/>
        <v>0</v>
      </c>
      <c r="U207" s="48" t="str">
        <f t="shared" si="34"/>
        <v>SUBDIRECCION DE GESTION CONTRACTUAL</v>
      </c>
      <c r="V207" s="132" t="str">
        <f t="shared" si="40"/>
        <v>CO-DC</v>
      </c>
      <c r="W207" s="48" t="str">
        <f t="shared" si="41"/>
        <v>Distrito Capital de Bogotá</v>
      </c>
      <c r="X207" s="144" t="s">
        <v>671</v>
      </c>
      <c r="Y207" s="132">
        <v>2427400</v>
      </c>
      <c r="Z207" s="146" t="s">
        <v>87</v>
      </c>
    </row>
    <row r="208" spans="1:26" s="10" customFormat="1" ht="12.75" customHeight="1" x14ac:dyDescent="0.2">
      <c r="A208" s="131" t="s">
        <v>84</v>
      </c>
      <c r="B208" s="132">
        <f t="shared" si="42"/>
        <v>51</v>
      </c>
      <c r="C208" s="133" t="s">
        <v>374</v>
      </c>
      <c r="D208" s="133" t="s">
        <v>88</v>
      </c>
      <c r="E208" s="129"/>
      <c r="F208" s="129">
        <v>1440000000</v>
      </c>
      <c r="G208" s="129"/>
      <c r="H208" s="134" t="s">
        <v>92</v>
      </c>
      <c r="I208" s="135" t="s">
        <v>361</v>
      </c>
      <c r="J208" s="136">
        <v>2</v>
      </c>
      <c r="K208" s="137">
        <v>5</v>
      </c>
      <c r="L208" s="138">
        <v>8</v>
      </c>
      <c r="M208" s="132">
        <f t="shared" si="31"/>
        <v>1</v>
      </c>
      <c r="N208" s="139" t="s">
        <v>36</v>
      </c>
      <c r="O208" s="140" t="str">
        <f>IF(ISBLANK(N208),"",VLOOKUP(N208,[11]Parámetros!$G$2:$H$23,2,FALSE))</f>
        <v xml:space="preserve">Contratación directa (con ofertas) </v>
      </c>
      <c r="P208" s="141">
        <f t="shared" si="43"/>
        <v>1</v>
      </c>
      <c r="Q208" s="142">
        <f t="shared" si="32"/>
        <v>1440000000</v>
      </c>
      <c r="R208" s="142">
        <f t="shared" si="33"/>
        <v>1440000000</v>
      </c>
      <c r="S208" s="143" t="s">
        <v>223</v>
      </c>
      <c r="T208" s="139">
        <f t="shared" si="44"/>
        <v>0</v>
      </c>
      <c r="U208" s="48" t="str">
        <f t="shared" si="34"/>
        <v>SUBDIRECCION DE GESTION CONTRACTUAL</v>
      </c>
      <c r="V208" s="132" t="str">
        <f t="shared" si="40"/>
        <v>CO-DC</v>
      </c>
      <c r="W208" s="48" t="str">
        <f t="shared" si="41"/>
        <v>Distrito Capital de Bogotá</v>
      </c>
      <c r="X208" s="144" t="s">
        <v>671</v>
      </c>
      <c r="Y208" s="132">
        <v>2427400</v>
      </c>
      <c r="Z208" s="146" t="s">
        <v>87</v>
      </c>
    </row>
    <row r="209" spans="1:26" s="10" customFormat="1" ht="12.75" customHeight="1" x14ac:dyDescent="0.2">
      <c r="A209" s="131" t="s">
        <v>84</v>
      </c>
      <c r="B209" s="132">
        <f t="shared" si="42"/>
        <v>52</v>
      </c>
      <c r="C209" s="133" t="s">
        <v>354</v>
      </c>
      <c r="D209" s="133" t="s">
        <v>89</v>
      </c>
      <c r="E209" s="129"/>
      <c r="F209" s="129">
        <v>1600000000</v>
      </c>
      <c r="G209" s="129"/>
      <c r="H209" s="134" t="s">
        <v>92</v>
      </c>
      <c r="I209" s="135" t="s">
        <v>361</v>
      </c>
      <c r="J209" s="136">
        <v>2</v>
      </c>
      <c r="K209" s="137">
        <v>5</v>
      </c>
      <c r="L209" s="138">
        <v>8</v>
      </c>
      <c r="M209" s="132">
        <f t="shared" si="31"/>
        <v>1</v>
      </c>
      <c r="N209" s="139" t="s">
        <v>36</v>
      </c>
      <c r="O209" s="140" t="str">
        <f>IF(ISBLANK(N209),"",VLOOKUP(N209,[11]Parámetros!$G$2:$H$23,2,FALSE))</f>
        <v xml:space="preserve">Contratación directa (con ofertas) </v>
      </c>
      <c r="P209" s="141">
        <f t="shared" si="43"/>
        <v>1</v>
      </c>
      <c r="Q209" s="142">
        <f t="shared" si="32"/>
        <v>1600000000</v>
      </c>
      <c r="R209" s="142">
        <f t="shared" si="33"/>
        <v>1600000000</v>
      </c>
      <c r="S209" s="143" t="s">
        <v>223</v>
      </c>
      <c r="T209" s="139">
        <f t="shared" si="44"/>
        <v>0</v>
      </c>
      <c r="U209" s="48" t="str">
        <f t="shared" si="34"/>
        <v>SUBDIRECCION DE GESTION CONTRACTUAL</v>
      </c>
      <c r="V209" s="132" t="str">
        <f t="shared" si="40"/>
        <v>CO-DC</v>
      </c>
      <c r="W209" s="48" t="str">
        <f t="shared" si="41"/>
        <v>Distrito Capital de Bogotá</v>
      </c>
      <c r="X209" s="144" t="s">
        <v>671</v>
      </c>
      <c r="Y209" s="132">
        <v>2427400</v>
      </c>
      <c r="Z209" s="146" t="s">
        <v>87</v>
      </c>
    </row>
    <row r="210" spans="1:26" s="10" customFormat="1" ht="12.75" customHeight="1" x14ac:dyDescent="0.2">
      <c r="A210" s="131" t="s">
        <v>84</v>
      </c>
      <c r="B210" s="132">
        <f t="shared" si="42"/>
        <v>53</v>
      </c>
      <c r="C210" s="133" t="s">
        <v>373</v>
      </c>
      <c r="D210" s="133" t="s">
        <v>88</v>
      </c>
      <c r="E210" s="129"/>
      <c r="F210" s="129">
        <v>14606577</v>
      </c>
      <c r="G210" s="129"/>
      <c r="H210" s="134" t="s">
        <v>42</v>
      </c>
      <c r="I210" s="135" t="s">
        <v>357</v>
      </c>
      <c r="J210" s="136">
        <v>3</v>
      </c>
      <c r="K210" s="137">
        <v>4</v>
      </c>
      <c r="L210" s="138">
        <v>9</v>
      </c>
      <c r="M210" s="132">
        <f t="shared" ref="M210:M273" si="45">IF(ISBLANK(J210),"",1)</f>
        <v>1</v>
      </c>
      <c r="N210" s="139" t="s">
        <v>61</v>
      </c>
      <c r="O210" s="140" t="str">
        <f>IF(ISBLANK(N210),"",VLOOKUP(N210,[11]Parámetros!$G$2:$H$23,2,FALSE))</f>
        <v>Contratación régimen especial - Selección de comisionista</v>
      </c>
      <c r="P210" s="141">
        <f t="shared" si="43"/>
        <v>1</v>
      </c>
      <c r="Q210" s="142">
        <f t="shared" ref="Q210:Q273" si="46">+E210+F210+G210</f>
        <v>14606577</v>
      </c>
      <c r="R210" s="142">
        <f t="shared" ref="R210:R273" si="47">+F210</f>
        <v>14606577</v>
      </c>
      <c r="S210" s="143" t="s">
        <v>223</v>
      </c>
      <c r="T210" s="139">
        <f t="shared" si="44"/>
        <v>0</v>
      </c>
      <c r="U210" s="48" t="str">
        <f t="shared" ref="U210:U273" si="48">IF(ISBLANK(N210),"","SUBDIRECCION DE GESTION CONTRACTUAL")</f>
        <v>SUBDIRECCION DE GESTION CONTRACTUAL</v>
      </c>
      <c r="V210" s="132" t="str">
        <f t="shared" si="40"/>
        <v>CO-DC</v>
      </c>
      <c r="W210" s="48" t="str">
        <f t="shared" si="41"/>
        <v>Distrito Capital de Bogotá</v>
      </c>
      <c r="X210" s="144" t="s">
        <v>358</v>
      </c>
      <c r="Y210" s="132">
        <v>2427400</v>
      </c>
      <c r="Z210" s="146" t="s">
        <v>75</v>
      </c>
    </row>
    <row r="211" spans="1:26" s="10" customFormat="1" ht="12.75" customHeight="1" x14ac:dyDescent="0.2">
      <c r="A211" s="131" t="s">
        <v>84</v>
      </c>
      <c r="B211" s="132">
        <f t="shared" si="42"/>
        <v>54</v>
      </c>
      <c r="C211" s="133" t="s">
        <v>374</v>
      </c>
      <c r="D211" s="133" t="s">
        <v>88</v>
      </c>
      <c r="E211" s="129"/>
      <c r="F211" s="129">
        <v>106920000</v>
      </c>
      <c r="G211" s="129"/>
      <c r="H211" s="134" t="s">
        <v>42</v>
      </c>
      <c r="I211" s="135" t="s">
        <v>357</v>
      </c>
      <c r="J211" s="136">
        <v>3</v>
      </c>
      <c r="K211" s="137">
        <v>4</v>
      </c>
      <c r="L211" s="138">
        <v>9</v>
      </c>
      <c r="M211" s="132">
        <f t="shared" si="45"/>
        <v>1</v>
      </c>
      <c r="N211" s="139" t="s">
        <v>61</v>
      </c>
      <c r="O211" s="140" t="str">
        <f>IF(ISBLANK(N211),"",VLOOKUP(N211,[11]Parámetros!$G$2:$H$23,2,FALSE))</f>
        <v>Contratación régimen especial - Selección de comisionista</v>
      </c>
      <c r="P211" s="141">
        <f t="shared" si="43"/>
        <v>1</v>
      </c>
      <c r="Q211" s="142">
        <f t="shared" si="46"/>
        <v>106920000</v>
      </c>
      <c r="R211" s="142">
        <f t="shared" si="47"/>
        <v>106920000</v>
      </c>
      <c r="S211" s="143" t="s">
        <v>223</v>
      </c>
      <c r="T211" s="139">
        <f t="shared" si="44"/>
        <v>0</v>
      </c>
      <c r="U211" s="48" t="str">
        <f t="shared" si="48"/>
        <v>SUBDIRECCION DE GESTION CONTRACTUAL</v>
      </c>
      <c r="V211" s="132" t="str">
        <f t="shared" si="40"/>
        <v>CO-DC</v>
      </c>
      <c r="W211" s="48" t="str">
        <f t="shared" si="41"/>
        <v>Distrito Capital de Bogotá</v>
      </c>
      <c r="X211" s="144" t="s">
        <v>358</v>
      </c>
      <c r="Y211" s="132">
        <v>2427400</v>
      </c>
      <c r="Z211" s="146" t="s">
        <v>75</v>
      </c>
    </row>
    <row r="212" spans="1:26" s="10" customFormat="1" ht="12.75" customHeight="1" x14ac:dyDescent="0.2">
      <c r="A212" s="131" t="s">
        <v>84</v>
      </c>
      <c r="B212" s="132">
        <f t="shared" si="42"/>
        <v>55</v>
      </c>
      <c r="C212" s="133" t="s">
        <v>90</v>
      </c>
      <c r="D212" s="133" t="s">
        <v>88</v>
      </c>
      <c r="E212" s="129"/>
      <c r="F212" s="129">
        <v>48600000</v>
      </c>
      <c r="G212" s="129"/>
      <c r="H212" s="134" t="s">
        <v>42</v>
      </c>
      <c r="I212" s="135" t="s">
        <v>357</v>
      </c>
      <c r="J212" s="136">
        <v>3</v>
      </c>
      <c r="K212" s="137">
        <v>4</v>
      </c>
      <c r="L212" s="138">
        <v>9</v>
      </c>
      <c r="M212" s="132">
        <f t="shared" si="45"/>
        <v>1</v>
      </c>
      <c r="N212" s="139" t="s">
        <v>61</v>
      </c>
      <c r="O212" s="140" t="str">
        <f>IF(ISBLANK(N212),"",VLOOKUP(N212,[11]Parámetros!$G$2:$H$23,2,FALSE))</f>
        <v>Contratación régimen especial - Selección de comisionista</v>
      </c>
      <c r="P212" s="141">
        <f t="shared" si="43"/>
        <v>1</v>
      </c>
      <c r="Q212" s="142">
        <f t="shared" si="46"/>
        <v>48600000</v>
      </c>
      <c r="R212" s="142">
        <f t="shared" si="47"/>
        <v>48600000</v>
      </c>
      <c r="S212" s="143" t="s">
        <v>223</v>
      </c>
      <c r="T212" s="139">
        <f t="shared" si="44"/>
        <v>0</v>
      </c>
      <c r="U212" s="48" t="str">
        <f t="shared" si="48"/>
        <v>SUBDIRECCION DE GESTION CONTRACTUAL</v>
      </c>
      <c r="V212" s="132" t="str">
        <f t="shared" si="40"/>
        <v>CO-DC</v>
      </c>
      <c r="W212" s="48" t="str">
        <f t="shared" si="41"/>
        <v>Distrito Capital de Bogotá</v>
      </c>
      <c r="X212" s="144" t="s">
        <v>358</v>
      </c>
      <c r="Y212" s="132">
        <v>2427400</v>
      </c>
      <c r="Z212" s="146" t="s">
        <v>75</v>
      </c>
    </row>
    <row r="213" spans="1:26" s="10" customFormat="1" ht="12.75" customHeight="1" x14ac:dyDescent="0.2">
      <c r="A213" s="131" t="s">
        <v>84</v>
      </c>
      <c r="B213" s="132">
        <f t="shared" si="42"/>
        <v>56</v>
      </c>
      <c r="C213" s="133" t="s">
        <v>373</v>
      </c>
      <c r="D213" s="133" t="s">
        <v>88</v>
      </c>
      <c r="E213" s="129"/>
      <c r="F213" s="129">
        <v>27000000</v>
      </c>
      <c r="G213" s="129"/>
      <c r="H213" s="134" t="s">
        <v>93</v>
      </c>
      <c r="I213" s="135" t="s">
        <v>362</v>
      </c>
      <c r="J213" s="136">
        <v>3</v>
      </c>
      <c r="K213" s="137">
        <v>4</v>
      </c>
      <c r="L213" s="138">
        <v>9</v>
      </c>
      <c r="M213" s="132">
        <f t="shared" si="45"/>
        <v>1</v>
      </c>
      <c r="N213" s="139" t="s">
        <v>36</v>
      </c>
      <c r="O213" s="140" t="str">
        <f>IF(ISBLANK(N213),"",VLOOKUP(N213,[11]Parámetros!$G$2:$H$23,2,FALSE))</f>
        <v xml:space="preserve">Contratación directa (con ofertas) </v>
      </c>
      <c r="P213" s="141">
        <f t="shared" si="43"/>
        <v>1</v>
      </c>
      <c r="Q213" s="142">
        <f t="shared" si="46"/>
        <v>27000000</v>
      </c>
      <c r="R213" s="142">
        <f t="shared" si="47"/>
        <v>27000000</v>
      </c>
      <c r="S213" s="143" t="s">
        <v>223</v>
      </c>
      <c r="T213" s="139">
        <f t="shared" si="44"/>
        <v>0</v>
      </c>
      <c r="U213" s="48" t="str">
        <f t="shared" si="48"/>
        <v>SUBDIRECCION DE GESTION CONTRACTUAL</v>
      </c>
      <c r="V213" s="132" t="str">
        <f t="shared" si="40"/>
        <v>CO-DC</v>
      </c>
      <c r="W213" s="48" t="str">
        <f t="shared" si="41"/>
        <v>Distrito Capital de Bogotá</v>
      </c>
      <c r="X213" s="144" t="s">
        <v>671</v>
      </c>
      <c r="Y213" s="132">
        <v>2427400</v>
      </c>
      <c r="Z213" s="146" t="s">
        <v>87</v>
      </c>
    </row>
    <row r="214" spans="1:26" s="10" customFormat="1" ht="12.75" customHeight="1" x14ac:dyDescent="0.2">
      <c r="A214" s="131" t="s">
        <v>84</v>
      </c>
      <c r="B214" s="132">
        <f t="shared" si="42"/>
        <v>57</v>
      </c>
      <c r="C214" s="133" t="s">
        <v>375</v>
      </c>
      <c r="D214" s="133" t="s">
        <v>376</v>
      </c>
      <c r="E214" s="129"/>
      <c r="F214" s="129">
        <v>4731015587</v>
      </c>
      <c r="G214" s="129"/>
      <c r="H214" s="134">
        <v>80111600</v>
      </c>
      <c r="I214" s="135" t="s">
        <v>353</v>
      </c>
      <c r="J214" s="136">
        <v>1</v>
      </c>
      <c r="K214" s="137">
        <v>1</v>
      </c>
      <c r="L214" s="138">
        <v>12</v>
      </c>
      <c r="M214" s="132">
        <f t="shared" si="45"/>
        <v>1</v>
      </c>
      <c r="N214" s="139" t="s">
        <v>216</v>
      </c>
      <c r="O214" s="140" t="str">
        <f>IF(ISBLANK(N214),"",VLOOKUP(N214,[11]Parámetros!$G$2:$H$23,2,FALSE))</f>
        <v>Contratación directa.</v>
      </c>
      <c r="P214" s="141">
        <f t="shared" si="43"/>
        <v>1</v>
      </c>
      <c r="Q214" s="142">
        <f t="shared" si="46"/>
        <v>4731015587</v>
      </c>
      <c r="R214" s="142">
        <f t="shared" si="47"/>
        <v>4731015587</v>
      </c>
      <c r="S214" s="143" t="s">
        <v>223</v>
      </c>
      <c r="T214" s="139">
        <f t="shared" si="44"/>
        <v>0</v>
      </c>
      <c r="U214" s="48" t="str">
        <f t="shared" si="48"/>
        <v>SUBDIRECCION DE GESTION CONTRACTUAL</v>
      </c>
      <c r="V214" s="132" t="str">
        <f t="shared" si="40"/>
        <v>CO-DC</v>
      </c>
      <c r="W214" s="48" t="str">
        <f t="shared" si="41"/>
        <v>Distrito Capital de Bogotá</v>
      </c>
      <c r="X214" s="144" t="s">
        <v>671</v>
      </c>
      <c r="Y214" s="132">
        <v>2427400</v>
      </c>
      <c r="Z214" s="146" t="s">
        <v>87</v>
      </c>
    </row>
    <row r="215" spans="1:26" s="10" customFormat="1" ht="12.75" customHeight="1" x14ac:dyDescent="0.2">
      <c r="A215" s="131" t="s">
        <v>84</v>
      </c>
      <c r="B215" s="132">
        <f t="shared" si="42"/>
        <v>58</v>
      </c>
      <c r="C215" s="133" t="s">
        <v>375</v>
      </c>
      <c r="D215" s="133" t="s">
        <v>376</v>
      </c>
      <c r="E215" s="129"/>
      <c r="F215" s="286">
        <f>3375904460+163647055</f>
        <v>3539551515</v>
      </c>
      <c r="G215" s="129"/>
      <c r="H215" s="134" t="s">
        <v>795</v>
      </c>
      <c r="I215" s="135" t="s">
        <v>356</v>
      </c>
      <c r="J215" s="136">
        <v>2</v>
      </c>
      <c r="K215" s="137">
        <v>3</v>
      </c>
      <c r="L215" s="138">
        <v>9</v>
      </c>
      <c r="M215" s="132">
        <f t="shared" si="45"/>
        <v>1</v>
      </c>
      <c r="N215" s="139" t="s">
        <v>233</v>
      </c>
      <c r="O215" s="140" t="str">
        <f>IF(ISBLANK(N215),"",VLOOKUP(N215,[11]Parámetros!$G$2:$H$23,2,FALSE))</f>
        <v>Licitación pública</v>
      </c>
      <c r="P215" s="141">
        <f t="shared" si="43"/>
        <v>1</v>
      </c>
      <c r="Q215" s="142">
        <f t="shared" si="46"/>
        <v>3539551515</v>
      </c>
      <c r="R215" s="142">
        <f t="shared" si="47"/>
        <v>3539551515</v>
      </c>
      <c r="S215" s="143" t="s">
        <v>223</v>
      </c>
      <c r="T215" s="139">
        <f t="shared" si="44"/>
        <v>0</v>
      </c>
      <c r="U215" s="48" t="str">
        <f t="shared" si="48"/>
        <v>SUBDIRECCION DE GESTION CONTRACTUAL</v>
      </c>
      <c r="V215" s="132" t="str">
        <f t="shared" si="40"/>
        <v>CO-DC</v>
      </c>
      <c r="W215" s="48" t="str">
        <f t="shared" si="41"/>
        <v>Distrito Capital de Bogotá</v>
      </c>
      <c r="X215" s="144" t="s">
        <v>671</v>
      </c>
      <c r="Y215" s="132">
        <v>2427400</v>
      </c>
      <c r="Z215" s="146" t="s">
        <v>87</v>
      </c>
    </row>
    <row r="216" spans="1:26" s="10" customFormat="1" ht="12.75" customHeight="1" x14ac:dyDescent="0.2">
      <c r="A216" s="131" t="s">
        <v>84</v>
      </c>
      <c r="B216" s="132">
        <f t="shared" si="42"/>
        <v>59</v>
      </c>
      <c r="C216" s="133" t="s">
        <v>85</v>
      </c>
      <c r="D216" s="133" t="s">
        <v>86</v>
      </c>
      <c r="E216" s="129"/>
      <c r="F216" s="129">
        <v>300000000</v>
      </c>
      <c r="G216" s="129"/>
      <c r="H216" s="134" t="s">
        <v>239</v>
      </c>
      <c r="I216" s="135" t="s">
        <v>377</v>
      </c>
      <c r="J216" s="136">
        <v>2</v>
      </c>
      <c r="K216" s="137">
        <v>3</v>
      </c>
      <c r="L216" s="138">
        <v>4</v>
      </c>
      <c r="M216" s="132">
        <f t="shared" si="45"/>
        <v>1</v>
      </c>
      <c r="N216" s="139" t="s">
        <v>43</v>
      </c>
      <c r="O216" s="140" t="str">
        <f>IF(ISBLANK(N216),"",VLOOKUP(N216,[11]Parámetros!$G$2:$H$23,2,FALSE))</f>
        <v>Selección abreviada subasta inversa</v>
      </c>
      <c r="P216" s="141">
        <f t="shared" si="43"/>
        <v>1</v>
      </c>
      <c r="Q216" s="142">
        <f t="shared" si="46"/>
        <v>300000000</v>
      </c>
      <c r="R216" s="142">
        <f t="shared" si="47"/>
        <v>300000000</v>
      </c>
      <c r="S216" s="143" t="s">
        <v>223</v>
      </c>
      <c r="T216" s="139">
        <f t="shared" si="44"/>
        <v>0</v>
      </c>
      <c r="U216" s="48" t="str">
        <f t="shared" si="48"/>
        <v>SUBDIRECCION DE GESTION CONTRACTUAL</v>
      </c>
      <c r="V216" s="132" t="str">
        <f t="shared" si="40"/>
        <v>CO-DC</v>
      </c>
      <c r="W216" s="48" t="str">
        <f t="shared" si="41"/>
        <v>Distrito Capital de Bogotá</v>
      </c>
      <c r="X216" s="144" t="s">
        <v>331</v>
      </c>
      <c r="Y216" s="132">
        <v>2427400</v>
      </c>
      <c r="Z216" s="146" t="s">
        <v>94</v>
      </c>
    </row>
    <row r="217" spans="1:26" s="10" customFormat="1" ht="12.75" customHeight="1" x14ac:dyDescent="0.2">
      <c r="A217" s="131" t="s">
        <v>84</v>
      </c>
      <c r="B217" s="132">
        <f t="shared" si="42"/>
        <v>60</v>
      </c>
      <c r="C217" s="133" t="s">
        <v>91</v>
      </c>
      <c r="D217" s="133" t="s">
        <v>89</v>
      </c>
      <c r="E217" s="129"/>
      <c r="F217" s="286">
        <f>325175000-325175000</f>
        <v>0</v>
      </c>
      <c r="G217" s="129"/>
      <c r="H217" s="134" t="s">
        <v>795</v>
      </c>
      <c r="I217" s="135" t="s">
        <v>356</v>
      </c>
      <c r="J217" s="150">
        <v>1</v>
      </c>
      <c r="K217" s="150">
        <v>2</v>
      </c>
      <c r="L217" s="150">
        <v>3</v>
      </c>
      <c r="M217" s="132">
        <f t="shared" si="45"/>
        <v>1</v>
      </c>
      <c r="N217" s="139" t="s">
        <v>36</v>
      </c>
      <c r="O217" s="140" t="str">
        <f>IF(ISBLANK(N217),"",VLOOKUP(N217,[11]Parámetros!$G$2:$H$23,2,FALSE))</f>
        <v xml:space="preserve">Contratación directa (con ofertas) </v>
      </c>
      <c r="P217" s="141">
        <f t="shared" si="43"/>
        <v>1</v>
      </c>
      <c r="Q217" s="142">
        <f t="shared" si="46"/>
        <v>0</v>
      </c>
      <c r="R217" s="142">
        <f t="shared" si="47"/>
        <v>0</v>
      </c>
      <c r="S217" s="143" t="s">
        <v>223</v>
      </c>
      <c r="T217" s="139">
        <f t="shared" si="44"/>
        <v>0</v>
      </c>
      <c r="U217" s="48" t="str">
        <f t="shared" si="48"/>
        <v>SUBDIRECCION DE GESTION CONTRACTUAL</v>
      </c>
      <c r="V217" s="132" t="str">
        <f t="shared" si="40"/>
        <v>CO-DC</v>
      </c>
      <c r="W217" s="48" t="str">
        <f t="shared" si="41"/>
        <v>Distrito Capital de Bogotá</v>
      </c>
      <c r="X217" s="144" t="s">
        <v>671</v>
      </c>
      <c r="Y217" s="132">
        <v>2427400</v>
      </c>
      <c r="Z217" s="146" t="s">
        <v>87</v>
      </c>
    </row>
    <row r="218" spans="1:26" s="10" customFormat="1" ht="12.75" customHeight="1" x14ac:dyDescent="0.2">
      <c r="A218" s="131" t="s">
        <v>84</v>
      </c>
      <c r="B218" s="132">
        <f t="shared" si="42"/>
        <v>61</v>
      </c>
      <c r="C218" s="133" t="s">
        <v>354</v>
      </c>
      <c r="D218" s="133" t="s">
        <v>89</v>
      </c>
      <c r="E218" s="129"/>
      <c r="F218" s="286">
        <f>96000000-96000000</f>
        <v>0</v>
      </c>
      <c r="G218" s="129"/>
      <c r="H218" s="134" t="s">
        <v>795</v>
      </c>
      <c r="I218" s="135" t="s">
        <v>356</v>
      </c>
      <c r="J218" s="150">
        <v>1</v>
      </c>
      <c r="K218" s="150">
        <v>2</v>
      </c>
      <c r="L218" s="150">
        <v>3</v>
      </c>
      <c r="M218" s="132">
        <f t="shared" si="45"/>
        <v>1</v>
      </c>
      <c r="N218" s="139" t="s">
        <v>36</v>
      </c>
      <c r="O218" s="140" t="str">
        <f>IF(ISBLANK(N218),"",VLOOKUP(N218,[11]Parámetros!$G$2:$H$23,2,FALSE))</f>
        <v xml:space="preserve">Contratación directa (con ofertas) </v>
      </c>
      <c r="P218" s="141">
        <f t="shared" si="43"/>
        <v>1</v>
      </c>
      <c r="Q218" s="142">
        <f t="shared" si="46"/>
        <v>0</v>
      </c>
      <c r="R218" s="142">
        <f t="shared" si="47"/>
        <v>0</v>
      </c>
      <c r="S218" s="143" t="s">
        <v>223</v>
      </c>
      <c r="T218" s="139">
        <f t="shared" si="44"/>
        <v>0</v>
      </c>
      <c r="U218" s="48" t="str">
        <f t="shared" si="48"/>
        <v>SUBDIRECCION DE GESTION CONTRACTUAL</v>
      </c>
      <c r="V218" s="132" t="str">
        <f t="shared" si="40"/>
        <v>CO-DC</v>
      </c>
      <c r="W218" s="48" t="str">
        <f t="shared" si="41"/>
        <v>Distrito Capital de Bogotá</v>
      </c>
      <c r="X218" s="144" t="s">
        <v>671</v>
      </c>
      <c r="Y218" s="132">
        <v>2427400</v>
      </c>
      <c r="Z218" s="146" t="s">
        <v>87</v>
      </c>
    </row>
    <row r="219" spans="1:26" s="10" customFormat="1" ht="12.75" customHeight="1" x14ac:dyDescent="0.2">
      <c r="A219" s="131" t="s">
        <v>84</v>
      </c>
      <c r="B219" s="132">
        <f t="shared" si="42"/>
        <v>62</v>
      </c>
      <c r="C219" s="133" t="s">
        <v>355</v>
      </c>
      <c r="D219" s="133" t="s">
        <v>89</v>
      </c>
      <c r="E219" s="129"/>
      <c r="F219" s="286">
        <f>942450000-865200000-77250000</f>
        <v>0</v>
      </c>
      <c r="G219" s="129"/>
      <c r="H219" s="134" t="s">
        <v>795</v>
      </c>
      <c r="I219" s="135" t="s">
        <v>356</v>
      </c>
      <c r="J219" s="150">
        <v>1</v>
      </c>
      <c r="K219" s="150">
        <v>2</v>
      </c>
      <c r="L219" s="150">
        <v>3</v>
      </c>
      <c r="M219" s="132">
        <f t="shared" si="45"/>
        <v>1</v>
      </c>
      <c r="N219" s="139" t="s">
        <v>36</v>
      </c>
      <c r="O219" s="140" t="str">
        <f>IF(ISBLANK(N219),"",VLOOKUP(N219,[11]Parámetros!$G$2:$H$23,2,FALSE))</f>
        <v xml:space="preserve">Contratación directa (con ofertas) </v>
      </c>
      <c r="P219" s="141">
        <f t="shared" si="43"/>
        <v>1</v>
      </c>
      <c r="Q219" s="142">
        <f t="shared" si="46"/>
        <v>0</v>
      </c>
      <c r="R219" s="142">
        <f t="shared" si="47"/>
        <v>0</v>
      </c>
      <c r="S219" s="143" t="s">
        <v>223</v>
      </c>
      <c r="T219" s="139">
        <f t="shared" si="44"/>
        <v>0</v>
      </c>
      <c r="U219" s="48" t="str">
        <f t="shared" si="48"/>
        <v>SUBDIRECCION DE GESTION CONTRACTUAL</v>
      </c>
      <c r="V219" s="132" t="str">
        <f t="shared" si="40"/>
        <v>CO-DC</v>
      </c>
      <c r="W219" s="48" t="str">
        <f t="shared" si="41"/>
        <v>Distrito Capital de Bogotá</v>
      </c>
      <c r="X219" s="144" t="s">
        <v>671</v>
      </c>
      <c r="Y219" s="132">
        <v>2427400</v>
      </c>
      <c r="Z219" s="146" t="s">
        <v>87</v>
      </c>
    </row>
    <row r="220" spans="1:26" s="10" customFormat="1" ht="12.75" customHeight="1" x14ac:dyDescent="0.2">
      <c r="A220" s="131" t="s">
        <v>84</v>
      </c>
      <c r="B220" s="132">
        <f t="shared" si="42"/>
        <v>63</v>
      </c>
      <c r="C220" s="133" t="s">
        <v>363</v>
      </c>
      <c r="D220" s="133" t="s">
        <v>364</v>
      </c>
      <c r="E220" s="129"/>
      <c r="F220" s="286">
        <f>198202843-198202843</f>
        <v>0</v>
      </c>
      <c r="G220" s="129"/>
      <c r="H220" s="134" t="s">
        <v>795</v>
      </c>
      <c r="I220" s="135" t="s">
        <v>356</v>
      </c>
      <c r="J220" s="150">
        <v>1</v>
      </c>
      <c r="K220" s="150">
        <v>2</v>
      </c>
      <c r="L220" s="150">
        <v>3</v>
      </c>
      <c r="M220" s="132">
        <f t="shared" si="45"/>
        <v>1</v>
      </c>
      <c r="N220" s="139" t="s">
        <v>36</v>
      </c>
      <c r="O220" s="140" t="str">
        <f>IF(ISBLANK(N220),"",VLOOKUP(N220,[11]Parámetros!$G$2:$H$23,2,FALSE))</f>
        <v xml:space="preserve">Contratación directa (con ofertas) </v>
      </c>
      <c r="P220" s="141">
        <f t="shared" si="43"/>
        <v>1</v>
      </c>
      <c r="Q220" s="142">
        <f t="shared" si="46"/>
        <v>0</v>
      </c>
      <c r="R220" s="142">
        <f t="shared" si="47"/>
        <v>0</v>
      </c>
      <c r="S220" s="143" t="s">
        <v>223</v>
      </c>
      <c r="T220" s="139">
        <f t="shared" si="44"/>
        <v>0</v>
      </c>
      <c r="U220" s="48" t="str">
        <f t="shared" si="48"/>
        <v>SUBDIRECCION DE GESTION CONTRACTUAL</v>
      </c>
      <c r="V220" s="132" t="str">
        <f t="shared" si="40"/>
        <v>CO-DC</v>
      </c>
      <c r="W220" s="48" t="str">
        <f t="shared" si="41"/>
        <v>Distrito Capital de Bogotá</v>
      </c>
      <c r="X220" s="144" t="s">
        <v>671</v>
      </c>
      <c r="Y220" s="132">
        <v>2427400</v>
      </c>
      <c r="Z220" s="146" t="s">
        <v>87</v>
      </c>
    </row>
    <row r="221" spans="1:26" s="10" customFormat="1" ht="12.75" customHeight="1" x14ac:dyDescent="0.2">
      <c r="A221" s="131" t="s">
        <v>84</v>
      </c>
      <c r="B221" s="132">
        <f t="shared" si="42"/>
        <v>64</v>
      </c>
      <c r="C221" s="133" t="s">
        <v>365</v>
      </c>
      <c r="D221" s="133" t="s">
        <v>366</v>
      </c>
      <c r="E221" s="129"/>
      <c r="F221" s="286">
        <f>80000000-80000000</f>
        <v>0</v>
      </c>
      <c r="G221" s="129"/>
      <c r="H221" s="134" t="s">
        <v>795</v>
      </c>
      <c r="I221" s="135" t="s">
        <v>356</v>
      </c>
      <c r="J221" s="150">
        <v>1</v>
      </c>
      <c r="K221" s="150">
        <v>2</v>
      </c>
      <c r="L221" s="150">
        <v>3</v>
      </c>
      <c r="M221" s="132">
        <f t="shared" si="45"/>
        <v>1</v>
      </c>
      <c r="N221" s="139" t="s">
        <v>36</v>
      </c>
      <c r="O221" s="140" t="str">
        <f>IF(ISBLANK(N221),"",VLOOKUP(N221,[11]Parámetros!$G$2:$H$23,2,FALSE))</f>
        <v xml:space="preserve">Contratación directa (con ofertas) </v>
      </c>
      <c r="P221" s="141">
        <f t="shared" si="43"/>
        <v>1</v>
      </c>
      <c r="Q221" s="142">
        <f t="shared" si="46"/>
        <v>0</v>
      </c>
      <c r="R221" s="142">
        <f t="shared" si="47"/>
        <v>0</v>
      </c>
      <c r="S221" s="143" t="s">
        <v>223</v>
      </c>
      <c r="T221" s="139">
        <f t="shared" si="44"/>
        <v>0</v>
      </c>
      <c r="U221" s="48" t="str">
        <f t="shared" si="48"/>
        <v>SUBDIRECCION DE GESTION CONTRACTUAL</v>
      </c>
      <c r="V221" s="132" t="str">
        <f t="shared" si="40"/>
        <v>CO-DC</v>
      </c>
      <c r="W221" s="48" t="str">
        <f t="shared" si="41"/>
        <v>Distrito Capital de Bogotá</v>
      </c>
      <c r="X221" s="144" t="s">
        <v>671</v>
      </c>
      <c r="Y221" s="132">
        <v>2427400</v>
      </c>
      <c r="Z221" s="146" t="s">
        <v>87</v>
      </c>
    </row>
    <row r="222" spans="1:26" s="10" customFormat="1" ht="12.75" customHeight="1" x14ac:dyDescent="0.2">
      <c r="A222" s="131" t="s">
        <v>84</v>
      </c>
      <c r="B222" s="132">
        <f t="shared" si="42"/>
        <v>65</v>
      </c>
      <c r="C222" s="133" t="s">
        <v>367</v>
      </c>
      <c r="D222" s="133" t="s">
        <v>368</v>
      </c>
      <c r="E222" s="129"/>
      <c r="F222" s="286">
        <f>200000000-200000000</f>
        <v>0</v>
      </c>
      <c r="G222" s="129"/>
      <c r="H222" s="134" t="s">
        <v>795</v>
      </c>
      <c r="I222" s="135" t="s">
        <v>356</v>
      </c>
      <c r="J222" s="150">
        <v>1</v>
      </c>
      <c r="K222" s="150">
        <v>2</v>
      </c>
      <c r="L222" s="150">
        <v>3</v>
      </c>
      <c r="M222" s="132">
        <f t="shared" si="45"/>
        <v>1</v>
      </c>
      <c r="N222" s="139" t="s">
        <v>36</v>
      </c>
      <c r="O222" s="140" t="str">
        <f>IF(ISBLANK(N222),"",VLOOKUP(N222,[11]Parámetros!$G$2:$H$23,2,FALSE))</f>
        <v xml:space="preserve">Contratación directa (con ofertas) </v>
      </c>
      <c r="P222" s="141">
        <f t="shared" si="43"/>
        <v>1</v>
      </c>
      <c r="Q222" s="142">
        <f t="shared" si="46"/>
        <v>0</v>
      </c>
      <c r="R222" s="142">
        <f t="shared" si="47"/>
        <v>0</v>
      </c>
      <c r="S222" s="143" t="s">
        <v>223</v>
      </c>
      <c r="T222" s="139">
        <f t="shared" si="44"/>
        <v>0</v>
      </c>
      <c r="U222" s="48" t="str">
        <f t="shared" si="48"/>
        <v>SUBDIRECCION DE GESTION CONTRACTUAL</v>
      </c>
      <c r="V222" s="132" t="str">
        <f t="shared" si="40"/>
        <v>CO-DC</v>
      </c>
      <c r="W222" s="48" t="str">
        <f t="shared" si="41"/>
        <v>Distrito Capital de Bogotá</v>
      </c>
      <c r="X222" s="144" t="s">
        <v>671</v>
      </c>
      <c r="Y222" s="132">
        <v>2427400</v>
      </c>
      <c r="Z222" s="146" t="s">
        <v>87</v>
      </c>
    </row>
    <row r="223" spans="1:26" s="10" customFormat="1" ht="12.75" customHeight="1" x14ac:dyDescent="0.2">
      <c r="A223" s="131" t="s">
        <v>84</v>
      </c>
      <c r="B223" s="132">
        <f t="shared" si="42"/>
        <v>66</v>
      </c>
      <c r="C223" s="133" t="s">
        <v>369</v>
      </c>
      <c r="D223" s="133" t="s">
        <v>368</v>
      </c>
      <c r="E223" s="129"/>
      <c r="F223" s="286">
        <f>70000000-70000000</f>
        <v>0</v>
      </c>
      <c r="G223" s="129"/>
      <c r="H223" s="134" t="s">
        <v>795</v>
      </c>
      <c r="I223" s="135" t="s">
        <v>356</v>
      </c>
      <c r="J223" s="150">
        <v>1</v>
      </c>
      <c r="K223" s="150">
        <v>2</v>
      </c>
      <c r="L223" s="150">
        <v>3</v>
      </c>
      <c r="M223" s="132">
        <f t="shared" si="45"/>
        <v>1</v>
      </c>
      <c r="N223" s="139" t="s">
        <v>36</v>
      </c>
      <c r="O223" s="140" t="str">
        <f>IF(ISBLANK(N223),"",VLOOKUP(N223,[11]Parámetros!$G$2:$H$23,2,FALSE))</f>
        <v xml:space="preserve">Contratación directa (con ofertas) </v>
      </c>
      <c r="P223" s="141">
        <f t="shared" si="43"/>
        <v>1</v>
      </c>
      <c r="Q223" s="142">
        <f t="shared" si="46"/>
        <v>0</v>
      </c>
      <c r="R223" s="142">
        <f t="shared" si="47"/>
        <v>0</v>
      </c>
      <c r="S223" s="143" t="s">
        <v>223</v>
      </c>
      <c r="T223" s="139">
        <f t="shared" si="44"/>
        <v>0</v>
      </c>
      <c r="U223" s="48" t="str">
        <f t="shared" si="48"/>
        <v>SUBDIRECCION DE GESTION CONTRACTUAL</v>
      </c>
      <c r="V223" s="132" t="str">
        <f t="shared" si="40"/>
        <v>CO-DC</v>
      </c>
      <c r="W223" s="48" t="str">
        <f t="shared" si="41"/>
        <v>Distrito Capital de Bogotá</v>
      </c>
      <c r="X223" s="144" t="s">
        <v>671</v>
      </c>
      <c r="Y223" s="132">
        <v>2427400</v>
      </c>
      <c r="Z223" s="146" t="s">
        <v>87</v>
      </c>
    </row>
    <row r="224" spans="1:26" s="10" customFormat="1" ht="12.75" customHeight="1" x14ac:dyDescent="0.2">
      <c r="A224" s="131" t="s">
        <v>84</v>
      </c>
      <c r="B224" s="132">
        <f t="shared" si="42"/>
        <v>67</v>
      </c>
      <c r="C224" s="133" t="s">
        <v>370</v>
      </c>
      <c r="D224" s="133" t="s">
        <v>371</v>
      </c>
      <c r="E224" s="129"/>
      <c r="F224" s="286">
        <v>0</v>
      </c>
      <c r="G224" s="129"/>
      <c r="H224" s="134" t="s">
        <v>795</v>
      </c>
      <c r="I224" s="135" t="s">
        <v>356</v>
      </c>
      <c r="J224" s="150">
        <v>1</v>
      </c>
      <c r="K224" s="150">
        <v>2</v>
      </c>
      <c r="L224" s="150">
        <v>3</v>
      </c>
      <c r="M224" s="132">
        <f t="shared" si="45"/>
        <v>1</v>
      </c>
      <c r="N224" s="139" t="s">
        <v>36</v>
      </c>
      <c r="O224" s="140" t="str">
        <f>IF(ISBLANK(N224),"",VLOOKUP(N224,[11]Parámetros!$G$2:$H$23,2,FALSE))</f>
        <v xml:space="preserve">Contratación directa (con ofertas) </v>
      </c>
      <c r="P224" s="141">
        <f t="shared" si="43"/>
        <v>1</v>
      </c>
      <c r="Q224" s="142">
        <f t="shared" si="46"/>
        <v>0</v>
      </c>
      <c r="R224" s="142">
        <f t="shared" si="47"/>
        <v>0</v>
      </c>
      <c r="S224" s="143" t="s">
        <v>223</v>
      </c>
      <c r="T224" s="139">
        <f t="shared" si="44"/>
        <v>0</v>
      </c>
      <c r="U224" s="48" t="str">
        <f t="shared" si="48"/>
        <v>SUBDIRECCION DE GESTION CONTRACTUAL</v>
      </c>
      <c r="V224" s="132" t="str">
        <f t="shared" si="40"/>
        <v>CO-DC</v>
      </c>
      <c r="W224" s="48" t="str">
        <f t="shared" si="41"/>
        <v>Distrito Capital de Bogotá</v>
      </c>
      <c r="X224" s="144" t="s">
        <v>671</v>
      </c>
      <c r="Y224" s="132">
        <v>2427400</v>
      </c>
      <c r="Z224" s="146" t="s">
        <v>87</v>
      </c>
    </row>
    <row r="225" spans="1:26" s="10" customFormat="1" ht="12.75" customHeight="1" x14ac:dyDescent="0.2">
      <c r="A225" s="131" t="s">
        <v>84</v>
      </c>
      <c r="B225" s="132">
        <f t="shared" si="42"/>
        <v>68</v>
      </c>
      <c r="C225" s="133" t="s">
        <v>373</v>
      </c>
      <c r="D225" s="133" t="s">
        <v>88</v>
      </c>
      <c r="E225" s="129"/>
      <c r="F225" s="286">
        <f>380000-380000</f>
        <v>0</v>
      </c>
      <c r="G225" s="129"/>
      <c r="H225" s="134" t="s">
        <v>795</v>
      </c>
      <c r="I225" s="135" t="s">
        <v>356</v>
      </c>
      <c r="J225" s="150">
        <v>1</v>
      </c>
      <c r="K225" s="150">
        <v>2</v>
      </c>
      <c r="L225" s="150">
        <v>3</v>
      </c>
      <c r="M225" s="132">
        <f t="shared" si="45"/>
        <v>1</v>
      </c>
      <c r="N225" s="139" t="s">
        <v>36</v>
      </c>
      <c r="O225" s="140" t="str">
        <f>IF(ISBLANK(N225),"",VLOOKUP(N225,[11]Parámetros!$G$2:$H$23,2,FALSE))</f>
        <v xml:space="preserve">Contratación directa (con ofertas) </v>
      </c>
      <c r="P225" s="141">
        <f t="shared" si="43"/>
        <v>1</v>
      </c>
      <c r="Q225" s="142">
        <f t="shared" si="46"/>
        <v>0</v>
      </c>
      <c r="R225" s="142">
        <f t="shared" si="47"/>
        <v>0</v>
      </c>
      <c r="S225" s="143" t="s">
        <v>223</v>
      </c>
      <c r="T225" s="139">
        <f t="shared" si="44"/>
        <v>0</v>
      </c>
      <c r="U225" s="48" t="str">
        <f t="shared" si="48"/>
        <v>SUBDIRECCION DE GESTION CONTRACTUAL</v>
      </c>
      <c r="V225" s="132" t="str">
        <f t="shared" si="40"/>
        <v>CO-DC</v>
      </c>
      <c r="W225" s="48" t="str">
        <f t="shared" si="41"/>
        <v>Distrito Capital de Bogotá</v>
      </c>
      <c r="X225" s="144" t="s">
        <v>671</v>
      </c>
      <c r="Y225" s="132">
        <v>2427400</v>
      </c>
      <c r="Z225" s="146" t="s">
        <v>87</v>
      </c>
    </row>
    <row r="226" spans="1:26" s="10" customFormat="1" ht="12.75" customHeight="1" x14ac:dyDescent="0.2">
      <c r="A226" s="131" t="s">
        <v>84</v>
      </c>
      <c r="B226" s="132">
        <f t="shared" si="42"/>
        <v>69</v>
      </c>
      <c r="C226" s="133" t="s">
        <v>374</v>
      </c>
      <c r="D226" s="133" t="s">
        <v>88</v>
      </c>
      <c r="E226" s="129"/>
      <c r="F226" s="286">
        <f>60000000-60000000</f>
        <v>0</v>
      </c>
      <c r="G226" s="129"/>
      <c r="H226" s="134" t="s">
        <v>795</v>
      </c>
      <c r="I226" s="135" t="s">
        <v>356</v>
      </c>
      <c r="J226" s="150">
        <v>1</v>
      </c>
      <c r="K226" s="150">
        <v>2</v>
      </c>
      <c r="L226" s="150">
        <v>3</v>
      </c>
      <c r="M226" s="132">
        <f t="shared" si="45"/>
        <v>1</v>
      </c>
      <c r="N226" s="139" t="s">
        <v>36</v>
      </c>
      <c r="O226" s="140" t="str">
        <f>IF(ISBLANK(N226),"",VLOOKUP(N226,[11]Parámetros!$G$2:$H$23,2,FALSE))</f>
        <v xml:space="preserve">Contratación directa (con ofertas) </v>
      </c>
      <c r="P226" s="141">
        <f t="shared" si="43"/>
        <v>1</v>
      </c>
      <c r="Q226" s="142">
        <f t="shared" si="46"/>
        <v>0</v>
      </c>
      <c r="R226" s="142">
        <f t="shared" si="47"/>
        <v>0</v>
      </c>
      <c r="S226" s="143" t="s">
        <v>223</v>
      </c>
      <c r="T226" s="139">
        <f t="shared" si="44"/>
        <v>0</v>
      </c>
      <c r="U226" s="48" t="str">
        <f t="shared" si="48"/>
        <v>SUBDIRECCION DE GESTION CONTRACTUAL</v>
      </c>
      <c r="V226" s="132" t="str">
        <f t="shared" si="40"/>
        <v>CO-DC</v>
      </c>
      <c r="W226" s="48" t="str">
        <f t="shared" si="41"/>
        <v>Distrito Capital de Bogotá</v>
      </c>
      <c r="X226" s="144" t="s">
        <v>671</v>
      </c>
      <c r="Y226" s="132">
        <v>2427400</v>
      </c>
      <c r="Z226" s="146" t="s">
        <v>87</v>
      </c>
    </row>
    <row r="227" spans="1:26" s="10" customFormat="1" ht="12.75" customHeight="1" x14ac:dyDescent="0.2">
      <c r="A227" s="131" t="s">
        <v>84</v>
      </c>
      <c r="B227" s="132">
        <f t="shared" si="42"/>
        <v>70</v>
      </c>
      <c r="C227" s="133" t="s">
        <v>375</v>
      </c>
      <c r="D227" s="133" t="s">
        <v>376</v>
      </c>
      <c r="E227" s="129"/>
      <c r="F227" s="286">
        <f>163647055-163647055</f>
        <v>0</v>
      </c>
      <c r="G227" s="129"/>
      <c r="H227" s="134" t="s">
        <v>795</v>
      </c>
      <c r="I227" s="135" t="s">
        <v>356</v>
      </c>
      <c r="J227" s="150">
        <v>1</v>
      </c>
      <c r="K227" s="150">
        <v>2</v>
      </c>
      <c r="L227" s="150">
        <v>3</v>
      </c>
      <c r="M227" s="132">
        <f t="shared" si="45"/>
        <v>1</v>
      </c>
      <c r="N227" s="139" t="s">
        <v>36</v>
      </c>
      <c r="O227" s="140" t="str">
        <f>IF(ISBLANK(N227),"",VLOOKUP(N227,[11]Parámetros!$G$2:$H$23,2,FALSE))</f>
        <v xml:space="preserve">Contratación directa (con ofertas) </v>
      </c>
      <c r="P227" s="141">
        <f t="shared" si="43"/>
        <v>1</v>
      </c>
      <c r="Q227" s="142">
        <f t="shared" si="46"/>
        <v>0</v>
      </c>
      <c r="R227" s="142">
        <f t="shared" si="47"/>
        <v>0</v>
      </c>
      <c r="S227" s="143" t="s">
        <v>223</v>
      </c>
      <c r="T227" s="139">
        <f t="shared" si="44"/>
        <v>0</v>
      </c>
      <c r="U227" s="48" t="str">
        <f t="shared" si="48"/>
        <v>SUBDIRECCION DE GESTION CONTRACTUAL</v>
      </c>
      <c r="V227" s="132" t="str">
        <f t="shared" si="40"/>
        <v>CO-DC</v>
      </c>
      <c r="W227" s="48" t="str">
        <f t="shared" si="41"/>
        <v>Distrito Capital de Bogotá</v>
      </c>
      <c r="X227" s="144" t="s">
        <v>671</v>
      </c>
      <c r="Y227" s="132">
        <v>2427400</v>
      </c>
      <c r="Z227" s="146" t="s">
        <v>87</v>
      </c>
    </row>
    <row r="228" spans="1:26" s="10" customFormat="1" ht="12.75" customHeight="1" x14ac:dyDescent="0.2">
      <c r="A228" s="172" t="s">
        <v>99</v>
      </c>
      <c r="B228" s="173">
        <v>1</v>
      </c>
      <c r="C228" s="174" t="s">
        <v>378</v>
      </c>
      <c r="D228" s="174" t="s">
        <v>100</v>
      </c>
      <c r="E228" s="175"/>
      <c r="F228" s="175">
        <v>494415925</v>
      </c>
      <c r="G228" s="175"/>
      <c r="H228" s="176">
        <v>80111600</v>
      </c>
      <c r="I228" s="177" t="s">
        <v>379</v>
      </c>
      <c r="J228" s="178">
        <v>1</v>
      </c>
      <c r="K228" s="178">
        <v>1</v>
      </c>
      <c r="L228" s="178">
        <v>12</v>
      </c>
      <c r="M228" s="179">
        <f t="shared" si="45"/>
        <v>1</v>
      </c>
      <c r="N228" s="180" t="s">
        <v>216</v>
      </c>
      <c r="O228" s="140" t="str">
        <f>IF(ISBLANK(N228),"",VLOOKUP(N228,[12]Parámetros!$G$2:$H$23,2,FALSE))</f>
        <v>Contratación directa.</v>
      </c>
      <c r="P228" s="181">
        <f t="shared" si="43"/>
        <v>1</v>
      </c>
      <c r="Q228" s="142">
        <f t="shared" si="46"/>
        <v>494415925</v>
      </c>
      <c r="R228" s="142">
        <f t="shared" si="47"/>
        <v>494415925</v>
      </c>
      <c r="S228" s="182" t="s">
        <v>223</v>
      </c>
      <c r="T228" s="183">
        <f t="shared" si="44"/>
        <v>0</v>
      </c>
      <c r="U228" s="48" t="str">
        <f t="shared" si="48"/>
        <v>SUBDIRECCION DE GESTION CONTRACTUAL</v>
      </c>
      <c r="V228" s="173" t="str">
        <f t="shared" si="40"/>
        <v>CO-DC</v>
      </c>
      <c r="W228" s="184" t="str">
        <f t="shared" si="41"/>
        <v>Distrito Capital de Bogotá</v>
      </c>
      <c r="X228" s="185" t="s">
        <v>106</v>
      </c>
      <c r="Y228" s="145">
        <v>2427400</v>
      </c>
      <c r="Z228" s="186" t="s">
        <v>380</v>
      </c>
    </row>
    <row r="229" spans="1:26" s="10" customFormat="1" ht="12.75" customHeight="1" x14ac:dyDescent="0.2">
      <c r="A229" s="131" t="s">
        <v>99</v>
      </c>
      <c r="B229" s="132">
        <v>2</v>
      </c>
      <c r="C229" s="133" t="s">
        <v>378</v>
      </c>
      <c r="D229" s="133" t="s">
        <v>100</v>
      </c>
      <c r="E229" s="129"/>
      <c r="F229" s="129">
        <v>10000000</v>
      </c>
      <c r="G229" s="129"/>
      <c r="H229" s="134" t="s">
        <v>795</v>
      </c>
      <c r="I229" s="135" t="s">
        <v>381</v>
      </c>
      <c r="J229" s="136">
        <v>2</v>
      </c>
      <c r="K229" s="137">
        <v>3</v>
      </c>
      <c r="L229" s="138">
        <v>9</v>
      </c>
      <c r="M229" s="132">
        <f t="shared" si="45"/>
        <v>1</v>
      </c>
      <c r="N229" s="139" t="s">
        <v>233</v>
      </c>
      <c r="O229" s="140" t="str">
        <f>IF(ISBLANK(N229),"",VLOOKUP(N229,[12]Parámetros!$G$2:$H$23,2,FALSE))</f>
        <v>Licitación pública</v>
      </c>
      <c r="P229" s="141">
        <v>1</v>
      </c>
      <c r="Q229" s="142">
        <f t="shared" si="46"/>
        <v>10000000</v>
      </c>
      <c r="R229" s="142">
        <f t="shared" si="47"/>
        <v>10000000</v>
      </c>
      <c r="S229" s="143" t="s">
        <v>223</v>
      </c>
      <c r="T229" s="139">
        <v>0</v>
      </c>
      <c r="U229" s="48" t="str">
        <f t="shared" si="48"/>
        <v>SUBDIRECCION DE GESTION CONTRACTUAL</v>
      </c>
      <c r="V229" s="132" t="str">
        <f t="shared" si="40"/>
        <v>CO-DC</v>
      </c>
      <c r="W229" s="48" t="str">
        <f t="shared" si="41"/>
        <v>Distrito Capital de Bogotá</v>
      </c>
      <c r="X229" s="144" t="s">
        <v>106</v>
      </c>
      <c r="Y229" s="145">
        <v>2427400</v>
      </c>
      <c r="Z229" s="146" t="s">
        <v>380</v>
      </c>
    </row>
    <row r="230" spans="1:26" s="10" customFormat="1" ht="12.75" customHeight="1" x14ac:dyDescent="0.25">
      <c r="A230" s="131" t="s">
        <v>99</v>
      </c>
      <c r="B230" s="132">
        <v>3</v>
      </c>
      <c r="C230" s="133" t="s">
        <v>378</v>
      </c>
      <c r="D230" s="133" t="s">
        <v>100</v>
      </c>
      <c r="E230" s="129"/>
      <c r="F230" s="129">
        <v>50000000</v>
      </c>
      <c r="G230" s="129"/>
      <c r="H230" s="203" t="s">
        <v>121</v>
      </c>
      <c r="I230" s="204" t="s">
        <v>871</v>
      </c>
      <c r="J230" s="211">
        <v>1</v>
      </c>
      <c r="K230" s="211">
        <v>2</v>
      </c>
      <c r="L230" s="211">
        <v>10</v>
      </c>
      <c r="M230" s="132">
        <f t="shared" si="45"/>
        <v>1</v>
      </c>
      <c r="N230" s="212" t="s">
        <v>43</v>
      </c>
      <c r="O230" s="213" t="str">
        <f>IF(ISBLANK(N230),"",VLOOKUP(N230,[1]Parámetros!$G$2:$H$23,2,FALSE))</f>
        <v>Selección abreviada subasta inversa</v>
      </c>
      <c r="P230" s="141">
        <v>1</v>
      </c>
      <c r="Q230" s="142">
        <f t="shared" si="46"/>
        <v>50000000</v>
      </c>
      <c r="R230" s="142">
        <f t="shared" si="47"/>
        <v>50000000</v>
      </c>
      <c r="S230" s="143" t="s">
        <v>223</v>
      </c>
      <c r="T230" s="139">
        <v>0</v>
      </c>
      <c r="U230" s="48" t="str">
        <f t="shared" si="48"/>
        <v>SUBDIRECCION DE GESTION CONTRACTUAL</v>
      </c>
      <c r="V230" s="132" t="str">
        <f t="shared" ref="V230:V293" si="49">IF(ISBLANK(N230),"","CO-DC")</f>
        <v>CO-DC</v>
      </c>
      <c r="W230" s="48" t="str">
        <f t="shared" ref="W230:W293" si="50">IF(ISBLANK(N230),"","Distrito Capital de Bogotá")</f>
        <v>Distrito Capital de Bogotá</v>
      </c>
      <c r="X230" s="228" t="s">
        <v>331</v>
      </c>
      <c r="Y230" s="132">
        <v>2427400</v>
      </c>
      <c r="Z230" s="231" t="s">
        <v>94</v>
      </c>
    </row>
    <row r="231" spans="1:26" s="10" customFormat="1" ht="12.75" customHeight="1" x14ac:dyDescent="0.2">
      <c r="A231" s="131" t="s">
        <v>99</v>
      </c>
      <c r="B231" s="132">
        <v>4</v>
      </c>
      <c r="C231" s="133" t="s">
        <v>378</v>
      </c>
      <c r="D231" s="133" t="s">
        <v>100</v>
      </c>
      <c r="E231" s="129"/>
      <c r="F231" s="129">
        <v>160000000</v>
      </c>
      <c r="G231" s="129"/>
      <c r="H231" s="187" t="s">
        <v>382</v>
      </c>
      <c r="I231" s="135" t="s">
        <v>383</v>
      </c>
      <c r="J231" s="150">
        <v>2</v>
      </c>
      <c r="K231" s="150">
        <v>2</v>
      </c>
      <c r="L231" s="150">
        <v>4</v>
      </c>
      <c r="M231" s="132">
        <f t="shared" si="45"/>
        <v>1</v>
      </c>
      <c r="N231" s="139" t="s">
        <v>36</v>
      </c>
      <c r="O231" s="140" t="str">
        <f>IF(ISBLANK(N231),"",VLOOKUP(N231,[12]Parámetros!$G$2:$H$23,2,FALSE))</f>
        <v xml:space="preserve">Contratación directa (con ofertas) </v>
      </c>
      <c r="P231" s="141">
        <v>1</v>
      </c>
      <c r="Q231" s="142">
        <f t="shared" si="46"/>
        <v>160000000</v>
      </c>
      <c r="R231" s="142">
        <f t="shared" si="47"/>
        <v>160000000</v>
      </c>
      <c r="S231" s="143" t="s">
        <v>223</v>
      </c>
      <c r="T231" s="139">
        <v>0</v>
      </c>
      <c r="U231" s="48" t="str">
        <f t="shared" si="48"/>
        <v>SUBDIRECCION DE GESTION CONTRACTUAL</v>
      </c>
      <c r="V231" s="132" t="str">
        <f t="shared" si="49"/>
        <v>CO-DC</v>
      </c>
      <c r="W231" s="48" t="str">
        <f t="shared" si="50"/>
        <v>Distrito Capital de Bogotá</v>
      </c>
      <c r="X231" s="144" t="s">
        <v>106</v>
      </c>
      <c r="Y231" s="145">
        <v>2427400</v>
      </c>
      <c r="Z231" s="146" t="s">
        <v>380</v>
      </c>
    </row>
    <row r="232" spans="1:26" s="10" customFormat="1" ht="12.75" customHeight="1" x14ac:dyDescent="0.2">
      <c r="A232" s="131" t="s">
        <v>99</v>
      </c>
      <c r="B232" s="132">
        <v>5</v>
      </c>
      <c r="C232" s="133" t="s">
        <v>384</v>
      </c>
      <c r="D232" s="133" t="s">
        <v>100</v>
      </c>
      <c r="E232" s="129"/>
      <c r="F232" s="129">
        <v>637415925</v>
      </c>
      <c r="G232" s="129"/>
      <c r="H232" s="134">
        <v>80111600</v>
      </c>
      <c r="I232" s="135" t="s">
        <v>379</v>
      </c>
      <c r="J232" s="150">
        <v>1</v>
      </c>
      <c r="K232" s="150">
        <v>1</v>
      </c>
      <c r="L232" s="150">
        <v>12</v>
      </c>
      <c r="M232" s="132">
        <f t="shared" si="45"/>
        <v>1</v>
      </c>
      <c r="N232" s="139" t="s">
        <v>216</v>
      </c>
      <c r="O232" s="140" t="str">
        <f>IF(ISBLANK(N232),"",VLOOKUP(N232,[12]Parámetros!$G$2:$H$23,2,FALSE))</f>
        <v>Contratación directa.</v>
      </c>
      <c r="P232" s="141">
        <f>IF(ISBLANK(N232),"",1)</f>
        <v>1</v>
      </c>
      <c r="Q232" s="142">
        <f t="shared" si="46"/>
        <v>637415925</v>
      </c>
      <c r="R232" s="142">
        <f t="shared" si="47"/>
        <v>637415925</v>
      </c>
      <c r="S232" s="143" t="s">
        <v>223</v>
      </c>
      <c r="T232" s="139">
        <f>IF(ISBLANK(S232),"",IF(VALUE(S232)=0,0,IF(VALUE(S232)=1,3,"")))</f>
        <v>0</v>
      </c>
      <c r="U232" s="48" t="str">
        <f t="shared" si="48"/>
        <v>SUBDIRECCION DE GESTION CONTRACTUAL</v>
      </c>
      <c r="V232" s="132" t="str">
        <f t="shared" si="49"/>
        <v>CO-DC</v>
      </c>
      <c r="W232" s="48" t="str">
        <f t="shared" si="50"/>
        <v>Distrito Capital de Bogotá</v>
      </c>
      <c r="X232" s="144" t="s">
        <v>106</v>
      </c>
      <c r="Y232" s="145">
        <v>2427400</v>
      </c>
      <c r="Z232" s="146" t="s">
        <v>380</v>
      </c>
    </row>
    <row r="233" spans="1:26" s="10" customFormat="1" ht="12.75" customHeight="1" x14ac:dyDescent="0.2">
      <c r="A233" s="131" t="s">
        <v>99</v>
      </c>
      <c r="B233" s="132">
        <v>6</v>
      </c>
      <c r="C233" s="133" t="s">
        <v>384</v>
      </c>
      <c r="D233" s="133" t="s">
        <v>100</v>
      </c>
      <c r="E233" s="129"/>
      <c r="F233" s="129">
        <v>50000000</v>
      </c>
      <c r="G233" s="129"/>
      <c r="H233" s="134" t="s">
        <v>42</v>
      </c>
      <c r="I233" s="135" t="s">
        <v>385</v>
      </c>
      <c r="J233" s="136">
        <v>3</v>
      </c>
      <c r="K233" s="137">
        <v>4</v>
      </c>
      <c r="L233" s="138">
        <v>9</v>
      </c>
      <c r="M233" s="132">
        <f t="shared" si="45"/>
        <v>1</v>
      </c>
      <c r="N233" s="139" t="s">
        <v>61</v>
      </c>
      <c r="O233" s="140" t="str">
        <f>IF(ISBLANK(N233),"",VLOOKUP(N233,[11]Parámetros!$G$2:$H$23,2,FALSE))</f>
        <v>Contratación régimen especial - Selección de comisionista</v>
      </c>
      <c r="P233" s="141">
        <v>1</v>
      </c>
      <c r="Q233" s="142">
        <f t="shared" si="46"/>
        <v>50000000</v>
      </c>
      <c r="R233" s="142">
        <f t="shared" si="47"/>
        <v>50000000</v>
      </c>
      <c r="S233" s="143" t="s">
        <v>223</v>
      </c>
      <c r="T233" s="139">
        <v>0</v>
      </c>
      <c r="U233" s="48" t="str">
        <f t="shared" si="48"/>
        <v>SUBDIRECCION DE GESTION CONTRACTUAL</v>
      </c>
      <c r="V233" s="132" t="str">
        <f t="shared" si="49"/>
        <v>CO-DC</v>
      </c>
      <c r="W233" s="48" t="str">
        <f t="shared" si="50"/>
        <v>Distrito Capital de Bogotá</v>
      </c>
      <c r="X233" s="144" t="s">
        <v>106</v>
      </c>
      <c r="Y233" s="145">
        <v>2427400</v>
      </c>
      <c r="Z233" s="146" t="s">
        <v>380</v>
      </c>
    </row>
    <row r="234" spans="1:26" s="10" customFormat="1" ht="12.75" customHeight="1" x14ac:dyDescent="0.2">
      <c r="A234" s="131" t="s">
        <v>99</v>
      </c>
      <c r="B234" s="132">
        <v>7</v>
      </c>
      <c r="C234" s="133" t="s">
        <v>384</v>
      </c>
      <c r="D234" s="133" t="s">
        <v>100</v>
      </c>
      <c r="E234" s="129"/>
      <c r="F234" s="129">
        <v>170000000</v>
      </c>
      <c r="G234" s="129"/>
      <c r="H234" s="134" t="s">
        <v>795</v>
      </c>
      <c r="I234" s="135" t="s">
        <v>381</v>
      </c>
      <c r="J234" s="136">
        <v>2</v>
      </c>
      <c r="K234" s="137">
        <v>3</v>
      </c>
      <c r="L234" s="138">
        <v>9</v>
      </c>
      <c r="M234" s="132">
        <f t="shared" si="45"/>
        <v>1</v>
      </c>
      <c r="N234" s="139" t="s">
        <v>233</v>
      </c>
      <c r="O234" s="140" t="str">
        <f>IF(ISBLANK(N234),"",VLOOKUP(N234,[12]Parámetros!$G$2:$H$23,2,FALSE))</f>
        <v>Licitación pública</v>
      </c>
      <c r="P234" s="141">
        <v>1</v>
      </c>
      <c r="Q234" s="142">
        <f t="shared" si="46"/>
        <v>170000000</v>
      </c>
      <c r="R234" s="142">
        <f t="shared" si="47"/>
        <v>170000000</v>
      </c>
      <c r="S234" s="143" t="s">
        <v>223</v>
      </c>
      <c r="T234" s="139">
        <v>0</v>
      </c>
      <c r="U234" s="48" t="str">
        <f t="shared" si="48"/>
        <v>SUBDIRECCION DE GESTION CONTRACTUAL</v>
      </c>
      <c r="V234" s="132" t="str">
        <f t="shared" si="49"/>
        <v>CO-DC</v>
      </c>
      <c r="W234" s="48" t="str">
        <f t="shared" si="50"/>
        <v>Distrito Capital de Bogotá</v>
      </c>
      <c r="X234" s="144" t="s">
        <v>106</v>
      </c>
      <c r="Y234" s="145">
        <v>2427400</v>
      </c>
      <c r="Z234" s="146" t="s">
        <v>380</v>
      </c>
    </row>
    <row r="235" spans="1:26" s="10" customFormat="1" ht="12.75" customHeight="1" x14ac:dyDescent="0.2">
      <c r="A235" s="131" t="s">
        <v>99</v>
      </c>
      <c r="B235" s="132">
        <v>8</v>
      </c>
      <c r="C235" s="133" t="s">
        <v>384</v>
      </c>
      <c r="D235" s="133" t="s">
        <v>100</v>
      </c>
      <c r="E235" s="129"/>
      <c r="F235" s="129">
        <v>50000000</v>
      </c>
      <c r="G235" s="129"/>
      <c r="H235" s="134" t="s">
        <v>644</v>
      </c>
      <c r="I235" s="135" t="s">
        <v>386</v>
      </c>
      <c r="J235" s="136">
        <v>2</v>
      </c>
      <c r="K235" s="137">
        <v>2</v>
      </c>
      <c r="L235" s="138">
        <v>10</v>
      </c>
      <c r="M235" s="132">
        <f t="shared" si="45"/>
        <v>1</v>
      </c>
      <c r="N235" s="139" t="s">
        <v>36</v>
      </c>
      <c r="O235" s="140" t="str">
        <f>IF(ISBLANK(N235),"",VLOOKUP(N235,[12]Parámetros!$G$2:$H$23,2,FALSE))</f>
        <v xml:space="preserve">Contratación directa (con ofertas) </v>
      </c>
      <c r="P235" s="141">
        <v>1</v>
      </c>
      <c r="Q235" s="142">
        <f t="shared" si="46"/>
        <v>50000000</v>
      </c>
      <c r="R235" s="142">
        <f t="shared" si="47"/>
        <v>50000000</v>
      </c>
      <c r="S235" s="143" t="s">
        <v>223</v>
      </c>
      <c r="T235" s="139">
        <v>0</v>
      </c>
      <c r="U235" s="48" t="str">
        <f t="shared" si="48"/>
        <v>SUBDIRECCION DE GESTION CONTRACTUAL</v>
      </c>
      <c r="V235" s="132" t="str">
        <f t="shared" si="49"/>
        <v>CO-DC</v>
      </c>
      <c r="W235" s="48" t="str">
        <f t="shared" si="50"/>
        <v>Distrito Capital de Bogotá</v>
      </c>
      <c r="X235" s="144" t="s">
        <v>331</v>
      </c>
      <c r="Y235" s="132">
        <v>2427400</v>
      </c>
      <c r="Z235" s="146" t="s">
        <v>94</v>
      </c>
    </row>
    <row r="236" spans="1:26" s="10" customFormat="1" ht="12.75" customHeight="1" x14ac:dyDescent="0.2">
      <c r="A236" s="131" t="s">
        <v>99</v>
      </c>
      <c r="B236" s="132">
        <v>9</v>
      </c>
      <c r="C236" s="133" t="s">
        <v>384</v>
      </c>
      <c r="D236" s="133" t="s">
        <v>100</v>
      </c>
      <c r="E236" s="129"/>
      <c r="F236" s="129">
        <v>39981077</v>
      </c>
      <c r="G236" s="129"/>
      <c r="H236" s="134" t="s">
        <v>103</v>
      </c>
      <c r="I236" s="135" t="s">
        <v>630</v>
      </c>
      <c r="J236" s="136">
        <v>2</v>
      </c>
      <c r="K236" s="137">
        <v>3</v>
      </c>
      <c r="L236" s="138">
        <v>10</v>
      </c>
      <c r="M236" s="132">
        <f t="shared" si="45"/>
        <v>1</v>
      </c>
      <c r="N236" s="139" t="s">
        <v>36</v>
      </c>
      <c r="O236" s="140" t="str">
        <f>IF(ISBLANK(N236),"",VLOOKUP(N236,[1]Parámetros!$G$2:$H$23,2,FALSE))</f>
        <v xml:space="preserve">Contratación directa (con ofertas) </v>
      </c>
      <c r="P236" s="141">
        <v>1</v>
      </c>
      <c r="Q236" s="142">
        <f t="shared" si="46"/>
        <v>39981077</v>
      </c>
      <c r="R236" s="142">
        <f t="shared" si="47"/>
        <v>39981077</v>
      </c>
      <c r="S236" s="143" t="s">
        <v>223</v>
      </c>
      <c r="T236" s="139">
        <v>0</v>
      </c>
      <c r="U236" s="48" t="str">
        <f t="shared" si="48"/>
        <v>SUBDIRECCION DE GESTION CONTRACTUAL</v>
      </c>
      <c r="V236" s="132" t="str">
        <f t="shared" si="49"/>
        <v>CO-DC</v>
      </c>
      <c r="W236" s="48" t="str">
        <f t="shared" si="50"/>
        <v>Distrito Capital de Bogotá</v>
      </c>
      <c r="X236" s="144" t="s">
        <v>106</v>
      </c>
      <c r="Y236" s="145">
        <v>2427400</v>
      </c>
      <c r="Z236" s="146" t="s">
        <v>380</v>
      </c>
    </row>
    <row r="237" spans="1:26" s="10" customFormat="1" ht="12.75" customHeight="1" x14ac:dyDescent="0.2">
      <c r="A237" s="131" t="s">
        <v>99</v>
      </c>
      <c r="B237" s="132">
        <v>10</v>
      </c>
      <c r="C237" s="133" t="s">
        <v>384</v>
      </c>
      <c r="D237" s="133" t="s">
        <v>100</v>
      </c>
      <c r="E237" s="129"/>
      <c r="F237" s="129">
        <v>625000000</v>
      </c>
      <c r="G237" s="129"/>
      <c r="H237" s="134" t="s">
        <v>387</v>
      </c>
      <c r="I237" s="135" t="s">
        <v>388</v>
      </c>
      <c r="J237" s="150">
        <v>1</v>
      </c>
      <c r="K237" s="150">
        <v>3</v>
      </c>
      <c r="L237" s="150">
        <v>9</v>
      </c>
      <c r="M237" s="132">
        <f t="shared" si="45"/>
        <v>1</v>
      </c>
      <c r="N237" s="139" t="s">
        <v>36</v>
      </c>
      <c r="O237" s="140" t="str">
        <f>IF(ISBLANK(N237),"",VLOOKUP(N237,[12]Parámetros!$G$2:$H$23,2,FALSE))</f>
        <v xml:space="preserve">Contratación directa (con ofertas) </v>
      </c>
      <c r="P237" s="141">
        <v>1</v>
      </c>
      <c r="Q237" s="142">
        <f t="shared" si="46"/>
        <v>625000000</v>
      </c>
      <c r="R237" s="142">
        <f t="shared" si="47"/>
        <v>625000000</v>
      </c>
      <c r="S237" s="143" t="s">
        <v>223</v>
      </c>
      <c r="T237" s="139">
        <v>0</v>
      </c>
      <c r="U237" s="48" t="str">
        <f t="shared" si="48"/>
        <v>SUBDIRECCION DE GESTION CONTRACTUAL</v>
      </c>
      <c r="V237" s="132" t="str">
        <f t="shared" si="49"/>
        <v>CO-DC</v>
      </c>
      <c r="W237" s="48" t="str">
        <f t="shared" si="50"/>
        <v>Distrito Capital de Bogotá</v>
      </c>
      <c r="X237" s="144" t="s">
        <v>106</v>
      </c>
      <c r="Y237" s="145">
        <v>2427400</v>
      </c>
      <c r="Z237" s="146" t="s">
        <v>380</v>
      </c>
    </row>
    <row r="238" spans="1:26" s="10" customFormat="1" ht="12.75" customHeight="1" x14ac:dyDescent="0.2">
      <c r="A238" s="131" t="s">
        <v>99</v>
      </c>
      <c r="B238" s="132">
        <v>11</v>
      </c>
      <c r="C238" s="133" t="s">
        <v>389</v>
      </c>
      <c r="D238" s="133" t="s">
        <v>100</v>
      </c>
      <c r="E238" s="129"/>
      <c r="F238" s="129">
        <v>214500000</v>
      </c>
      <c r="G238" s="129"/>
      <c r="H238" s="134">
        <v>80111600</v>
      </c>
      <c r="I238" s="135" t="s">
        <v>379</v>
      </c>
      <c r="J238" s="150">
        <v>1</v>
      </c>
      <c r="K238" s="150">
        <v>1</v>
      </c>
      <c r="L238" s="150">
        <v>12</v>
      </c>
      <c r="M238" s="132">
        <f t="shared" si="45"/>
        <v>1</v>
      </c>
      <c r="N238" s="139" t="s">
        <v>216</v>
      </c>
      <c r="O238" s="140" t="str">
        <f>IF(ISBLANK(N238),"",VLOOKUP(N238,[12]Parámetros!$G$2:$H$23,2,FALSE))</f>
        <v>Contratación directa.</v>
      </c>
      <c r="P238" s="141">
        <f>IF(ISBLANK(N238),"",1)</f>
        <v>1</v>
      </c>
      <c r="Q238" s="142">
        <f t="shared" si="46"/>
        <v>214500000</v>
      </c>
      <c r="R238" s="142">
        <f t="shared" si="47"/>
        <v>214500000</v>
      </c>
      <c r="S238" s="143" t="s">
        <v>223</v>
      </c>
      <c r="T238" s="139">
        <f>IF(ISBLANK(S238),"",IF(VALUE(S238)=0,0,IF(VALUE(S238)=1,3,"")))</f>
        <v>0</v>
      </c>
      <c r="U238" s="48" t="str">
        <f t="shared" si="48"/>
        <v>SUBDIRECCION DE GESTION CONTRACTUAL</v>
      </c>
      <c r="V238" s="132" t="str">
        <f t="shared" si="49"/>
        <v>CO-DC</v>
      </c>
      <c r="W238" s="48" t="str">
        <f t="shared" si="50"/>
        <v>Distrito Capital de Bogotá</v>
      </c>
      <c r="X238" s="144" t="s">
        <v>106</v>
      </c>
      <c r="Y238" s="145">
        <v>2427400</v>
      </c>
      <c r="Z238" s="146" t="s">
        <v>380</v>
      </c>
    </row>
    <row r="239" spans="1:26" s="10" customFormat="1" ht="12.75" customHeight="1" x14ac:dyDescent="0.2">
      <c r="A239" s="131" t="s">
        <v>99</v>
      </c>
      <c r="B239" s="132">
        <v>12</v>
      </c>
      <c r="C239" s="133" t="s">
        <v>390</v>
      </c>
      <c r="D239" s="133" t="s">
        <v>100</v>
      </c>
      <c r="E239" s="129"/>
      <c r="F239" s="129">
        <v>214500000</v>
      </c>
      <c r="G239" s="129"/>
      <c r="H239" s="134">
        <v>80111600</v>
      </c>
      <c r="I239" s="135" t="s">
        <v>379</v>
      </c>
      <c r="J239" s="150">
        <v>1</v>
      </c>
      <c r="K239" s="150">
        <v>1</v>
      </c>
      <c r="L239" s="150">
        <v>12</v>
      </c>
      <c r="M239" s="132">
        <f t="shared" si="45"/>
        <v>1</v>
      </c>
      <c r="N239" s="139" t="s">
        <v>216</v>
      </c>
      <c r="O239" s="140" t="str">
        <f>IF(ISBLANK(N239),"",VLOOKUP(N239,[12]Parámetros!$G$2:$H$23,2,FALSE))</f>
        <v>Contratación directa.</v>
      </c>
      <c r="P239" s="141">
        <f>IF(ISBLANK(N239),"",1)</f>
        <v>1</v>
      </c>
      <c r="Q239" s="142">
        <f t="shared" si="46"/>
        <v>214500000</v>
      </c>
      <c r="R239" s="142">
        <f t="shared" si="47"/>
        <v>214500000</v>
      </c>
      <c r="S239" s="143" t="s">
        <v>223</v>
      </c>
      <c r="T239" s="139">
        <f>IF(ISBLANK(S239),"",IF(VALUE(S239)=0,0,IF(VALUE(S239)=1,3,"")))</f>
        <v>0</v>
      </c>
      <c r="U239" s="48" t="str">
        <f t="shared" si="48"/>
        <v>SUBDIRECCION DE GESTION CONTRACTUAL</v>
      </c>
      <c r="V239" s="132" t="str">
        <f t="shared" si="49"/>
        <v>CO-DC</v>
      </c>
      <c r="W239" s="48" t="str">
        <f t="shared" si="50"/>
        <v>Distrito Capital de Bogotá</v>
      </c>
      <c r="X239" s="144" t="s">
        <v>106</v>
      </c>
      <c r="Y239" s="145">
        <v>2427400</v>
      </c>
      <c r="Z239" s="146" t="s">
        <v>380</v>
      </c>
    </row>
    <row r="240" spans="1:26" s="10" customFormat="1" ht="12.75" customHeight="1" x14ac:dyDescent="0.2">
      <c r="A240" s="131" t="s">
        <v>99</v>
      </c>
      <c r="B240" s="132">
        <v>13</v>
      </c>
      <c r="C240" s="133" t="s">
        <v>390</v>
      </c>
      <c r="D240" s="133" t="s">
        <v>100</v>
      </c>
      <c r="E240" s="129"/>
      <c r="F240" s="129">
        <v>15000000</v>
      </c>
      <c r="G240" s="129"/>
      <c r="H240" s="134" t="s">
        <v>42</v>
      </c>
      <c r="I240" s="135" t="s">
        <v>385</v>
      </c>
      <c r="J240" s="136">
        <v>3</v>
      </c>
      <c r="K240" s="137">
        <v>4</v>
      </c>
      <c r="L240" s="138">
        <v>9</v>
      </c>
      <c r="M240" s="132">
        <f t="shared" si="45"/>
        <v>1</v>
      </c>
      <c r="N240" s="139" t="s">
        <v>61</v>
      </c>
      <c r="O240" s="140" t="str">
        <f>IF(ISBLANK(N240),"",VLOOKUP(N240,[11]Parámetros!$G$2:$H$23,2,FALSE))</f>
        <v>Contratación régimen especial - Selección de comisionista</v>
      </c>
      <c r="P240" s="141">
        <v>1</v>
      </c>
      <c r="Q240" s="142">
        <f t="shared" si="46"/>
        <v>15000000</v>
      </c>
      <c r="R240" s="142">
        <f t="shared" si="47"/>
        <v>15000000</v>
      </c>
      <c r="S240" s="143" t="s">
        <v>223</v>
      </c>
      <c r="T240" s="139">
        <v>0</v>
      </c>
      <c r="U240" s="48" t="str">
        <f t="shared" si="48"/>
        <v>SUBDIRECCION DE GESTION CONTRACTUAL</v>
      </c>
      <c r="V240" s="132" t="str">
        <f t="shared" si="49"/>
        <v>CO-DC</v>
      </c>
      <c r="W240" s="48" t="str">
        <f t="shared" si="50"/>
        <v>Distrito Capital de Bogotá</v>
      </c>
      <c r="X240" s="144" t="s">
        <v>106</v>
      </c>
      <c r="Y240" s="145">
        <v>2427400</v>
      </c>
      <c r="Z240" s="146" t="s">
        <v>380</v>
      </c>
    </row>
    <row r="241" spans="1:26" s="10" customFormat="1" ht="12.75" customHeight="1" x14ac:dyDescent="0.2">
      <c r="A241" s="131" t="s">
        <v>99</v>
      </c>
      <c r="B241" s="132">
        <v>14</v>
      </c>
      <c r="C241" s="133" t="s">
        <v>390</v>
      </c>
      <c r="D241" s="133" t="s">
        <v>100</v>
      </c>
      <c r="E241" s="129"/>
      <c r="F241" s="129">
        <v>97500000</v>
      </c>
      <c r="G241" s="129"/>
      <c r="H241" s="134" t="s">
        <v>795</v>
      </c>
      <c r="I241" s="135" t="s">
        <v>381</v>
      </c>
      <c r="J241" s="136">
        <v>2</v>
      </c>
      <c r="K241" s="137">
        <v>3</v>
      </c>
      <c r="L241" s="138">
        <v>9</v>
      </c>
      <c r="M241" s="132">
        <f t="shared" si="45"/>
        <v>1</v>
      </c>
      <c r="N241" s="139" t="s">
        <v>233</v>
      </c>
      <c r="O241" s="140" t="str">
        <f>IF(ISBLANK(N241),"",VLOOKUP(N241,[12]Parámetros!$G$2:$H$23,2,FALSE))</f>
        <v>Licitación pública</v>
      </c>
      <c r="P241" s="141">
        <v>1</v>
      </c>
      <c r="Q241" s="142">
        <f t="shared" si="46"/>
        <v>97500000</v>
      </c>
      <c r="R241" s="142">
        <f t="shared" si="47"/>
        <v>97500000</v>
      </c>
      <c r="S241" s="143" t="s">
        <v>223</v>
      </c>
      <c r="T241" s="139">
        <v>0</v>
      </c>
      <c r="U241" s="48" t="str">
        <f t="shared" si="48"/>
        <v>SUBDIRECCION DE GESTION CONTRACTUAL</v>
      </c>
      <c r="V241" s="132" t="str">
        <f t="shared" si="49"/>
        <v>CO-DC</v>
      </c>
      <c r="W241" s="48" t="str">
        <f t="shared" si="50"/>
        <v>Distrito Capital de Bogotá</v>
      </c>
      <c r="X241" s="144" t="s">
        <v>106</v>
      </c>
      <c r="Y241" s="145">
        <v>2427400</v>
      </c>
      <c r="Z241" s="146" t="s">
        <v>380</v>
      </c>
    </row>
    <row r="242" spans="1:26" s="10" customFormat="1" ht="12.75" customHeight="1" x14ac:dyDescent="0.2">
      <c r="A242" s="131" t="s">
        <v>99</v>
      </c>
      <c r="B242" s="132">
        <v>15</v>
      </c>
      <c r="C242" s="133" t="s">
        <v>390</v>
      </c>
      <c r="D242" s="133" t="s">
        <v>100</v>
      </c>
      <c r="E242" s="129"/>
      <c r="F242" s="129">
        <v>32500000</v>
      </c>
      <c r="G242" s="129"/>
      <c r="H242" s="134" t="s">
        <v>795</v>
      </c>
      <c r="I242" s="135" t="s">
        <v>381</v>
      </c>
      <c r="J242" s="227">
        <v>2</v>
      </c>
      <c r="K242" s="227">
        <v>3</v>
      </c>
      <c r="L242" s="227">
        <v>9</v>
      </c>
      <c r="M242" s="132">
        <f t="shared" si="45"/>
        <v>1</v>
      </c>
      <c r="N242" s="212" t="s">
        <v>233</v>
      </c>
      <c r="O242" s="213" t="str">
        <f>IF(ISBLANK(N242),"",VLOOKUP(N242,[12]Parámetros!$G$2:$H$23,2,FALSE))</f>
        <v>Licitación pública</v>
      </c>
      <c r="P242" s="141">
        <v>1</v>
      </c>
      <c r="Q242" s="142">
        <f t="shared" si="46"/>
        <v>32500000</v>
      </c>
      <c r="R242" s="142">
        <f t="shared" si="47"/>
        <v>32500000</v>
      </c>
      <c r="S242" s="143" t="s">
        <v>223</v>
      </c>
      <c r="T242" s="139">
        <v>0</v>
      </c>
      <c r="U242" s="48" t="str">
        <f t="shared" si="48"/>
        <v>SUBDIRECCION DE GESTION CONTRACTUAL</v>
      </c>
      <c r="V242" s="132" t="str">
        <f t="shared" si="49"/>
        <v>CO-DC</v>
      </c>
      <c r="W242" s="48" t="str">
        <f t="shared" si="50"/>
        <v>Distrito Capital de Bogotá</v>
      </c>
      <c r="X242" s="144" t="s">
        <v>106</v>
      </c>
      <c r="Y242" s="145">
        <v>2427400</v>
      </c>
      <c r="Z242" s="146" t="s">
        <v>380</v>
      </c>
    </row>
    <row r="243" spans="1:26" s="10" customFormat="1" ht="12.75" customHeight="1" x14ac:dyDescent="0.2">
      <c r="A243" s="131" t="s">
        <v>99</v>
      </c>
      <c r="B243" s="132">
        <v>16</v>
      </c>
      <c r="C243" s="133" t="s">
        <v>391</v>
      </c>
      <c r="D243" s="133" t="s">
        <v>102</v>
      </c>
      <c r="E243" s="129"/>
      <c r="F243" s="129">
        <v>372760055</v>
      </c>
      <c r="G243" s="129"/>
      <c r="H243" s="134">
        <v>80111600</v>
      </c>
      <c r="I243" s="135" t="s">
        <v>379</v>
      </c>
      <c r="J243" s="150">
        <v>1</v>
      </c>
      <c r="K243" s="150">
        <v>1</v>
      </c>
      <c r="L243" s="150">
        <v>12</v>
      </c>
      <c r="M243" s="132">
        <f t="shared" si="45"/>
        <v>1</v>
      </c>
      <c r="N243" s="139" t="s">
        <v>216</v>
      </c>
      <c r="O243" s="140" t="str">
        <f>IF(ISBLANK(N243),"",VLOOKUP(N243,[12]Parámetros!$G$2:$H$23,2,FALSE))</f>
        <v>Contratación directa.</v>
      </c>
      <c r="P243" s="141">
        <f>IF(ISBLANK(N243),"",1)</f>
        <v>1</v>
      </c>
      <c r="Q243" s="142">
        <f t="shared" si="46"/>
        <v>372760055</v>
      </c>
      <c r="R243" s="142">
        <f t="shared" si="47"/>
        <v>372760055</v>
      </c>
      <c r="S243" s="143" t="s">
        <v>223</v>
      </c>
      <c r="T243" s="139">
        <f>IF(ISBLANK(S243),"",IF(VALUE(S243)=0,0,IF(VALUE(S243)=1,3,"")))</f>
        <v>0</v>
      </c>
      <c r="U243" s="48" t="str">
        <f t="shared" si="48"/>
        <v>SUBDIRECCION DE GESTION CONTRACTUAL</v>
      </c>
      <c r="V243" s="132" t="str">
        <f t="shared" si="49"/>
        <v>CO-DC</v>
      </c>
      <c r="W243" s="48" t="str">
        <f t="shared" si="50"/>
        <v>Distrito Capital de Bogotá</v>
      </c>
      <c r="X243" s="144" t="s">
        <v>106</v>
      </c>
      <c r="Y243" s="145">
        <v>2427400</v>
      </c>
      <c r="Z243" s="146" t="s">
        <v>380</v>
      </c>
    </row>
    <row r="244" spans="1:26" s="10" customFormat="1" ht="12.75" customHeight="1" x14ac:dyDescent="0.2">
      <c r="A244" s="131" t="s">
        <v>99</v>
      </c>
      <c r="B244" s="132">
        <v>17</v>
      </c>
      <c r="C244" s="133" t="s">
        <v>391</v>
      </c>
      <c r="D244" s="133" t="s">
        <v>102</v>
      </c>
      <c r="E244" s="129"/>
      <c r="F244" s="129">
        <v>50373850</v>
      </c>
      <c r="G244" s="129"/>
      <c r="H244" s="134" t="s">
        <v>42</v>
      </c>
      <c r="I244" s="135" t="s">
        <v>385</v>
      </c>
      <c r="J244" s="136">
        <v>3</v>
      </c>
      <c r="K244" s="137">
        <v>4</v>
      </c>
      <c r="L244" s="138">
        <v>9</v>
      </c>
      <c r="M244" s="132">
        <f t="shared" si="45"/>
        <v>1</v>
      </c>
      <c r="N244" s="139" t="s">
        <v>61</v>
      </c>
      <c r="O244" s="140" t="str">
        <f>IF(ISBLANK(N244),"",VLOOKUP(N244,[11]Parámetros!$G$2:$H$23,2,FALSE))</f>
        <v>Contratación régimen especial - Selección de comisionista</v>
      </c>
      <c r="P244" s="141">
        <v>1</v>
      </c>
      <c r="Q244" s="142">
        <f t="shared" si="46"/>
        <v>50373850</v>
      </c>
      <c r="R244" s="142">
        <f t="shared" si="47"/>
        <v>50373850</v>
      </c>
      <c r="S244" s="143" t="s">
        <v>223</v>
      </c>
      <c r="T244" s="139">
        <v>0</v>
      </c>
      <c r="U244" s="48" t="str">
        <f t="shared" si="48"/>
        <v>SUBDIRECCION DE GESTION CONTRACTUAL</v>
      </c>
      <c r="V244" s="132" t="str">
        <f t="shared" si="49"/>
        <v>CO-DC</v>
      </c>
      <c r="W244" s="48" t="str">
        <f t="shared" si="50"/>
        <v>Distrito Capital de Bogotá</v>
      </c>
      <c r="X244" s="144" t="s">
        <v>106</v>
      </c>
      <c r="Y244" s="145">
        <v>2427400</v>
      </c>
      <c r="Z244" s="146" t="s">
        <v>380</v>
      </c>
    </row>
    <row r="245" spans="1:26" s="10" customFormat="1" ht="12.75" customHeight="1" x14ac:dyDescent="0.2">
      <c r="A245" s="131" t="s">
        <v>99</v>
      </c>
      <c r="B245" s="132">
        <v>18</v>
      </c>
      <c r="C245" s="133" t="s">
        <v>391</v>
      </c>
      <c r="D245" s="133" t="s">
        <v>102</v>
      </c>
      <c r="E245" s="129"/>
      <c r="F245" s="129">
        <v>644981800</v>
      </c>
      <c r="G245" s="129"/>
      <c r="H245" s="134" t="s">
        <v>795</v>
      </c>
      <c r="I245" s="135" t="s">
        <v>381</v>
      </c>
      <c r="J245" s="136">
        <v>2</v>
      </c>
      <c r="K245" s="137">
        <v>3</v>
      </c>
      <c r="L245" s="138">
        <v>9</v>
      </c>
      <c r="M245" s="132">
        <f t="shared" si="45"/>
        <v>1</v>
      </c>
      <c r="N245" s="139" t="s">
        <v>233</v>
      </c>
      <c r="O245" s="140" t="str">
        <f>IF(ISBLANK(N245),"",VLOOKUP(N245,[12]Parámetros!$G$2:$H$23,2,FALSE))</f>
        <v>Licitación pública</v>
      </c>
      <c r="P245" s="141">
        <v>1</v>
      </c>
      <c r="Q245" s="142">
        <f t="shared" si="46"/>
        <v>644981800</v>
      </c>
      <c r="R245" s="142">
        <f t="shared" si="47"/>
        <v>644981800</v>
      </c>
      <c r="S245" s="143" t="s">
        <v>223</v>
      </c>
      <c r="T245" s="139">
        <v>0</v>
      </c>
      <c r="U245" s="48" t="str">
        <f t="shared" si="48"/>
        <v>SUBDIRECCION DE GESTION CONTRACTUAL</v>
      </c>
      <c r="V245" s="132" t="str">
        <f t="shared" si="49"/>
        <v>CO-DC</v>
      </c>
      <c r="W245" s="48" t="str">
        <f t="shared" si="50"/>
        <v>Distrito Capital de Bogotá</v>
      </c>
      <c r="X245" s="144" t="s">
        <v>106</v>
      </c>
      <c r="Y245" s="145">
        <v>2427400</v>
      </c>
      <c r="Z245" s="146" t="s">
        <v>380</v>
      </c>
    </row>
    <row r="246" spans="1:26" s="10" customFormat="1" ht="12.75" customHeight="1" x14ac:dyDescent="0.2">
      <c r="A246" s="131" t="s">
        <v>99</v>
      </c>
      <c r="B246" s="132">
        <v>19</v>
      </c>
      <c r="C246" s="133" t="s">
        <v>391</v>
      </c>
      <c r="D246" s="133" t="s">
        <v>102</v>
      </c>
      <c r="E246" s="129"/>
      <c r="F246" s="129">
        <v>30000000</v>
      </c>
      <c r="G246" s="129"/>
      <c r="H246" s="134" t="s">
        <v>795</v>
      </c>
      <c r="I246" s="135" t="s">
        <v>381</v>
      </c>
      <c r="J246" s="227">
        <v>2</v>
      </c>
      <c r="K246" s="227">
        <v>3</v>
      </c>
      <c r="L246" s="227">
        <v>9</v>
      </c>
      <c r="M246" s="132">
        <f t="shared" si="45"/>
        <v>1</v>
      </c>
      <c r="N246" s="212" t="s">
        <v>233</v>
      </c>
      <c r="O246" s="213" t="str">
        <f>IF(ISBLANK(N246),"",VLOOKUP(N246,[12]Parámetros!$G$2:$H$23,2,FALSE))</f>
        <v>Licitación pública</v>
      </c>
      <c r="P246" s="141">
        <v>1</v>
      </c>
      <c r="Q246" s="142">
        <f t="shared" si="46"/>
        <v>30000000</v>
      </c>
      <c r="R246" s="142">
        <f t="shared" si="47"/>
        <v>30000000</v>
      </c>
      <c r="S246" s="143" t="s">
        <v>223</v>
      </c>
      <c r="T246" s="139">
        <v>0</v>
      </c>
      <c r="U246" s="48" t="str">
        <f t="shared" si="48"/>
        <v>SUBDIRECCION DE GESTION CONTRACTUAL</v>
      </c>
      <c r="V246" s="132" t="str">
        <f t="shared" si="49"/>
        <v>CO-DC</v>
      </c>
      <c r="W246" s="48" t="str">
        <f t="shared" si="50"/>
        <v>Distrito Capital de Bogotá</v>
      </c>
      <c r="X246" s="144" t="s">
        <v>106</v>
      </c>
      <c r="Y246" s="145">
        <v>2427400</v>
      </c>
      <c r="Z246" s="146" t="s">
        <v>380</v>
      </c>
    </row>
    <row r="247" spans="1:26" s="10" customFormat="1" ht="12.75" customHeight="1" x14ac:dyDescent="0.2">
      <c r="A247" s="131" t="s">
        <v>99</v>
      </c>
      <c r="B247" s="132">
        <v>20</v>
      </c>
      <c r="C247" s="133" t="s">
        <v>391</v>
      </c>
      <c r="D247" s="133" t="s">
        <v>102</v>
      </c>
      <c r="E247" s="129"/>
      <c r="F247" s="129">
        <v>25000000</v>
      </c>
      <c r="G247" s="129"/>
      <c r="H247" s="134" t="s">
        <v>644</v>
      </c>
      <c r="I247" s="135" t="s">
        <v>386</v>
      </c>
      <c r="J247" s="136">
        <v>2</v>
      </c>
      <c r="K247" s="137">
        <v>2</v>
      </c>
      <c r="L247" s="138">
        <v>10</v>
      </c>
      <c r="M247" s="132">
        <f t="shared" si="45"/>
        <v>1</v>
      </c>
      <c r="N247" s="139" t="s">
        <v>36</v>
      </c>
      <c r="O247" s="140" t="str">
        <f>IF(ISBLANK(N247),"",VLOOKUP(N247,[12]Parámetros!$G$2:$H$23,2,FALSE))</f>
        <v xml:space="preserve">Contratación directa (con ofertas) </v>
      </c>
      <c r="P247" s="141">
        <v>1</v>
      </c>
      <c r="Q247" s="142">
        <f t="shared" si="46"/>
        <v>25000000</v>
      </c>
      <c r="R247" s="142">
        <f t="shared" si="47"/>
        <v>25000000</v>
      </c>
      <c r="S247" s="143" t="s">
        <v>223</v>
      </c>
      <c r="T247" s="139">
        <v>0</v>
      </c>
      <c r="U247" s="48" t="str">
        <f t="shared" si="48"/>
        <v>SUBDIRECCION DE GESTION CONTRACTUAL</v>
      </c>
      <c r="V247" s="132" t="str">
        <f t="shared" si="49"/>
        <v>CO-DC</v>
      </c>
      <c r="W247" s="48" t="str">
        <f t="shared" si="50"/>
        <v>Distrito Capital de Bogotá</v>
      </c>
      <c r="X247" s="144" t="s">
        <v>331</v>
      </c>
      <c r="Y247" s="132">
        <v>2427400</v>
      </c>
      <c r="Z247" s="146" t="s">
        <v>94</v>
      </c>
    </row>
    <row r="248" spans="1:26" s="10" customFormat="1" ht="12.75" customHeight="1" x14ac:dyDescent="0.2">
      <c r="A248" s="131" t="s">
        <v>99</v>
      </c>
      <c r="B248" s="132">
        <v>21</v>
      </c>
      <c r="C248" s="133" t="s">
        <v>391</v>
      </c>
      <c r="D248" s="133" t="s">
        <v>102</v>
      </c>
      <c r="E248" s="129"/>
      <c r="F248" s="129">
        <v>490217170</v>
      </c>
      <c r="G248" s="129"/>
      <c r="H248" s="134" t="s">
        <v>101</v>
      </c>
      <c r="I248" s="135" t="s">
        <v>392</v>
      </c>
      <c r="J248" s="150">
        <v>6</v>
      </c>
      <c r="K248" s="150">
        <v>6</v>
      </c>
      <c r="L248" s="150">
        <v>6</v>
      </c>
      <c r="M248" s="132">
        <f t="shared" si="45"/>
        <v>1</v>
      </c>
      <c r="N248" s="139" t="s">
        <v>36</v>
      </c>
      <c r="O248" s="140" t="str">
        <f>IF(ISBLANK(N248),"",VLOOKUP(N248,[12]Parámetros!$G$2:$H$23,2,FALSE))</f>
        <v xml:space="preserve">Contratación directa (con ofertas) </v>
      </c>
      <c r="P248" s="141">
        <v>1</v>
      </c>
      <c r="Q248" s="142">
        <f t="shared" si="46"/>
        <v>490217170</v>
      </c>
      <c r="R248" s="142">
        <f t="shared" si="47"/>
        <v>490217170</v>
      </c>
      <c r="S248" s="143" t="s">
        <v>223</v>
      </c>
      <c r="T248" s="139">
        <v>0</v>
      </c>
      <c r="U248" s="48" t="str">
        <f t="shared" si="48"/>
        <v>SUBDIRECCION DE GESTION CONTRACTUAL</v>
      </c>
      <c r="V248" s="132" t="str">
        <f t="shared" si="49"/>
        <v>CO-DC</v>
      </c>
      <c r="W248" s="48" t="str">
        <f t="shared" si="50"/>
        <v>Distrito Capital de Bogotá</v>
      </c>
      <c r="X248" s="144" t="s">
        <v>106</v>
      </c>
      <c r="Y248" s="145">
        <v>2427400</v>
      </c>
      <c r="Z248" s="146" t="s">
        <v>380</v>
      </c>
    </row>
    <row r="249" spans="1:26" s="10" customFormat="1" ht="12.75" customHeight="1" x14ac:dyDescent="0.2">
      <c r="A249" s="131" t="s">
        <v>99</v>
      </c>
      <c r="B249" s="132">
        <v>22</v>
      </c>
      <c r="C249" s="133" t="s">
        <v>391</v>
      </c>
      <c r="D249" s="133" t="s">
        <v>102</v>
      </c>
      <c r="E249" s="129"/>
      <c r="F249" s="129">
        <v>93675000</v>
      </c>
      <c r="G249" s="129"/>
      <c r="H249" s="134" t="s">
        <v>393</v>
      </c>
      <c r="I249" s="135" t="s">
        <v>394</v>
      </c>
      <c r="J249" s="150">
        <v>1</v>
      </c>
      <c r="K249" s="150">
        <v>3</v>
      </c>
      <c r="L249" s="150">
        <v>9</v>
      </c>
      <c r="M249" s="132">
        <f t="shared" si="45"/>
        <v>1</v>
      </c>
      <c r="N249" s="139" t="s">
        <v>36</v>
      </c>
      <c r="O249" s="140" t="str">
        <f>IF(ISBLANK(N249),"",VLOOKUP(N249,[12]Parámetros!$G$2:$H$23,2,FALSE))</f>
        <v xml:space="preserve">Contratación directa (con ofertas) </v>
      </c>
      <c r="P249" s="141">
        <v>1</v>
      </c>
      <c r="Q249" s="142">
        <f t="shared" si="46"/>
        <v>93675000</v>
      </c>
      <c r="R249" s="142">
        <f t="shared" si="47"/>
        <v>93675000</v>
      </c>
      <c r="S249" s="143" t="s">
        <v>223</v>
      </c>
      <c r="T249" s="139">
        <v>0</v>
      </c>
      <c r="U249" s="48" t="str">
        <f t="shared" si="48"/>
        <v>SUBDIRECCION DE GESTION CONTRACTUAL</v>
      </c>
      <c r="V249" s="132" t="str">
        <f t="shared" si="49"/>
        <v>CO-DC</v>
      </c>
      <c r="W249" s="48" t="str">
        <f t="shared" si="50"/>
        <v>Distrito Capital de Bogotá</v>
      </c>
      <c r="X249" s="144" t="s">
        <v>106</v>
      </c>
      <c r="Y249" s="145">
        <v>2427400</v>
      </c>
      <c r="Z249" s="146" t="s">
        <v>380</v>
      </c>
    </row>
    <row r="250" spans="1:26" s="10" customFormat="1" ht="12.75" customHeight="1" x14ac:dyDescent="0.2">
      <c r="A250" s="131" t="s">
        <v>99</v>
      </c>
      <c r="B250" s="132">
        <v>23</v>
      </c>
      <c r="C250" s="133" t="s">
        <v>395</v>
      </c>
      <c r="D250" s="133" t="s">
        <v>102</v>
      </c>
      <c r="E250" s="129"/>
      <c r="F250" s="129">
        <v>54000000</v>
      </c>
      <c r="G250" s="129"/>
      <c r="H250" s="134">
        <v>80111600</v>
      </c>
      <c r="I250" s="135" t="s">
        <v>379</v>
      </c>
      <c r="J250" s="150">
        <v>1</v>
      </c>
      <c r="K250" s="150">
        <v>1</v>
      </c>
      <c r="L250" s="150">
        <v>12</v>
      </c>
      <c r="M250" s="132">
        <f t="shared" si="45"/>
        <v>1</v>
      </c>
      <c r="N250" s="139" t="s">
        <v>216</v>
      </c>
      <c r="O250" s="140" t="str">
        <f>IF(ISBLANK(N250),"",VLOOKUP(N250,[12]Parámetros!$G$2:$H$23,2,FALSE))</f>
        <v>Contratación directa.</v>
      </c>
      <c r="P250" s="141">
        <f>IF(ISBLANK(N250),"",1)</f>
        <v>1</v>
      </c>
      <c r="Q250" s="142">
        <f t="shared" si="46"/>
        <v>54000000</v>
      </c>
      <c r="R250" s="142">
        <f t="shared" si="47"/>
        <v>54000000</v>
      </c>
      <c r="S250" s="143" t="s">
        <v>223</v>
      </c>
      <c r="T250" s="139">
        <f>IF(ISBLANK(S250),"",IF(VALUE(S250)=0,0,IF(VALUE(S250)=1,3,"")))</f>
        <v>0</v>
      </c>
      <c r="U250" s="48" t="str">
        <f t="shared" si="48"/>
        <v>SUBDIRECCION DE GESTION CONTRACTUAL</v>
      </c>
      <c r="V250" s="132" t="str">
        <f t="shared" si="49"/>
        <v>CO-DC</v>
      </c>
      <c r="W250" s="48" t="str">
        <f t="shared" si="50"/>
        <v>Distrito Capital de Bogotá</v>
      </c>
      <c r="X250" s="144" t="s">
        <v>106</v>
      </c>
      <c r="Y250" s="145">
        <v>2427400</v>
      </c>
      <c r="Z250" s="146" t="s">
        <v>380</v>
      </c>
    </row>
    <row r="251" spans="1:26" s="10" customFormat="1" ht="12.75" customHeight="1" x14ac:dyDescent="0.2">
      <c r="A251" s="131" t="s">
        <v>99</v>
      </c>
      <c r="B251" s="132">
        <v>24</v>
      </c>
      <c r="C251" s="133" t="s">
        <v>395</v>
      </c>
      <c r="D251" s="133" t="s">
        <v>102</v>
      </c>
      <c r="E251" s="129"/>
      <c r="F251" s="129">
        <v>9415000</v>
      </c>
      <c r="G251" s="129"/>
      <c r="H251" s="134" t="s">
        <v>42</v>
      </c>
      <c r="I251" s="135" t="s">
        <v>385</v>
      </c>
      <c r="J251" s="136">
        <v>3</v>
      </c>
      <c r="K251" s="137">
        <v>4</v>
      </c>
      <c r="L251" s="138">
        <v>9</v>
      </c>
      <c r="M251" s="132">
        <f t="shared" si="45"/>
        <v>1</v>
      </c>
      <c r="N251" s="139" t="s">
        <v>61</v>
      </c>
      <c r="O251" s="140" t="str">
        <f>IF(ISBLANK(N251),"",VLOOKUP(N251,[11]Parámetros!$G$2:$H$23,2,FALSE))</f>
        <v>Contratación régimen especial - Selección de comisionista</v>
      </c>
      <c r="P251" s="141">
        <v>1</v>
      </c>
      <c r="Q251" s="142">
        <f t="shared" si="46"/>
        <v>9415000</v>
      </c>
      <c r="R251" s="142">
        <f t="shared" si="47"/>
        <v>9415000</v>
      </c>
      <c r="S251" s="143" t="s">
        <v>223</v>
      </c>
      <c r="T251" s="139">
        <v>0</v>
      </c>
      <c r="U251" s="48" t="str">
        <f t="shared" si="48"/>
        <v>SUBDIRECCION DE GESTION CONTRACTUAL</v>
      </c>
      <c r="V251" s="132" t="str">
        <f t="shared" si="49"/>
        <v>CO-DC</v>
      </c>
      <c r="W251" s="48" t="str">
        <f t="shared" si="50"/>
        <v>Distrito Capital de Bogotá</v>
      </c>
      <c r="X251" s="144" t="s">
        <v>106</v>
      </c>
      <c r="Y251" s="145">
        <v>2427400</v>
      </c>
      <c r="Z251" s="146" t="s">
        <v>380</v>
      </c>
    </row>
    <row r="252" spans="1:26" s="10" customFormat="1" ht="12.75" customHeight="1" x14ac:dyDescent="0.2">
      <c r="A252" s="131" t="s">
        <v>99</v>
      </c>
      <c r="B252" s="132">
        <v>25</v>
      </c>
      <c r="C252" s="133" t="s">
        <v>395</v>
      </c>
      <c r="D252" s="133" t="s">
        <v>102</v>
      </c>
      <c r="E252" s="129"/>
      <c r="F252" s="129">
        <v>264370750</v>
      </c>
      <c r="G252" s="129"/>
      <c r="H252" s="134" t="s">
        <v>795</v>
      </c>
      <c r="I252" s="135" t="s">
        <v>381</v>
      </c>
      <c r="J252" s="136">
        <v>2</v>
      </c>
      <c r="K252" s="137">
        <v>3</v>
      </c>
      <c r="L252" s="138">
        <v>9</v>
      </c>
      <c r="M252" s="132">
        <f t="shared" si="45"/>
        <v>1</v>
      </c>
      <c r="N252" s="139" t="s">
        <v>233</v>
      </c>
      <c r="O252" s="140" t="str">
        <f>IF(ISBLANK(N252),"",VLOOKUP(N252,[12]Parámetros!$G$2:$H$23,2,FALSE))</f>
        <v>Licitación pública</v>
      </c>
      <c r="P252" s="141">
        <v>1</v>
      </c>
      <c r="Q252" s="142">
        <f t="shared" si="46"/>
        <v>264370750</v>
      </c>
      <c r="R252" s="142">
        <f t="shared" si="47"/>
        <v>264370750</v>
      </c>
      <c r="S252" s="143" t="s">
        <v>223</v>
      </c>
      <c r="T252" s="139">
        <v>0</v>
      </c>
      <c r="U252" s="48" t="str">
        <f t="shared" si="48"/>
        <v>SUBDIRECCION DE GESTION CONTRACTUAL</v>
      </c>
      <c r="V252" s="132" t="str">
        <f t="shared" si="49"/>
        <v>CO-DC</v>
      </c>
      <c r="W252" s="48" t="str">
        <f t="shared" si="50"/>
        <v>Distrito Capital de Bogotá</v>
      </c>
      <c r="X252" s="144" t="s">
        <v>106</v>
      </c>
      <c r="Y252" s="145">
        <v>2427400</v>
      </c>
      <c r="Z252" s="146" t="s">
        <v>380</v>
      </c>
    </row>
    <row r="253" spans="1:26" s="10" customFormat="1" ht="12.75" customHeight="1" x14ac:dyDescent="0.2">
      <c r="A253" s="131" t="s">
        <v>99</v>
      </c>
      <c r="B253" s="132">
        <v>26</v>
      </c>
      <c r="C253" s="133" t="s">
        <v>396</v>
      </c>
      <c r="D253" s="133" t="s">
        <v>100</v>
      </c>
      <c r="E253" s="129"/>
      <c r="F253" s="202">
        <f>2413647155+83000000</f>
        <v>2496647155</v>
      </c>
      <c r="G253" s="129"/>
      <c r="H253" s="134">
        <v>80111600</v>
      </c>
      <c r="I253" s="135" t="s">
        <v>379</v>
      </c>
      <c r="J253" s="150">
        <v>1</v>
      </c>
      <c r="K253" s="150">
        <v>1</v>
      </c>
      <c r="L253" s="150">
        <v>12</v>
      </c>
      <c r="M253" s="132">
        <f t="shared" si="45"/>
        <v>1</v>
      </c>
      <c r="N253" s="139" t="s">
        <v>216</v>
      </c>
      <c r="O253" s="140" t="str">
        <f>IF(ISBLANK(N253),"",VLOOKUP(N253,[12]Parámetros!$G$2:$H$23,2,FALSE))</f>
        <v>Contratación directa.</v>
      </c>
      <c r="P253" s="141">
        <f>IF(ISBLANK(N253),"",1)</f>
        <v>1</v>
      </c>
      <c r="Q253" s="142">
        <f t="shared" si="46"/>
        <v>2496647155</v>
      </c>
      <c r="R253" s="142">
        <f t="shared" si="47"/>
        <v>2496647155</v>
      </c>
      <c r="S253" s="143" t="s">
        <v>223</v>
      </c>
      <c r="T253" s="139">
        <f>IF(ISBLANK(S253),"",IF(VALUE(S253)=0,0,IF(VALUE(S253)=1,3,"")))</f>
        <v>0</v>
      </c>
      <c r="U253" s="48" t="str">
        <f t="shared" si="48"/>
        <v>SUBDIRECCION DE GESTION CONTRACTUAL</v>
      </c>
      <c r="V253" s="132" t="str">
        <f t="shared" si="49"/>
        <v>CO-DC</v>
      </c>
      <c r="W253" s="48" t="str">
        <f t="shared" si="50"/>
        <v>Distrito Capital de Bogotá</v>
      </c>
      <c r="X253" s="144" t="s">
        <v>106</v>
      </c>
      <c r="Y253" s="145">
        <v>2427400</v>
      </c>
      <c r="Z253" s="146" t="s">
        <v>380</v>
      </c>
    </row>
    <row r="254" spans="1:26" s="10" customFormat="1" ht="12.75" customHeight="1" x14ac:dyDescent="0.2">
      <c r="A254" s="131" t="s">
        <v>99</v>
      </c>
      <c r="B254" s="132">
        <v>27</v>
      </c>
      <c r="C254" s="133" t="s">
        <v>396</v>
      </c>
      <c r="D254" s="133" t="s">
        <v>100</v>
      </c>
      <c r="E254" s="129"/>
      <c r="F254" s="129">
        <v>276460000</v>
      </c>
      <c r="G254" s="129"/>
      <c r="H254" s="134" t="s">
        <v>42</v>
      </c>
      <c r="I254" s="135" t="s">
        <v>385</v>
      </c>
      <c r="J254" s="136">
        <v>3</v>
      </c>
      <c r="K254" s="137">
        <v>4</v>
      </c>
      <c r="L254" s="138">
        <v>9</v>
      </c>
      <c r="M254" s="132">
        <f t="shared" si="45"/>
        <v>1</v>
      </c>
      <c r="N254" s="139" t="s">
        <v>61</v>
      </c>
      <c r="O254" s="140" t="str">
        <f>IF(ISBLANK(N254),"",VLOOKUP(N254,[11]Parámetros!$G$2:$H$23,2,FALSE))</f>
        <v>Contratación régimen especial - Selección de comisionista</v>
      </c>
      <c r="P254" s="141">
        <v>1</v>
      </c>
      <c r="Q254" s="142">
        <f t="shared" si="46"/>
        <v>276460000</v>
      </c>
      <c r="R254" s="142">
        <f t="shared" si="47"/>
        <v>276460000</v>
      </c>
      <c r="S254" s="143" t="s">
        <v>223</v>
      </c>
      <c r="T254" s="139">
        <v>0</v>
      </c>
      <c r="U254" s="48" t="str">
        <f t="shared" si="48"/>
        <v>SUBDIRECCION DE GESTION CONTRACTUAL</v>
      </c>
      <c r="V254" s="132" t="str">
        <f t="shared" si="49"/>
        <v>CO-DC</v>
      </c>
      <c r="W254" s="48" t="str">
        <f t="shared" si="50"/>
        <v>Distrito Capital de Bogotá</v>
      </c>
      <c r="X254" s="144" t="s">
        <v>106</v>
      </c>
      <c r="Y254" s="145">
        <v>2427400</v>
      </c>
      <c r="Z254" s="146" t="s">
        <v>380</v>
      </c>
    </row>
    <row r="255" spans="1:26" s="10" customFormat="1" ht="12.75" customHeight="1" x14ac:dyDescent="0.2">
      <c r="A255" s="131" t="s">
        <v>99</v>
      </c>
      <c r="B255" s="132">
        <v>28</v>
      </c>
      <c r="C255" s="133" t="s">
        <v>396</v>
      </c>
      <c r="D255" s="133" t="s">
        <v>100</v>
      </c>
      <c r="E255" s="129"/>
      <c r="F255" s="129">
        <v>1891393118</v>
      </c>
      <c r="G255" s="129"/>
      <c r="H255" s="134" t="s">
        <v>795</v>
      </c>
      <c r="I255" s="135" t="s">
        <v>381</v>
      </c>
      <c r="J255" s="136">
        <v>2</v>
      </c>
      <c r="K255" s="137">
        <v>3</v>
      </c>
      <c r="L255" s="138">
        <v>9</v>
      </c>
      <c r="M255" s="132">
        <f t="shared" si="45"/>
        <v>1</v>
      </c>
      <c r="N255" s="139" t="s">
        <v>233</v>
      </c>
      <c r="O255" s="140" t="str">
        <f>IF(ISBLANK(N255),"",VLOOKUP(N255,[12]Parámetros!$G$2:$H$23,2,FALSE))</f>
        <v>Licitación pública</v>
      </c>
      <c r="P255" s="141">
        <v>1</v>
      </c>
      <c r="Q255" s="142">
        <f t="shared" si="46"/>
        <v>1891393118</v>
      </c>
      <c r="R255" s="142">
        <f t="shared" si="47"/>
        <v>1891393118</v>
      </c>
      <c r="S255" s="143" t="s">
        <v>223</v>
      </c>
      <c r="T255" s="139">
        <v>0</v>
      </c>
      <c r="U255" s="48" t="str">
        <f t="shared" si="48"/>
        <v>SUBDIRECCION DE GESTION CONTRACTUAL</v>
      </c>
      <c r="V255" s="132" t="str">
        <f t="shared" si="49"/>
        <v>CO-DC</v>
      </c>
      <c r="W255" s="48" t="str">
        <f t="shared" si="50"/>
        <v>Distrito Capital de Bogotá</v>
      </c>
      <c r="X255" s="144" t="s">
        <v>106</v>
      </c>
      <c r="Y255" s="145">
        <v>2427400</v>
      </c>
      <c r="Z255" s="146" t="s">
        <v>380</v>
      </c>
    </row>
    <row r="256" spans="1:26" s="10" customFormat="1" ht="12.75" customHeight="1" x14ac:dyDescent="0.2">
      <c r="A256" s="131" t="s">
        <v>99</v>
      </c>
      <c r="B256" s="132">
        <v>29</v>
      </c>
      <c r="C256" s="133" t="s">
        <v>396</v>
      </c>
      <c r="D256" s="133" t="s">
        <v>100</v>
      </c>
      <c r="E256" s="129"/>
      <c r="F256" s="129">
        <v>482500000</v>
      </c>
      <c r="G256" s="129"/>
      <c r="H256" s="134" t="s">
        <v>795</v>
      </c>
      <c r="I256" s="135" t="s">
        <v>381</v>
      </c>
      <c r="J256" s="227">
        <v>2</v>
      </c>
      <c r="K256" s="227">
        <v>3</v>
      </c>
      <c r="L256" s="227">
        <v>9</v>
      </c>
      <c r="M256" s="132">
        <f t="shared" si="45"/>
        <v>1</v>
      </c>
      <c r="N256" s="197" t="s">
        <v>233</v>
      </c>
      <c r="O256" s="198" t="str">
        <f>IF(ISBLANK(N256),"",VLOOKUP(N256,[12]Parámetros!$G$2:$H$23,2,FALSE))</f>
        <v>Licitación pública</v>
      </c>
      <c r="P256" s="141">
        <v>1</v>
      </c>
      <c r="Q256" s="142">
        <f t="shared" si="46"/>
        <v>482500000</v>
      </c>
      <c r="R256" s="142">
        <f t="shared" si="47"/>
        <v>482500000</v>
      </c>
      <c r="S256" s="143" t="s">
        <v>223</v>
      </c>
      <c r="T256" s="139">
        <v>0</v>
      </c>
      <c r="U256" s="48" t="str">
        <f t="shared" si="48"/>
        <v>SUBDIRECCION DE GESTION CONTRACTUAL</v>
      </c>
      <c r="V256" s="132" t="str">
        <f t="shared" si="49"/>
        <v>CO-DC</v>
      </c>
      <c r="W256" s="48" t="str">
        <f t="shared" si="50"/>
        <v>Distrito Capital de Bogotá</v>
      </c>
      <c r="X256" s="144" t="s">
        <v>106</v>
      </c>
      <c r="Y256" s="145">
        <v>2427400</v>
      </c>
      <c r="Z256" s="146" t="s">
        <v>380</v>
      </c>
    </row>
    <row r="257" spans="1:26" s="10" customFormat="1" ht="12.75" customHeight="1" x14ac:dyDescent="0.2">
      <c r="A257" s="131" t="s">
        <v>99</v>
      </c>
      <c r="B257" s="132">
        <v>30</v>
      </c>
      <c r="C257" s="133" t="s">
        <v>396</v>
      </c>
      <c r="D257" s="133" t="s">
        <v>100</v>
      </c>
      <c r="E257" s="129"/>
      <c r="F257" s="129">
        <v>100000000</v>
      </c>
      <c r="G257" s="129"/>
      <c r="H257" s="134" t="s">
        <v>644</v>
      </c>
      <c r="I257" s="135" t="s">
        <v>386</v>
      </c>
      <c r="J257" s="136">
        <v>2</v>
      </c>
      <c r="K257" s="137">
        <v>2</v>
      </c>
      <c r="L257" s="138">
        <v>10</v>
      </c>
      <c r="M257" s="132">
        <f t="shared" si="45"/>
        <v>1</v>
      </c>
      <c r="N257" s="139" t="s">
        <v>36</v>
      </c>
      <c r="O257" s="140" t="str">
        <f>IF(ISBLANK(N257),"",VLOOKUP(N257,[12]Parámetros!$G$2:$H$23,2,FALSE))</f>
        <v xml:space="preserve">Contratación directa (con ofertas) </v>
      </c>
      <c r="P257" s="141">
        <v>1</v>
      </c>
      <c r="Q257" s="142">
        <f t="shared" si="46"/>
        <v>100000000</v>
      </c>
      <c r="R257" s="142">
        <f t="shared" si="47"/>
        <v>100000000</v>
      </c>
      <c r="S257" s="143" t="s">
        <v>223</v>
      </c>
      <c r="T257" s="139">
        <v>0</v>
      </c>
      <c r="U257" s="48" t="str">
        <f t="shared" si="48"/>
        <v>SUBDIRECCION DE GESTION CONTRACTUAL</v>
      </c>
      <c r="V257" s="132" t="str">
        <f t="shared" si="49"/>
        <v>CO-DC</v>
      </c>
      <c r="W257" s="48" t="str">
        <f t="shared" si="50"/>
        <v>Distrito Capital de Bogotá</v>
      </c>
      <c r="X257" s="144" t="s">
        <v>331</v>
      </c>
      <c r="Y257" s="132">
        <v>2427400</v>
      </c>
      <c r="Z257" s="146" t="s">
        <v>94</v>
      </c>
    </row>
    <row r="258" spans="1:26" s="10" customFormat="1" ht="12.75" customHeight="1" x14ac:dyDescent="0.2">
      <c r="A258" s="131" t="s">
        <v>99</v>
      </c>
      <c r="B258" s="132">
        <v>31</v>
      </c>
      <c r="C258" s="133" t="s">
        <v>396</v>
      </c>
      <c r="D258" s="133" t="s">
        <v>100</v>
      </c>
      <c r="E258" s="129"/>
      <c r="F258" s="129">
        <v>198963482</v>
      </c>
      <c r="G258" s="129"/>
      <c r="H258" s="134" t="s">
        <v>103</v>
      </c>
      <c r="I258" s="135" t="s">
        <v>630</v>
      </c>
      <c r="J258" s="136">
        <v>2</v>
      </c>
      <c r="K258" s="137">
        <v>3</v>
      </c>
      <c r="L258" s="138">
        <v>10</v>
      </c>
      <c r="M258" s="132">
        <f t="shared" si="45"/>
        <v>1</v>
      </c>
      <c r="N258" s="139" t="s">
        <v>36</v>
      </c>
      <c r="O258" s="140" t="str">
        <f>IF(ISBLANK(N258),"",VLOOKUP(N258,[1]Parámetros!$G$2:$H$23,2,FALSE))</f>
        <v xml:space="preserve">Contratación directa (con ofertas) </v>
      </c>
      <c r="P258" s="141">
        <v>1</v>
      </c>
      <c r="Q258" s="142">
        <f t="shared" si="46"/>
        <v>198963482</v>
      </c>
      <c r="R258" s="142">
        <f t="shared" si="47"/>
        <v>198963482</v>
      </c>
      <c r="S258" s="143" t="s">
        <v>223</v>
      </c>
      <c r="T258" s="139">
        <v>0</v>
      </c>
      <c r="U258" s="48" t="str">
        <f t="shared" si="48"/>
        <v>SUBDIRECCION DE GESTION CONTRACTUAL</v>
      </c>
      <c r="V258" s="132" t="str">
        <f t="shared" si="49"/>
        <v>CO-DC</v>
      </c>
      <c r="W258" s="48" t="str">
        <f t="shared" si="50"/>
        <v>Distrito Capital de Bogotá</v>
      </c>
      <c r="X258" s="144" t="s">
        <v>106</v>
      </c>
      <c r="Y258" s="145">
        <v>2427400</v>
      </c>
      <c r="Z258" s="146" t="s">
        <v>380</v>
      </c>
    </row>
    <row r="259" spans="1:26" s="10" customFormat="1" ht="12.75" customHeight="1" x14ac:dyDescent="0.2">
      <c r="A259" s="131" t="s">
        <v>99</v>
      </c>
      <c r="B259" s="132">
        <v>32</v>
      </c>
      <c r="C259" s="133" t="s">
        <v>396</v>
      </c>
      <c r="D259" s="133" t="s">
        <v>100</v>
      </c>
      <c r="E259" s="129"/>
      <c r="F259" s="202">
        <f>150000000-83000000</f>
        <v>67000000</v>
      </c>
      <c r="G259" s="129"/>
      <c r="H259" s="203" t="s">
        <v>121</v>
      </c>
      <c r="I259" s="204" t="s">
        <v>871</v>
      </c>
      <c r="J259" s="211">
        <v>1</v>
      </c>
      <c r="K259" s="211">
        <v>2</v>
      </c>
      <c r="L259" s="211">
        <v>10</v>
      </c>
      <c r="M259" s="132">
        <f t="shared" ref="M259" si="51">IF(ISBLANK(J259),"",1)</f>
        <v>1</v>
      </c>
      <c r="N259" s="212" t="s">
        <v>43</v>
      </c>
      <c r="O259" s="213" t="str">
        <f>IF(ISBLANK(N259),"",VLOOKUP(N259,[1]Parámetros!$G$2:$H$23,2,FALSE))</f>
        <v>Selección abreviada subasta inversa</v>
      </c>
      <c r="P259" s="141">
        <v>1</v>
      </c>
      <c r="Q259" s="142">
        <f t="shared" si="46"/>
        <v>67000000</v>
      </c>
      <c r="R259" s="142">
        <f t="shared" si="47"/>
        <v>67000000</v>
      </c>
      <c r="S259" s="143" t="s">
        <v>223</v>
      </c>
      <c r="T259" s="139">
        <v>0</v>
      </c>
      <c r="U259" s="48" t="str">
        <f t="shared" si="48"/>
        <v>SUBDIRECCION DE GESTION CONTRACTUAL</v>
      </c>
      <c r="V259" s="132" t="str">
        <f t="shared" si="49"/>
        <v>CO-DC</v>
      </c>
      <c r="W259" s="48" t="str">
        <f t="shared" si="50"/>
        <v>Distrito Capital de Bogotá</v>
      </c>
      <c r="X259" s="144" t="s">
        <v>106</v>
      </c>
      <c r="Y259" s="145">
        <v>2427400</v>
      </c>
      <c r="Z259" s="146" t="s">
        <v>380</v>
      </c>
    </row>
    <row r="260" spans="1:26" s="10" customFormat="1" ht="12.75" customHeight="1" x14ac:dyDescent="0.2">
      <c r="A260" s="131" t="s">
        <v>99</v>
      </c>
      <c r="B260" s="132">
        <v>33</v>
      </c>
      <c r="C260" s="133" t="s">
        <v>396</v>
      </c>
      <c r="D260" s="133" t="s">
        <v>100</v>
      </c>
      <c r="E260" s="129"/>
      <c r="F260" s="129">
        <v>2224340000</v>
      </c>
      <c r="G260" s="129"/>
      <c r="H260" s="134" t="s">
        <v>101</v>
      </c>
      <c r="I260" s="135" t="s">
        <v>392</v>
      </c>
      <c r="J260" s="150">
        <v>6</v>
      </c>
      <c r="K260" s="150">
        <v>6</v>
      </c>
      <c r="L260" s="150">
        <v>6</v>
      </c>
      <c r="M260" s="132">
        <f t="shared" si="45"/>
        <v>1</v>
      </c>
      <c r="N260" s="139" t="s">
        <v>36</v>
      </c>
      <c r="O260" s="140" t="str">
        <f>IF(ISBLANK(N260),"",VLOOKUP(N260,[12]Parámetros!$G$2:$H$23,2,FALSE))</f>
        <v xml:space="preserve">Contratación directa (con ofertas) </v>
      </c>
      <c r="P260" s="141">
        <v>1</v>
      </c>
      <c r="Q260" s="142">
        <f t="shared" si="46"/>
        <v>2224340000</v>
      </c>
      <c r="R260" s="142">
        <f t="shared" si="47"/>
        <v>2224340000</v>
      </c>
      <c r="S260" s="143" t="s">
        <v>223</v>
      </c>
      <c r="T260" s="139">
        <v>0</v>
      </c>
      <c r="U260" s="48" t="str">
        <f t="shared" si="48"/>
        <v>SUBDIRECCION DE GESTION CONTRACTUAL</v>
      </c>
      <c r="V260" s="132" t="str">
        <f t="shared" si="49"/>
        <v>CO-DC</v>
      </c>
      <c r="W260" s="48" t="str">
        <f t="shared" si="50"/>
        <v>Distrito Capital de Bogotá</v>
      </c>
      <c r="X260" s="144" t="s">
        <v>106</v>
      </c>
      <c r="Y260" s="145">
        <v>2427400</v>
      </c>
      <c r="Z260" s="146" t="s">
        <v>380</v>
      </c>
    </row>
    <row r="261" spans="1:26" s="10" customFormat="1" ht="12.75" customHeight="1" x14ac:dyDescent="0.2">
      <c r="A261" s="131" t="s">
        <v>99</v>
      </c>
      <c r="B261" s="132">
        <v>34</v>
      </c>
      <c r="C261" s="133" t="s">
        <v>396</v>
      </c>
      <c r="D261" s="133" t="s">
        <v>100</v>
      </c>
      <c r="E261" s="129"/>
      <c r="F261" s="129">
        <v>150000000</v>
      </c>
      <c r="G261" s="129"/>
      <c r="H261" s="134" t="s">
        <v>105</v>
      </c>
      <c r="I261" s="135" t="s">
        <v>397</v>
      </c>
      <c r="J261" s="150">
        <v>10</v>
      </c>
      <c r="K261" s="150">
        <v>10</v>
      </c>
      <c r="L261" s="150">
        <v>2</v>
      </c>
      <c r="M261" s="132">
        <f t="shared" si="45"/>
        <v>1</v>
      </c>
      <c r="N261" s="139" t="s">
        <v>36</v>
      </c>
      <c r="O261" s="140" t="str">
        <f>IF(ISBLANK(N261),"",VLOOKUP(N261,[12]Parámetros!$G$2:$H$23,2,FALSE))</f>
        <v xml:space="preserve">Contratación directa (con ofertas) </v>
      </c>
      <c r="P261" s="141">
        <v>1</v>
      </c>
      <c r="Q261" s="142">
        <f t="shared" si="46"/>
        <v>150000000</v>
      </c>
      <c r="R261" s="142">
        <f t="shared" si="47"/>
        <v>150000000</v>
      </c>
      <c r="S261" s="143" t="s">
        <v>223</v>
      </c>
      <c r="T261" s="139">
        <v>0</v>
      </c>
      <c r="U261" s="48" t="str">
        <f t="shared" si="48"/>
        <v>SUBDIRECCION DE GESTION CONTRACTUAL</v>
      </c>
      <c r="V261" s="132" t="str">
        <f t="shared" si="49"/>
        <v>CO-DC</v>
      </c>
      <c r="W261" s="48" t="str">
        <f t="shared" si="50"/>
        <v>Distrito Capital de Bogotá</v>
      </c>
      <c r="X261" s="144" t="s">
        <v>106</v>
      </c>
      <c r="Y261" s="145">
        <v>2427400</v>
      </c>
      <c r="Z261" s="146" t="s">
        <v>380</v>
      </c>
    </row>
    <row r="262" spans="1:26" s="10" customFormat="1" ht="12.75" customHeight="1" x14ac:dyDescent="0.2">
      <c r="A262" s="131" t="s">
        <v>99</v>
      </c>
      <c r="B262" s="132">
        <v>35</v>
      </c>
      <c r="C262" s="133" t="s">
        <v>396</v>
      </c>
      <c r="D262" s="133" t="s">
        <v>100</v>
      </c>
      <c r="E262" s="129"/>
      <c r="F262" s="129">
        <v>1079500000</v>
      </c>
      <c r="G262" s="129"/>
      <c r="H262" s="134">
        <v>82111902</v>
      </c>
      <c r="I262" s="135" t="s">
        <v>398</v>
      </c>
      <c r="J262" s="150">
        <v>4</v>
      </c>
      <c r="K262" s="150">
        <v>4</v>
      </c>
      <c r="L262" s="150">
        <v>5</v>
      </c>
      <c r="M262" s="132">
        <f t="shared" si="45"/>
        <v>1</v>
      </c>
      <c r="N262" s="139" t="s">
        <v>36</v>
      </c>
      <c r="O262" s="140" t="str">
        <f>IF(ISBLANK(N262),"",VLOOKUP(N262,[12]Parámetros!$G$2:$H$23,2,FALSE))</f>
        <v xml:space="preserve">Contratación directa (con ofertas) </v>
      </c>
      <c r="P262" s="141">
        <v>1</v>
      </c>
      <c r="Q262" s="142">
        <f t="shared" si="46"/>
        <v>1079500000</v>
      </c>
      <c r="R262" s="142">
        <f t="shared" si="47"/>
        <v>1079500000</v>
      </c>
      <c r="S262" s="143" t="s">
        <v>223</v>
      </c>
      <c r="T262" s="139">
        <v>0</v>
      </c>
      <c r="U262" s="48" t="str">
        <f t="shared" si="48"/>
        <v>SUBDIRECCION DE GESTION CONTRACTUAL</v>
      </c>
      <c r="V262" s="132" t="str">
        <f t="shared" si="49"/>
        <v>CO-DC</v>
      </c>
      <c r="W262" s="48" t="str">
        <f t="shared" si="50"/>
        <v>Distrito Capital de Bogotá</v>
      </c>
      <c r="X262" s="144" t="s">
        <v>106</v>
      </c>
      <c r="Y262" s="145">
        <v>2427400</v>
      </c>
      <c r="Z262" s="146" t="s">
        <v>380</v>
      </c>
    </row>
    <row r="263" spans="1:26" s="10" customFormat="1" ht="12.75" customHeight="1" x14ac:dyDescent="0.2">
      <c r="A263" s="131" t="s">
        <v>99</v>
      </c>
      <c r="B263" s="132">
        <v>36</v>
      </c>
      <c r="C263" s="133" t="s">
        <v>396</v>
      </c>
      <c r="D263" s="133" t="s">
        <v>100</v>
      </c>
      <c r="E263" s="129"/>
      <c r="F263" s="129">
        <v>120000000</v>
      </c>
      <c r="G263" s="129"/>
      <c r="H263" s="134" t="s">
        <v>382</v>
      </c>
      <c r="I263" s="135" t="s">
        <v>399</v>
      </c>
      <c r="J263" s="150">
        <v>3</v>
      </c>
      <c r="K263" s="150">
        <v>4</v>
      </c>
      <c r="L263" s="150">
        <v>4</v>
      </c>
      <c r="M263" s="132">
        <f t="shared" si="45"/>
        <v>1</v>
      </c>
      <c r="N263" s="139" t="s">
        <v>36</v>
      </c>
      <c r="O263" s="140" t="str">
        <f>IF(ISBLANK(N263),"",VLOOKUP(N263,[12]Parámetros!$G$2:$H$23,2,FALSE))</f>
        <v xml:space="preserve">Contratación directa (con ofertas) </v>
      </c>
      <c r="P263" s="141">
        <v>1</v>
      </c>
      <c r="Q263" s="142">
        <f t="shared" si="46"/>
        <v>120000000</v>
      </c>
      <c r="R263" s="142">
        <f t="shared" si="47"/>
        <v>120000000</v>
      </c>
      <c r="S263" s="143" t="s">
        <v>223</v>
      </c>
      <c r="T263" s="139">
        <v>0</v>
      </c>
      <c r="U263" s="48" t="str">
        <f t="shared" si="48"/>
        <v>SUBDIRECCION DE GESTION CONTRACTUAL</v>
      </c>
      <c r="V263" s="132" t="str">
        <f t="shared" si="49"/>
        <v>CO-DC</v>
      </c>
      <c r="W263" s="48" t="str">
        <f t="shared" si="50"/>
        <v>Distrito Capital de Bogotá</v>
      </c>
      <c r="X263" s="144" t="s">
        <v>106</v>
      </c>
      <c r="Y263" s="145">
        <v>2427400</v>
      </c>
      <c r="Z263" s="146" t="s">
        <v>380</v>
      </c>
    </row>
    <row r="264" spans="1:26" s="10" customFormat="1" ht="12.75" customHeight="1" x14ac:dyDescent="0.2">
      <c r="A264" s="131" t="s">
        <v>99</v>
      </c>
      <c r="B264" s="132">
        <v>37</v>
      </c>
      <c r="C264" s="133" t="s">
        <v>396</v>
      </c>
      <c r="D264" s="133" t="s">
        <v>100</v>
      </c>
      <c r="E264" s="129"/>
      <c r="F264" s="129">
        <v>842356160</v>
      </c>
      <c r="G264" s="129"/>
      <c r="H264" s="134" t="s">
        <v>393</v>
      </c>
      <c r="I264" s="135" t="s">
        <v>400</v>
      </c>
      <c r="J264" s="150">
        <v>3</v>
      </c>
      <c r="K264" s="150">
        <v>4</v>
      </c>
      <c r="L264" s="150">
        <v>8</v>
      </c>
      <c r="M264" s="132">
        <f t="shared" si="45"/>
        <v>1</v>
      </c>
      <c r="N264" s="139" t="s">
        <v>36</v>
      </c>
      <c r="O264" s="140" t="str">
        <f>IF(ISBLANK(N264),"",VLOOKUP(N264,[12]Parámetros!$G$2:$H$23,2,FALSE))</f>
        <v xml:space="preserve">Contratación directa (con ofertas) </v>
      </c>
      <c r="P264" s="141">
        <v>1</v>
      </c>
      <c r="Q264" s="142">
        <f t="shared" si="46"/>
        <v>842356160</v>
      </c>
      <c r="R264" s="142">
        <f t="shared" si="47"/>
        <v>842356160</v>
      </c>
      <c r="S264" s="143" t="s">
        <v>223</v>
      </c>
      <c r="T264" s="139">
        <v>0</v>
      </c>
      <c r="U264" s="48" t="str">
        <f t="shared" si="48"/>
        <v>SUBDIRECCION DE GESTION CONTRACTUAL</v>
      </c>
      <c r="V264" s="132" t="str">
        <f t="shared" si="49"/>
        <v>CO-DC</v>
      </c>
      <c r="W264" s="48" t="str">
        <f t="shared" si="50"/>
        <v>Distrito Capital de Bogotá</v>
      </c>
      <c r="X264" s="144" t="s">
        <v>106</v>
      </c>
      <c r="Y264" s="145">
        <v>2427400</v>
      </c>
      <c r="Z264" s="146" t="s">
        <v>380</v>
      </c>
    </row>
    <row r="265" spans="1:26" s="10" customFormat="1" ht="12.75" customHeight="1" x14ac:dyDescent="0.2">
      <c r="A265" s="131" t="s">
        <v>99</v>
      </c>
      <c r="B265" s="132">
        <v>38</v>
      </c>
      <c r="C265" s="133" t="s">
        <v>396</v>
      </c>
      <c r="D265" s="133" t="s">
        <v>100</v>
      </c>
      <c r="E265" s="129"/>
      <c r="F265" s="129">
        <v>181300000</v>
      </c>
      <c r="G265" s="129"/>
      <c r="H265" s="134" t="s">
        <v>382</v>
      </c>
      <c r="I265" s="135" t="s">
        <v>399</v>
      </c>
      <c r="J265" s="150">
        <v>3</v>
      </c>
      <c r="K265" s="150">
        <v>4</v>
      </c>
      <c r="L265" s="150">
        <v>4</v>
      </c>
      <c r="M265" s="132">
        <f t="shared" si="45"/>
        <v>1</v>
      </c>
      <c r="N265" s="139" t="s">
        <v>36</v>
      </c>
      <c r="O265" s="140" t="str">
        <f>IF(ISBLANK(N265),"",VLOOKUP(N265,[12]Parámetros!$G$2:$H$23,2,FALSE))</f>
        <v xml:space="preserve">Contratación directa (con ofertas) </v>
      </c>
      <c r="P265" s="141">
        <v>1</v>
      </c>
      <c r="Q265" s="142">
        <f t="shared" si="46"/>
        <v>181300000</v>
      </c>
      <c r="R265" s="142">
        <f t="shared" si="47"/>
        <v>181300000</v>
      </c>
      <c r="S265" s="143" t="s">
        <v>223</v>
      </c>
      <c r="T265" s="139">
        <v>0</v>
      </c>
      <c r="U265" s="48" t="str">
        <f t="shared" si="48"/>
        <v>SUBDIRECCION DE GESTION CONTRACTUAL</v>
      </c>
      <c r="V265" s="132" t="str">
        <f t="shared" si="49"/>
        <v>CO-DC</v>
      </c>
      <c r="W265" s="48" t="str">
        <f t="shared" si="50"/>
        <v>Distrito Capital de Bogotá</v>
      </c>
      <c r="X265" s="144" t="s">
        <v>106</v>
      </c>
      <c r="Y265" s="145">
        <v>2427400</v>
      </c>
      <c r="Z265" s="146" t="s">
        <v>380</v>
      </c>
    </row>
    <row r="266" spans="1:26" s="10" customFormat="1" ht="12.75" customHeight="1" x14ac:dyDescent="0.2">
      <c r="A266" s="131" t="s">
        <v>99</v>
      </c>
      <c r="B266" s="132">
        <v>39</v>
      </c>
      <c r="C266" s="133" t="s">
        <v>401</v>
      </c>
      <c r="D266" s="133" t="s">
        <v>100</v>
      </c>
      <c r="E266" s="129"/>
      <c r="F266" s="129">
        <v>444400000</v>
      </c>
      <c r="G266" s="129"/>
      <c r="H266" s="134">
        <v>80111600</v>
      </c>
      <c r="I266" s="135" t="s">
        <v>379</v>
      </c>
      <c r="J266" s="150">
        <v>1</v>
      </c>
      <c r="K266" s="150">
        <v>1</v>
      </c>
      <c r="L266" s="150">
        <v>12</v>
      </c>
      <c r="M266" s="132">
        <f t="shared" si="45"/>
        <v>1</v>
      </c>
      <c r="N266" s="139" t="s">
        <v>216</v>
      </c>
      <c r="O266" s="140" t="str">
        <f>IF(ISBLANK(N266),"",VLOOKUP(N266,[12]Parámetros!$G$2:$H$23,2,FALSE))</f>
        <v>Contratación directa.</v>
      </c>
      <c r="P266" s="141">
        <f>IF(ISBLANK(N266),"",1)</f>
        <v>1</v>
      </c>
      <c r="Q266" s="142">
        <f t="shared" si="46"/>
        <v>444400000</v>
      </c>
      <c r="R266" s="142">
        <f t="shared" si="47"/>
        <v>444400000</v>
      </c>
      <c r="S266" s="143" t="s">
        <v>223</v>
      </c>
      <c r="T266" s="139">
        <f>IF(ISBLANK(S266),"",IF(VALUE(S266)=0,0,IF(VALUE(S266)=1,3,"")))</f>
        <v>0</v>
      </c>
      <c r="U266" s="48" t="str">
        <f t="shared" si="48"/>
        <v>SUBDIRECCION DE GESTION CONTRACTUAL</v>
      </c>
      <c r="V266" s="132" t="str">
        <f t="shared" si="49"/>
        <v>CO-DC</v>
      </c>
      <c r="W266" s="48" t="str">
        <f t="shared" si="50"/>
        <v>Distrito Capital de Bogotá</v>
      </c>
      <c r="X266" s="144" t="s">
        <v>106</v>
      </c>
      <c r="Y266" s="145">
        <v>2427400</v>
      </c>
      <c r="Z266" s="146" t="s">
        <v>380</v>
      </c>
    </row>
    <row r="267" spans="1:26" s="10" customFormat="1" ht="12.75" customHeight="1" x14ac:dyDescent="0.2">
      <c r="A267" s="131" t="s">
        <v>99</v>
      </c>
      <c r="B267" s="132">
        <v>40</v>
      </c>
      <c r="C267" s="133" t="s">
        <v>401</v>
      </c>
      <c r="D267" s="133" t="s">
        <v>100</v>
      </c>
      <c r="E267" s="129"/>
      <c r="F267" s="129">
        <v>48000000</v>
      </c>
      <c r="G267" s="129"/>
      <c r="H267" s="134" t="s">
        <v>42</v>
      </c>
      <c r="I267" s="135" t="s">
        <v>385</v>
      </c>
      <c r="J267" s="136">
        <v>3</v>
      </c>
      <c r="K267" s="137">
        <v>4</v>
      </c>
      <c r="L267" s="138">
        <v>9</v>
      </c>
      <c r="M267" s="132">
        <f t="shared" si="45"/>
        <v>1</v>
      </c>
      <c r="N267" s="139" t="s">
        <v>61</v>
      </c>
      <c r="O267" s="140" t="str">
        <f>IF(ISBLANK(N267),"",VLOOKUP(N267,[11]Parámetros!$G$2:$H$23,2,FALSE))</f>
        <v>Contratación régimen especial - Selección de comisionista</v>
      </c>
      <c r="P267" s="141">
        <v>1</v>
      </c>
      <c r="Q267" s="142">
        <f t="shared" si="46"/>
        <v>48000000</v>
      </c>
      <c r="R267" s="142">
        <f t="shared" si="47"/>
        <v>48000000</v>
      </c>
      <c r="S267" s="143" t="s">
        <v>223</v>
      </c>
      <c r="T267" s="139">
        <v>0</v>
      </c>
      <c r="U267" s="48" t="str">
        <f t="shared" si="48"/>
        <v>SUBDIRECCION DE GESTION CONTRACTUAL</v>
      </c>
      <c r="V267" s="132" t="str">
        <f t="shared" si="49"/>
        <v>CO-DC</v>
      </c>
      <c r="W267" s="48" t="str">
        <f t="shared" si="50"/>
        <v>Distrito Capital de Bogotá</v>
      </c>
      <c r="X267" s="144" t="s">
        <v>106</v>
      </c>
      <c r="Y267" s="145">
        <v>2427400</v>
      </c>
      <c r="Z267" s="146" t="s">
        <v>380</v>
      </c>
    </row>
    <row r="268" spans="1:26" s="10" customFormat="1" ht="12.75" customHeight="1" x14ac:dyDescent="0.2">
      <c r="A268" s="131" t="s">
        <v>99</v>
      </c>
      <c r="B268" s="132">
        <v>41</v>
      </c>
      <c r="C268" s="133" t="s">
        <v>401</v>
      </c>
      <c r="D268" s="133" t="s">
        <v>100</v>
      </c>
      <c r="E268" s="129"/>
      <c r="F268" s="202">
        <f>1052189720-15000000</f>
        <v>1037189720</v>
      </c>
      <c r="G268" s="129"/>
      <c r="H268" s="134" t="s">
        <v>795</v>
      </c>
      <c r="I268" s="135" t="s">
        <v>381</v>
      </c>
      <c r="J268" s="136">
        <v>2</v>
      </c>
      <c r="K268" s="137">
        <v>3</v>
      </c>
      <c r="L268" s="138">
        <v>9</v>
      </c>
      <c r="M268" s="132">
        <f t="shared" si="45"/>
        <v>1</v>
      </c>
      <c r="N268" s="139" t="s">
        <v>233</v>
      </c>
      <c r="O268" s="140" t="str">
        <f>IF(ISBLANK(N268),"",VLOOKUP(N268,[12]Parámetros!$G$2:$H$23,2,FALSE))</f>
        <v>Licitación pública</v>
      </c>
      <c r="P268" s="141">
        <v>1</v>
      </c>
      <c r="Q268" s="142">
        <f t="shared" si="46"/>
        <v>1037189720</v>
      </c>
      <c r="R268" s="142">
        <f t="shared" si="47"/>
        <v>1037189720</v>
      </c>
      <c r="S268" s="143" t="s">
        <v>223</v>
      </c>
      <c r="T268" s="139">
        <v>0</v>
      </c>
      <c r="U268" s="48" t="str">
        <f t="shared" si="48"/>
        <v>SUBDIRECCION DE GESTION CONTRACTUAL</v>
      </c>
      <c r="V268" s="132" t="str">
        <f t="shared" si="49"/>
        <v>CO-DC</v>
      </c>
      <c r="W268" s="48" t="str">
        <f t="shared" si="50"/>
        <v>Distrito Capital de Bogotá</v>
      </c>
      <c r="X268" s="144" t="s">
        <v>106</v>
      </c>
      <c r="Y268" s="145">
        <v>2427400</v>
      </c>
      <c r="Z268" s="146" t="s">
        <v>380</v>
      </c>
    </row>
    <row r="269" spans="1:26" s="10" customFormat="1" ht="12.75" customHeight="1" x14ac:dyDescent="0.2">
      <c r="A269" s="131" t="s">
        <v>99</v>
      </c>
      <c r="B269" s="132">
        <v>42</v>
      </c>
      <c r="C269" s="133" t="s">
        <v>401</v>
      </c>
      <c r="D269" s="133" t="s">
        <v>100</v>
      </c>
      <c r="E269" s="129"/>
      <c r="F269" s="129">
        <v>35000000</v>
      </c>
      <c r="G269" s="129"/>
      <c r="H269" s="134" t="s">
        <v>795</v>
      </c>
      <c r="I269" s="135" t="s">
        <v>381</v>
      </c>
      <c r="J269" s="227">
        <v>2</v>
      </c>
      <c r="K269" s="227">
        <v>3</v>
      </c>
      <c r="L269" s="227">
        <v>9</v>
      </c>
      <c r="M269" s="132">
        <f t="shared" si="45"/>
        <v>1</v>
      </c>
      <c r="N269" s="212" t="s">
        <v>233</v>
      </c>
      <c r="O269" s="213" t="str">
        <f>IF(ISBLANK(N269),"",VLOOKUP(N269,[12]Parámetros!$G$2:$H$23,2,FALSE))</f>
        <v>Licitación pública</v>
      </c>
      <c r="P269" s="141">
        <v>1</v>
      </c>
      <c r="Q269" s="142">
        <f t="shared" si="46"/>
        <v>35000000</v>
      </c>
      <c r="R269" s="142">
        <f t="shared" si="47"/>
        <v>35000000</v>
      </c>
      <c r="S269" s="143" t="s">
        <v>223</v>
      </c>
      <c r="T269" s="139">
        <v>0</v>
      </c>
      <c r="U269" s="48" t="str">
        <f t="shared" si="48"/>
        <v>SUBDIRECCION DE GESTION CONTRACTUAL</v>
      </c>
      <c r="V269" s="132" t="str">
        <f t="shared" si="49"/>
        <v>CO-DC</v>
      </c>
      <c r="W269" s="48" t="str">
        <f t="shared" si="50"/>
        <v>Distrito Capital de Bogotá</v>
      </c>
      <c r="X269" s="144" t="s">
        <v>106</v>
      </c>
      <c r="Y269" s="145">
        <v>2427400</v>
      </c>
      <c r="Z269" s="146" t="s">
        <v>380</v>
      </c>
    </row>
    <row r="270" spans="1:26" s="10" customFormat="1" ht="12.75" customHeight="1" x14ac:dyDescent="0.2">
      <c r="A270" s="131" t="s">
        <v>99</v>
      </c>
      <c r="B270" s="132">
        <v>43</v>
      </c>
      <c r="C270" s="133" t="s">
        <v>401</v>
      </c>
      <c r="D270" s="133" t="s">
        <v>100</v>
      </c>
      <c r="E270" s="129"/>
      <c r="F270" s="129">
        <v>50000000</v>
      </c>
      <c r="G270" s="129"/>
      <c r="H270" s="134" t="s">
        <v>644</v>
      </c>
      <c r="I270" s="135" t="s">
        <v>386</v>
      </c>
      <c r="J270" s="136">
        <v>2</v>
      </c>
      <c r="K270" s="137">
        <v>2</v>
      </c>
      <c r="L270" s="138">
        <v>10</v>
      </c>
      <c r="M270" s="132">
        <f t="shared" si="45"/>
        <v>1</v>
      </c>
      <c r="N270" s="139" t="s">
        <v>36</v>
      </c>
      <c r="O270" s="140" t="str">
        <f>IF(ISBLANK(N270),"",VLOOKUP(N270,[12]Parámetros!$G$2:$H$23,2,FALSE))</f>
        <v xml:space="preserve">Contratación directa (con ofertas) </v>
      </c>
      <c r="P270" s="141">
        <v>1</v>
      </c>
      <c r="Q270" s="142">
        <f t="shared" si="46"/>
        <v>50000000</v>
      </c>
      <c r="R270" s="142">
        <f t="shared" si="47"/>
        <v>50000000</v>
      </c>
      <c r="S270" s="143" t="s">
        <v>223</v>
      </c>
      <c r="T270" s="139">
        <v>0</v>
      </c>
      <c r="U270" s="48" t="str">
        <f t="shared" si="48"/>
        <v>SUBDIRECCION DE GESTION CONTRACTUAL</v>
      </c>
      <c r="V270" s="132" t="str">
        <f t="shared" si="49"/>
        <v>CO-DC</v>
      </c>
      <c r="W270" s="48" t="str">
        <f t="shared" si="50"/>
        <v>Distrito Capital de Bogotá</v>
      </c>
      <c r="X270" s="144" t="s">
        <v>331</v>
      </c>
      <c r="Y270" s="132">
        <v>2427400</v>
      </c>
      <c r="Z270" s="146" t="s">
        <v>94</v>
      </c>
    </row>
    <row r="271" spans="1:26" s="10" customFormat="1" ht="12.75" customHeight="1" x14ac:dyDescent="0.2">
      <c r="A271" s="131" t="s">
        <v>99</v>
      </c>
      <c r="B271" s="132">
        <v>44</v>
      </c>
      <c r="C271" s="133" t="s">
        <v>401</v>
      </c>
      <c r="D271" s="133" t="s">
        <v>100</v>
      </c>
      <c r="E271" s="129"/>
      <c r="F271" s="129">
        <v>1000000000</v>
      </c>
      <c r="G271" s="129"/>
      <c r="H271" s="134" t="s">
        <v>402</v>
      </c>
      <c r="I271" s="135" t="s">
        <v>403</v>
      </c>
      <c r="J271" s="150">
        <v>3</v>
      </c>
      <c r="K271" s="150">
        <v>4</v>
      </c>
      <c r="L271" s="150">
        <v>8</v>
      </c>
      <c r="M271" s="132">
        <f t="shared" si="45"/>
        <v>1</v>
      </c>
      <c r="N271" s="139" t="s">
        <v>36</v>
      </c>
      <c r="O271" s="140" t="str">
        <f>IF(ISBLANK(N271),"",VLOOKUP(N271,[12]Parámetros!$G$2:$H$23,2,FALSE))</f>
        <v xml:space="preserve">Contratación directa (con ofertas) </v>
      </c>
      <c r="P271" s="141">
        <v>1</v>
      </c>
      <c r="Q271" s="142">
        <f t="shared" si="46"/>
        <v>1000000000</v>
      </c>
      <c r="R271" s="142">
        <f t="shared" si="47"/>
        <v>1000000000</v>
      </c>
      <c r="S271" s="143" t="s">
        <v>223</v>
      </c>
      <c r="T271" s="139">
        <v>0</v>
      </c>
      <c r="U271" s="48" t="str">
        <f t="shared" si="48"/>
        <v>SUBDIRECCION DE GESTION CONTRACTUAL</v>
      </c>
      <c r="V271" s="132" t="str">
        <f t="shared" si="49"/>
        <v>CO-DC</v>
      </c>
      <c r="W271" s="48" t="str">
        <f t="shared" si="50"/>
        <v>Distrito Capital de Bogotá</v>
      </c>
      <c r="X271" s="144" t="s">
        <v>106</v>
      </c>
      <c r="Y271" s="145">
        <v>2427400</v>
      </c>
      <c r="Z271" s="146" t="s">
        <v>380</v>
      </c>
    </row>
    <row r="272" spans="1:26" s="10" customFormat="1" ht="12.75" customHeight="1" x14ac:dyDescent="0.2">
      <c r="A272" s="131" t="s">
        <v>99</v>
      </c>
      <c r="B272" s="132">
        <v>45</v>
      </c>
      <c r="C272" s="133" t="s">
        <v>404</v>
      </c>
      <c r="D272" s="133" t="s">
        <v>100</v>
      </c>
      <c r="E272" s="129"/>
      <c r="F272" s="202">
        <f>398200000+151400000</f>
        <v>549600000</v>
      </c>
      <c r="G272" s="129"/>
      <c r="H272" s="134">
        <v>80111600</v>
      </c>
      <c r="I272" s="135" t="s">
        <v>379</v>
      </c>
      <c r="J272" s="150">
        <v>1</v>
      </c>
      <c r="K272" s="150">
        <v>1</v>
      </c>
      <c r="L272" s="150">
        <v>12</v>
      </c>
      <c r="M272" s="132">
        <f t="shared" si="45"/>
        <v>1</v>
      </c>
      <c r="N272" s="139" t="s">
        <v>216</v>
      </c>
      <c r="O272" s="140" t="str">
        <f>IF(ISBLANK(N272),"",VLOOKUP(N272,[12]Parámetros!$G$2:$H$23,2,FALSE))</f>
        <v>Contratación directa.</v>
      </c>
      <c r="P272" s="141">
        <f>IF(ISBLANK(N272),"",1)</f>
        <v>1</v>
      </c>
      <c r="Q272" s="142">
        <f t="shared" si="46"/>
        <v>549600000</v>
      </c>
      <c r="R272" s="142">
        <f t="shared" si="47"/>
        <v>549600000</v>
      </c>
      <c r="S272" s="143" t="s">
        <v>223</v>
      </c>
      <c r="T272" s="139">
        <f>IF(ISBLANK(S272),"",IF(VALUE(S272)=0,0,IF(VALUE(S272)=1,3,"")))</f>
        <v>0</v>
      </c>
      <c r="U272" s="48" t="str">
        <f t="shared" si="48"/>
        <v>SUBDIRECCION DE GESTION CONTRACTUAL</v>
      </c>
      <c r="V272" s="132" t="str">
        <f t="shared" si="49"/>
        <v>CO-DC</v>
      </c>
      <c r="W272" s="48" t="str">
        <f t="shared" si="50"/>
        <v>Distrito Capital de Bogotá</v>
      </c>
      <c r="X272" s="144" t="s">
        <v>106</v>
      </c>
      <c r="Y272" s="145">
        <v>2427400</v>
      </c>
      <c r="Z272" s="146" t="s">
        <v>380</v>
      </c>
    </row>
    <row r="273" spans="1:26" s="10" customFormat="1" ht="12.75" customHeight="1" x14ac:dyDescent="0.2">
      <c r="A273" s="131" t="s">
        <v>99</v>
      </c>
      <c r="B273" s="132">
        <v>46</v>
      </c>
      <c r="C273" s="133" t="s">
        <v>404</v>
      </c>
      <c r="D273" s="133" t="s">
        <v>100</v>
      </c>
      <c r="E273" s="129"/>
      <c r="F273" s="129">
        <v>65000000</v>
      </c>
      <c r="G273" s="129"/>
      <c r="H273" s="134" t="s">
        <v>42</v>
      </c>
      <c r="I273" s="135" t="s">
        <v>385</v>
      </c>
      <c r="J273" s="136">
        <v>3</v>
      </c>
      <c r="K273" s="137">
        <v>4</v>
      </c>
      <c r="L273" s="138">
        <v>9</v>
      </c>
      <c r="M273" s="132">
        <f t="shared" si="45"/>
        <v>1</v>
      </c>
      <c r="N273" s="139" t="s">
        <v>61</v>
      </c>
      <c r="O273" s="140" t="str">
        <f>IF(ISBLANK(N273),"",VLOOKUP(N273,[11]Parámetros!$G$2:$H$23,2,FALSE))</f>
        <v>Contratación régimen especial - Selección de comisionista</v>
      </c>
      <c r="P273" s="141">
        <v>1</v>
      </c>
      <c r="Q273" s="142">
        <f t="shared" si="46"/>
        <v>65000000</v>
      </c>
      <c r="R273" s="142">
        <f t="shared" si="47"/>
        <v>65000000</v>
      </c>
      <c r="S273" s="143" t="s">
        <v>223</v>
      </c>
      <c r="T273" s="139">
        <v>0</v>
      </c>
      <c r="U273" s="48" t="str">
        <f t="shared" si="48"/>
        <v>SUBDIRECCION DE GESTION CONTRACTUAL</v>
      </c>
      <c r="V273" s="132" t="str">
        <f t="shared" si="49"/>
        <v>CO-DC</v>
      </c>
      <c r="W273" s="48" t="str">
        <f t="shared" si="50"/>
        <v>Distrito Capital de Bogotá</v>
      </c>
      <c r="X273" s="144" t="s">
        <v>106</v>
      </c>
      <c r="Y273" s="145">
        <v>2427400</v>
      </c>
      <c r="Z273" s="146" t="s">
        <v>380</v>
      </c>
    </row>
    <row r="274" spans="1:26" s="10" customFormat="1" ht="12.75" customHeight="1" x14ac:dyDescent="0.2">
      <c r="A274" s="131" t="s">
        <v>99</v>
      </c>
      <c r="B274" s="132">
        <v>47</v>
      </c>
      <c r="C274" s="133" t="s">
        <v>404</v>
      </c>
      <c r="D274" s="133" t="s">
        <v>100</v>
      </c>
      <c r="E274" s="129"/>
      <c r="F274" s="129">
        <v>546887000</v>
      </c>
      <c r="G274" s="129"/>
      <c r="H274" s="134" t="s">
        <v>795</v>
      </c>
      <c r="I274" s="135" t="s">
        <v>381</v>
      </c>
      <c r="J274" s="136">
        <v>2</v>
      </c>
      <c r="K274" s="137">
        <v>3</v>
      </c>
      <c r="L274" s="138">
        <v>9</v>
      </c>
      <c r="M274" s="132">
        <f t="shared" ref="M274:M341" si="52">IF(ISBLANK(J274),"",1)</f>
        <v>1</v>
      </c>
      <c r="N274" s="139" t="s">
        <v>233</v>
      </c>
      <c r="O274" s="140" t="str">
        <f>IF(ISBLANK(N274),"",VLOOKUP(N274,[12]Parámetros!$G$2:$H$23,2,FALSE))</f>
        <v>Licitación pública</v>
      </c>
      <c r="P274" s="141">
        <v>1</v>
      </c>
      <c r="Q274" s="142">
        <f t="shared" ref="Q274:Q341" si="53">+E274+F274+G274</f>
        <v>546887000</v>
      </c>
      <c r="R274" s="142">
        <f t="shared" ref="R274:R341" si="54">+F274</f>
        <v>546887000</v>
      </c>
      <c r="S274" s="143" t="s">
        <v>223</v>
      </c>
      <c r="T274" s="139">
        <v>0</v>
      </c>
      <c r="U274" s="48" t="str">
        <f t="shared" ref="U274:U341" si="55">IF(ISBLANK(N274),"","SUBDIRECCION DE GESTION CONTRACTUAL")</f>
        <v>SUBDIRECCION DE GESTION CONTRACTUAL</v>
      </c>
      <c r="V274" s="132" t="str">
        <f t="shared" si="49"/>
        <v>CO-DC</v>
      </c>
      <c r="W274" s="48" t="str">
        <f t="shared" si="50"/>
        <v>Distrito Capital de Bogotá</v>
      </c>
      <c r="X274" s="144" t="s">
        <v>106</v>
      </c>
      <c r="Y274" s="145">
        <v>2427400</v>
      </c>
      <c r="Z274" s="146" t="s">
        <v>380</v>
      </c>
    </row>
    <row r="275" spans="1:26" s="10" customFormat="1" ht="12.75" customHeight="1" x14ac:dyDescent="0.2">
      <c r="A275" s="131" t="s">
        <v>99</v>
      </c>
      <c r="B275" s="132">
        <v>48</v>
      </c>
      <c r="C275" s="133" t="s">
        <v>404</v>
      </c>
      <c r="D275" s="133" t="s">
        <v>100</v>
      </c>
      <c r="E275" s="129"/>
      <c r="F275" s="129">
        <v>30000000</v>
      </c>
      <c r="G275" s="129"/>
      <c r="H275" s="134" t="s">
        <v>795</v>
      </c>
      <c r="I275" s="135" t="s">
        <v>381</v>
      </c>
      <c r="J275" s="227">
        <v>2</v>
      </c>
      <c r="K275" s="227">
        <v>3</v>
      </c>
      <c r="L275" s="227">
        <v>9</v>
      </c>
      <c r="M275" s="132">
        <f t="shared" si="52"/>
        <v>1</v>
      </c>
      <c r="N275" s="212" t="s">
        <v>233</v>
      </c>
      <c r="O275" s="213" t="str">
        <f>IF(ISBLANK(N275),"",VLOOKUP(N275,[12]Parámetros!$G$2:$H$23,2,FALSE))</f>
        <v>Licitación pública</v>
      </c>
      <c r="P275" s="141">
        <v>1</v>
      </c>
      <c r="Q275" s="142">
        <f t="shared" si="53"/>
        <v>30000000</v>
      </c>
      <c r="R275" s="142">
        <f t="shared" si="54"/>
        <v>30000000</v>
      </c>
      <c r="S275" s="143" t="s">
        <v>223</v>
      </c>
      <c r="T275" s="139">
        <v>0</v>
      </c>
      <c r="U275" s="48" t="str">
        <f t="shared" si="55"/>
        <v>SUBDIRECCION DE GESTION CONTRACTUAL</v>
      </c>
      <c r="V275" s="132" t="str">
        <f t="shared" si="49"/>
        <v>CO-DC</v>
      </c>
      <c r="W275" s="48" t="str">
        <f t="shared" si="50"/>
        <v>Distrito Capital de Bogotá</v>
      </c>
      <c r="X275" s="144" t="s">
        <v>106</v>
      </c>
      <c r="Y275" s="145">
        <v>2427400</v>
      </c>
      <c r="Z275" s="146" t="s">
        <v>380</v>
      </c>
    </row>
    <row r="276" spans="1:26" s="10" customFormat="1" ht="12.75" customHeight="1" x14ac:dyDescent="0.2">
      <c r="A276" s="131" t="s">
        <v>99</v>
      </c>
      <c r="B276" s="132">
        <v>49</v>
      </c>
      <c r="C276" s="133" t="s">
        <v>404</v>
      </c>
      <c r="D276" s="133" t="s">
        <v>100</v>
      </c>
      <c r="E276" s="129"/>
      <c r="F276" s="129">
        <v>100000000</v>
      </c>
      <c r="G276" s="129"/>
      <c r="H276" s="134" t="s">
        <v>644</v>
      </c>
      <c r="I276" s="135" t="s">
        <v>386</v>
      </c>
      <c r="J276" s="136">
        <v>2</v>
      </c>
      <c r="K276" s="137">
        <v>2</v>
      </c>
      <c r="L276" s="138">
        <v>10</v>
      </c>
      <c r="M276" s="132">
        <f t="shared" si="52"/>
        <v>1</v>
      </c>
      <c r="N276" s="139" t="s">
        <v>36</v>
      </c>
      <c r="O276" s="140" t="str">
        <f>IF(ISBLANK(N276),"",VLOOKUP(N276,[12]Parámetros!$G$2:$H$23,2,FALSE))</f>
        <v xml:space="preserve">Contratación directa (con ofertas) </v>
      </c>
      <c r="P276" s="141">
        <v>1</v>
      </c>
      <c r="Q276" s="142">
        <f t="shared" si="53"/>
        <v>100000000</v>
      </c>
      <c r="R276" s="142">
        <f t="shared" si="54"/>
        <v>100000000</v>
      </c>
      <c r="S276" s="143" t="s">
        <v>223</v>
      </c>
      <c r="T276" s="139">
        <v>0</v>
      </c>
      <c r="U276" s="48" t="str">
        <f t="shared" si="55"/>
        <v>SUBDIRECCION DE GESTION CONTRACTUAL</v>
      </c>
      <c r="V276" s="132" t="str">
        <f t="shared" si="49"/>
        <v>CO-DC</v>
      </c>
      <c r="W276" s="48" t="str">
        <f t="shared" si="50"/>
        <v>Distrito Capital de Bogotá</v>
      </c>
      <c r="X276" s="144" t="s">
        <v>331</v>
      </c>
      <c r="Y276" s="132">
        <v>2427400</v>
      </c>
      <c r="Z276" s="146" t="s">
        <v>94</v>
      </c>
    </row>
    <row r="277" spans="1:26" s="10" customFormat="1" ht="12.75" customHeight="1" x14ac:dyDescent="0.2">
      <c r="A277" s="131" t="s">
        <v>99</v>
      </c>
      <c r="B277" s="132">
        <v>50</v>
      </c>
      <c r="C277" s="133" t="s">
        <v>404</v>
      </c>
      <c r="D277" s="133" t="s">
        <v>100</v>
      </c>
      <c r="E277" s="129"/>
      <c r="F277" s="202">
        <f>151400000-151400000</f>
        <v>0</v>
      </c>
      <c r="G277" s="129"/>
      <c r="H277" s="134" t="s">
        <v>101</v>
      </c>
      <c r="I277" s="135" t="s">
        <v>392</v>
      </c>
      <c r="J277" s="150">
        <v>6</v>
      </c>
      <c r="K277" s="150">
        <v>6</v>
      </c>
      <c r="L277" s="150">
        <v>6</v>
      </c>
      <c r="M277" s="132">
        <f t="shared" si="52"/>
        <v>1</v>
      </c>
      <c r="N277" s="139" t="s">
        <v>36</v>
      </c>
      <c r="O277" s="140" t="str">
        <f>IF(ISBLANK(N277),"",VLOOKUP(N277,[12]Parámetros!$G$2:$H$23,2,FALSE))</f>
        <v xml:space="preserve">Contratación directa (con ofertas) </v>
      </c>
      <c r="P277" s="141">
        <v>1</v>
      </c>
      <c r="Q277" s="142">
        <f t="shared" si="53"/>
        <v>0</v>
      </c>
      <c r="R277" s="142">
        <f t="shared" si="54"/>
        <v>0</v>
      </c>
      <c r="S277" s="143" t="s">
        <v>223</v>
      </c>
      <c r="T277" s="139">
        <v>0</v>
      </c>
      <c r="U277" s="48" t="str">
        <f t="shared" si="55"/>
        <v>SUBDIRECCION DE GESTION CONTRACTUAL</v>
      </c>
      <c r="V277" s="132" t="str">
        <f t="shared" si="49"/>
        <v>CO-DC</v>
      </c>
      <c r="W277" s="48" t="str">
        <f t="shared" si="50"/>
        <v>Distrito Capital de Bogotá</v>
      </c>
      <c r="X277" s="144" t="s">
        <v>106</v>
      </c>
      <c r="Y277" s="145">
        <v>2427400</v>
      </c>
      <c r="Z277" s="146" t="s">
        <v>380</v>
      </c>
    </row>
    <row r="278" spans="1:26" s="10" customFormat="1" ht="12.75" customHeight="1" x14ac:dyDescent="0.2">
      <c r="A278" s="131" t="s">
        <v>99</v>
      </c>
      <c r="B278" s="132">
        <v>51</v>
      </c>
      <c r="C278" s="133" t="s">
        <v>405</v>
      </c>
      <c r="D278" s="133" t="s">
        <v>100</v>
      </c>
      <c r="E278" s="129"/>
      <c r="F278" s="129">
        <v>406000000</v>
      </c>
      <c r="G278" s="129"/>
      <c r="H278" s="134">
        <v>80111600</v>
      </c>
      <c r="I278" s="135" t="s">
        <v>379</v>
      </c>
      <c r="J278" s="150">
        <v>1</v>
      </c>
      <c r="K278" s="150">
        <v>1</v>
      </c>
      <c r="L278" s="150">
        <v>12</v>
      </c>
      <c r="M278" s="132">
        <f t="shared" si="52"/>
        <v>1</v>
      </c>
      <c r="N278" s="139" t="s">
        <v>216</v>
      </c>
      <c r="O278" s="140" t="str">
        <f>IF(ISBLANK(N278),"",VLOOKUP(N278,[12]Parámetros!$G$2:$H$23,2,FALSE))</f>
        <v>Contratación directa.</v>
      </c>
      <c r="P278" s="141">
        <f>IF(ISBLANK(N278),"",1)</f>
        <v>1</v>
      </c>
      <c r="Q278" s="142">
        <f t="shared" si="53"/>
        <v>406000000</v>
      </c>
      <c r="R278" s="142">
        <f t="shared" si="54"/>
        <v>406000000</v>
      </c>
      <c r="S278" s="143" t="s">
        <v>223</v>
      </c>
      <c r="T278" s="139">
        <f>IF(ISBLANK(S278),"",IF(VALUE(S278)=0,0,IF(VALUE(S278)=1,3,"")))</f>
        <v>0</v>
      </c>
      <c r="U278" s="48" t="str">
        <f t="shared" si="55"/>
        <v>SUBDIRECCION DE GESTION CONTRACTUAL</v>
      </c>
      <c r="V278" s="132" t="str">
        <f t="shared" si="49"/>
        <v>CO-DC</v>
      </c>
      <c r="W278" s="48" t="str">
        <f t="shared" si="50"/>
        <v>Distrito Capital de Bogotá</v>
      </c>
      <c r="X278" s="144" t="s">
        <v>106</v>
      </c>
      <c r="Y278" s="145">
        <v>2427400</v>
      </c>
      <c r="Z278" s="146" t="s">
        <v>380</v>
      </c>
    </row>
    <row r="279" spans="1:26" s="10" customFormat="1" ht="12.75" customHeight="1" x14ac:dyDescent="0.2">
      <c r="A279" s="131" t="s">
        <v>99</v>
      </c>
      <c r="B279" s="132">
        <v>52</v>
      </c>
      <c r="C279" s="133" t="s">
        <v>405</v>
      </c>
      <c r="D279" s="133" t="s">
        <v>100</v>
      </c>
      <c r="E279" s="129"/>
      <c r="F279" s="129">
        <v>73920000</v>
      </c>
      <c r="G279" s="129"/>
      <c r="H279" s="134" t="s">
        <v>42</v>
      </c>
      <c r="I279" s="135" t="s">
        <v>385</v>
      </c>
      <c r="J279" s="136">
        <v>3</v>
      </c>
      <c r="K279" s="137">
        <v>4</v>
      </c>
      <c r="L279" s="138">
        <v>9</v>
      </c>
      <c r="M279" s="132">
        <f t="shared" si="52"/>
        <v>1</v>
      </c>
      <c r="N279" s="139" t="s">
        <v>61</v>
      </c>
      <c r="O279" s="140" t="str">
        <f>IF(ISBLANK(N279),"",VLOOKUP(N279,[11]Parámetros!$G$2:$H$23,2,FALSE))</f>
        <v>Contratación régimen especial - Selección de comisionista</v>
      </c>
      <c r="P279" s="141">
        <v>1</v>
      </c>
      <c r="Q279" s="142">
        <f t="shared" si="53"/>
        <v>73920000</v>
      </c>
      <c r="R279" s="142">
        <f t="shared" si="54"/>
        <v>73920000</v>
      </c>
      <c r="S279" s="143" t="s">
        <v>223</v>
      </c>
      <c r="T279" s="139">
        <v>0</v>
      </c>
      <c r="U279" s="48" t="str">
        <f t="shared" si="55"/>
        <v>SUBDIRECCION DE GESTION CONTRACTUAL</v>
      </c>
      <c r="V279" s="132" t="str">
        <f t="shared" si="49"/>
        <v>CO-DC</v>
      </c>
      <c r="W279" s="48" t="str">
        <f t="shared" si="50"/>
        <v>Distrito Capital de Bogotá</v>
      </c>
      <c r="X279" s="144" t="s">
        <v>106</v>
      </c>
      <c r="Y279" s="145">
        <v>2427400</v>
      </c>
      <c r="Z279" s="146" t="s">
        <v>380</v>
      </c>
    </row>
    <row r="280" spans="1:26" s="10" customFormat="1" ht="12.75" customHeight="1" x14ac:dyDescent="0.2">
      <c r="A280" s="131" t="s">
        <v>99</v>
      </c>
      <c r="B280" s="132">
        <v>53</v>
      </c>
      <c r="C280" s="133" t="s">
        <v>405</v>
      </c>
      <c r="D280" s="133" t="s">
        <v>100</v>
      </c>
      <c r="E280" s="129"/>
      <c r="F280" s="129">
        <v>469069720</v>
      </c>
      <c r="G280" s="129"/>
      <c r="H280" s="134" t="s">
        <v>795</v>
      </c>
      <c r="I280" s="135" t="s">
        <v>381</v>
      </c>
      <c r="J280" s="136">
        <v>2</v>
      </c>
      <c r="K280" s="137">
        <v>3</v>
      </c>
      <c r="L280" s="138">
        <v>9</v>
      </c>
      <c r="M280" s="132">
        <f t="shared" si="52"/>
        <v>1</v>
      </c>
      <c r="N280" s="139" t="s">
        <v>233</v>
      </c>
      <c r="O280" s="140" t="str">
        <f>IF(ISBLANK(N280),"",VLOOKUP(N280,[12]Parámetros!$G$2:$H$23,2,FALSE))</f>
        <v>Licitación pública</v>
      </c>
      <c r="P280" s="141">
        <v>1</v>
      </c>
      <c r="Q280" s="142">
        <f t="shared" si="53"/>
        <v>469069720</v>
      </c>
      <c r="R280" s="142">
        <f t="shared" si="54"/>
        <v>469069720</v>
      </c>
      <c r="S280" s="143" t="s">
        <v>223</v>
      </c>
      <c r="T280" s="139">
        <v>0</v>
      </c>
      <c r="U280" s="48" t="str">
        <f t="shared" si="55"/>
        <v>SUBDIRECCION DE GESTION CONTRACTUAL</v>
      </c>
      <c r="V280" s="132" t="str">
        <f t="shared" si="49"/>
        <v>CO-DC</v>
      </c>
      <c r="W280" s="48" t="str">
        <f t="shared" si="50"/>
        <v>Distrito Capital de Bogotá</v>
      </c>
      <c r="X280" s="144" t="s">
        <v>106</v>
      </c>
      <c r="Y280" s="145">
        <v>2427400</v>
      </c>
      <c r="Z280" s="146" t="s">
        <v>380</v>
      </c>
    </row>
    <row r="281" spans="1:26" s="10" customFormat="1" ht="12.75" customHeight="1" x14ac:dyDescent="0.2">
      <c r="A281" s="131" t="s">
        <v>99</v>
      </c>
      <c r="B281" s="132">
        <v>54</v>
      </c>
      <c r="C281" s="133" t="s">
        <v>405</v>
      </c>
      <c r="D281" s="133" t="s">
        <v>100</v>
      </c>
      <c r="E281" s="129"/>
      <c r="F281" s="129">
        <v>40000000</v>
      </c>
      <c r="G281" s="129"/>
      <c r="H281" s="134" t="s">
        <v>795</v>
      </c>
      <c r="I281" s="135" t="s">
        <v>381</v>
      </c>
      <c r="J281" s="227">
        <v>2</v>
      </c>
      <c r="K281" s="227">
        <v>3</v>
      </c>
      <c r="L281" s="227">
        <v>9</v>
      </c>
      <c r="M281" s="132">
        <f t="shared" si="52"/>
        <v>1</v>
      </c>
      <c r="N281" s="212" t="s">
        <v>233</v>
      </c>
      <c r="O281" s="213" t="str">
        <f>IF(ISBLANK(N281),"",VLOOKUP(N281,[12]Parámetros!$G$2:$H$23,2,FALSE))</f>
        <v>Licitación pública</v>
      </c>
      <c r="P281" s="141">
        <v>1</v>
      </c>
      <c r="Q281" s="142">
        <f t="shared" si="53"/>
        <v>40000000</v>
      </c>
      <c r="R281" s="142">
        <f t="shared" si="54"/>
        <v>40000000</v>
      </c>
      <c r="S281" s="143" t="s">
        <v>223</v>
      </c>
      <c r="T281" s="139">
        <v>0</v>
      </c>
      <c r="U281" s="48" t="str">
        <f t="shared" si="55"/>
        <v>SUBDIRECCION DE GESTION CONTRACTUAL</v>
      </c>
      <c r="V281" s="132" t="str">
        <f t="shared" si="49"/>
        <v>CO-DC</v>
      </c>
      <c r="W281" s="48" t="str">
        <f t="shared" si="50"/>
        <v>Distrito Capital de Bogotá</v>
      </c>
      <c r="X281" s="144" t="s">
        <v>106</v>
      </c>
      <c r="Y281" s="145">
        <v>2427400</v>
      </c>
      <c r="Z281" s="146" t="s">
        <v>380</v>
      </c>
    </row>
    <row r="282" spans="1:26" s="10" customFormat="1" ht="12.75" customHeight="1" x14ac:dyDescent="0.2">
      <c r="A282" s="131" t="s">
        <v>99</v>
      </c>
      <c r="B282" s="132">
        <v>55</v>
      </c>
      <c r="C282" s="133" t="s">
        <v>405</v>
      </c>
      <c r="D282" s="133" t="s">
        <v>100</v>
      </c>
      <c r="E282" s="129"/>
      <c r="F282" s="129">
        <v>50000000</v>
      </c>
      <c r="G282" s="129"/>
      <c r="H282" s="134" t="s">
        <v>644</v>
      </c>
      <c r="I282" s="135" t="s">
        <v>386</v>
      </c>
      <c r="J282" s="136">
        <v>2</v>
      </c>
      <c r="K282" s="137">
        <v>2</v>
      </c>
      <c r="L282" s="138">
        <v>10</v>
      </c>
      <c r="M282" s="132">
        <f t="shared" si="52"/>
        <v>1</v>
      </c>
      <c r="N282" s="139" t="s">
        <v>36</v>
      </c>
      <c r="O282" s="140" t="str">
        <f>IF(ISBLANK(N282),"",VLOOKUP(N282,[12]Parámetros!$G$2:$H$23,2,FALSE))</f>
        <v xml:space="preserve">Contratación directa (con ofertas) </v>
      </c>
      <c r="P282" s="141">
        <v>1</v>
      </c>
      <c r="Q282" s="142">
        <f t="shared" si="53"/>
        <v>50000000</v>
      </c>
      <c r="R282" s="142">
        <f t="shared" si="54"/>
        <v>50000000</v>
      </c>
      <c r="S282" s="143" t="s">
        <v>223</v>
      </c>
      <c r="T282" s="139">
        <v>0</v>
      </c>
      <c r="U282" s="48" t="str">
        <f t="shared" si="55"/>
        <v>SUBDIRECCION DE GESTION CONTRACTUAL</v>
      </c>
      <c r="V282" s="132" t="str">
        <f t="shared" si="49"/>
        <v>CO-DC</v>
      </c>
      <c r="W282" s="48" t="str">
        <f t="shared" si="50"/>
        <v>Distrito Capital de Bogotá</v>
      </c>
      <c r="X282" s="144" t="s">
        <v>331</v>
      </c>
      <c r="Y282" s="132">
        <v>2427400</v>
      </c>
      <c r="Z282" s="146" t="s">
        <v>94</v>
      </c>
    </row>
    <row r="283" spans="1:26" s="10" customFormat="1" ht="12.75" customHeight="1" x14ac:dyDescent="0.2">
      <c r="A283" s="131" t="s">
        <v>99</v>
      </c>
      <c r="B283" s="132">
        <v>56</v>
      </c>
      <c r="C283" s="133" t="s">
        <v>405</v>
      </c>
      <c r="D283" s="133" t="s">
        <v>100</v>
      </c>
      <c r="E283" s="129"/>
      <c r="F283" s="129">
        <v>78000000</v>
      </c>
      <c r="G283" s="129"/>
      <c r="H283" s="134" t="s">
        <v>382</v>
      </c>
      <c r="I283" s="135" t="s">
        <v>399</v>
      </c>
      <c r="J283" s="150">
        <v>3</v>
      </c>
      <c r="K283" s="150">
        <v>4</v>
      </c>
      <c r="L283" s="150">
        <v>4</v>
      </c>
      <c r="M283" s="132">
        <f t="shared" si="52"/>
        <v>1</v>
      </c>
      <c r="N283" s="139" t="s">
        <v>36</v>
      </c>
      <c r="O283" s="140" t="str">
        <f>IF(ISBLANK(N283),"",VLOOKUP(N283,[12]Parámetros!$G$2:$H$23,2,FALSE))</f>
        <v xml:space="preserve">Contratación directa (con ofertas) </v>
      </c>
      <c r="P283" s="141">
        <v>1</v>
      </c>
      <c r="Q283" s="142">
        <f t="shared" si="53"/>
        <v>78000000</v>
      </c>
      <c r="R283" s="142">
        <f t="shared" si="54"/>
        <v>78000000</v>
      </c>
      <c r="S283" s="143" t="s">
        <v>223</v>
      </c>
      <c r="T283" s="139">
        <v>0</v>
      </c>
      <c r="U283" s="48" t="str">
        <f t="shared" si="55"/>
        <v>SUBDIRECCION DE GESTION CONTRACTUAL</v>
      </c>
      <c r="V283" s="132" t="str">
        <f t="shared" si="49"/>
        <v>CO-DC</v>
      </c>
      <c r="W283" s="48" t="str">
        <f t="shared" si="50"/>
        <v>Distrito Capital de Bogotá</v>
      </c>
      <c r="X283" s="144" t="s">
        <v>106</v>
      </c>
      <c r="Y283" s="145">
        <v>2427400</v>
      </c>
      <c r="Z283" s="146" t="s">
        <v>380</v>
      </c>
    </row>
    <row r="284" spans="1:26" s="10" customFormat="1" ht="12.75" customHeight="1" x14ac:dyDescent="0.2">
      <c r="A284" s="131" t="s">
        <v>99</v>
      </c>
      <c r="B284" s="132">
        <v>57</v>
      </c>
      <c r="C284" s="133" t="s">
        <v>406</v>
      </c>
      <c r="D284" s="133" t="s">
        <v>100</v>
      </c>
      <c r="E284" s="129"/>
      <c r="F284" s="202">
        <f>1377115426+27500000</f>
        <v>1404615426</v>
      </c>
      <c r="G284" s="129"/>
      <c r="H284" s="134">
        <v>80111600</v>
      </c>
      <c r="I284" s="135" t="s">
        <v>379</v>
      </c>
      <c r="J284" s="150">
        <v>1</v>
      </c>
      <c r="K284" s="150">
        <v>1</v>
      </c>
      <c r="L284" s="150">
        <v>12</v>
      </c>
      <c r="M284" s="132">
        <f t="shared" si="52"/>
        <v>1</v>
      </c>
      <c r="N284" s="139" t="s">
        <v>216</v>
      </c>
      <c r="O284" s="140" t="str">
        <f>IF(ISBLANK(N284),"",VLOOKUP(N284,[12]Parámetros!$G$2:$H$23,2,FALSE))</f>
        <v>Contratación directa.</v>
      </c>
      <c r="P284" s="141">
        <f>IF(ISBLANK(N284),"",1)</f>
        <v>1</v>
      </c>
      <c r="Q284" s="142">
        <f t="shared" si="53"/>
        <v>1404615426</v>
      </c>
      <c r="R284" s="142">
        <f t="shared" si="54"/>
        <v>1404615426</v>
      </c>
      <c r="S284" s="143" t="s">
        <v>223</v>
      </c>
      <c r="T284" s="139">
        <f>IF(ISBLANK(S284),"",IF(VALUE(S284)=0,0,IF(VALUE(S284)=1,3,"")))</f>
        <v>0</v>
      </c>
      <c r="U284" s="48" t="str">
        <f t="shared" si="55"/>
        <v>SUBDIRECCION DE GESTION CONTRACTUAL</v>
      </c>
      <c r="V284" s="132" t="str">
        <f t="shared" si="49"/>
        <v>CO-DC</v>
      </c>
      <c r="W284" s="48" t="str">
        <f t="shared" si="50"/>
        <v>Distrito Capital de Bogotá</v>
      </c>
      <c r="X284" s="144" t="s">
        <v>106</v>
      </c>
      <c r="Y284" s="145">
        <v>2427400</v>
      </c>
      <c r="Z284" s="146" t="s">
        <v>380</v>
      </c>
    </row>
    <row r="285" spans="1:26" s="10" customFormat="1" ht="12.75" customHeight="1" x14ac:dyDescent="0.2">
      <c r="A285" s="131" t="s">
        <v>99</v>
      </c>
      <c r="B285" s="132">
        <v>58</v>
      </c>
      <c r="C285" s="133" t="s">
        <v>406</v>
      </c>
      <c r="D285" s="133" t="s">
        <v>100</v>
      </c>
      <c r="E285" s="129"/>
      <c r="F285" s="129">
        <v>300495391</v>
      </c>
      <c r="G285" s="129"/>
      <c r="H285" s="134" t="s">
        <v>42</v>
      </c>
      <c r="I285" s="135" t="s">
        <v>385</v>
      </c>
      <c r="J285" s="136">
        <v>3</v>
      </c>
      <c r="K285" s="137">
        <v>4</v>
      </c>
      <c r="L285" s="138">
        <v>9</v>
      </c>
      <c r="M285" s="132">
        <f t="shared" si="52"/>
        <v>1</v>
      </c>
      <c r="N285" s="139" t="s">
        <v>61</v>
      </c>
      <c r="O285" s="140" t="str">
        <f>IF(ISBLANK(N285),"",VLOOKUP(N285,[11]Parámetros!$G$2:$H$23,2,FALSE))</f>
        <v>Contratación régimen especial - Selección de comisionista</v>
      </c>
      <c r="P285" s="141">
        <v>1</v>
      </c>
      <c r="Q285" s="142">
        <f t="shared" si="53"/>
        <v>300495391</v>
      </c>
      <c r="R285" s="142">
        <f t="shared" si="54"/>
        <v>300495391</v>
      </c>
      <c r="S285" s="143" t="s">
        <v>223</v>
      </c>
      <c r="T285" s="139">
        <v>0</v>
      </c>
      <c r="U285" s="48" t="str">
        <f t="shared" si="55"/>
        <v>SUBDIRECCION DE GESTION CONTRACTUAL</v>
      </c>
      <c r="V285" s="132" t="str">
        <f t="shared" si="49"/>
        <v>CO-DC</v>
      </c>
      <c r="W285" s="48" t="str">
        <f t="shared" si="50"/>
        <v>Distrito Capital de Bogotá</v>
      </c>
      <c r="X285" s="144" t="s">
        <v>106</v>
      </c>
      <c r="Y285" s="145">
        <v>2427400</v>
      </c>
      <c r="Z285" s="146" t="s">
        <v>380</v>
      </c>
    </row>
    <row r="286" spans="1:26" s="10" customFormat="1" ht="12.75" customHeight="1" x14ac:dyDescent="0.2">
      <c r="A286" s="131" t="s">
        <v>99</v>
      </c>
      <c r="B286" s="132">
        <v>59</v>
      </c>
      <c r="C286" s="133" t="s">
        <v>406</v>
      </c>
      <c r="D286" s="133" t="s">
        <v>100</v>
      </c>
      <c r="E286" s="129"/>
      <c r="F286" s="129">
        <v>3594000000</v>
      </c>
      <c r="G286" s="129"/>
      <c r="H286" s="134" t="s">
        <v>795</v>
      </c>
      <c r="I286" s="135" t="s">
        <v>381</v>
      </c>
      <c r="J286" s="136">
        <v>2</v>
      </c>
      <c r="K286" s="137">
        <v>3</v>
      </c>
      <c r="L286" s="138">
        <v>9</v>
      </c>
      <c r="M286" s="132">
        <f t="shared" si="52"/>
        <v>1</v>
      </c>
      <c r="N286" s="139" t="s">
        <v>233</v>
      </c>
      <c r="O286" s="140" t="str">
        <f>IF(ISBLANK(N286),"",VLOOKUP(N286,[12]Parámetros!$G$2:$H$23,2,FALSE))</f>
        <v>Licitación pública</v>
      </c>
      <c r="P286" s="141">
        <v>1</v>
      </c>
      <c r="Q286" s="142">
        <f t="shared" si="53"/>
        <v>3594000000</v>
      </c>
      <c r="R286" s="142">
        <f t="shared" si="54"/>
        <v>3594000000</v>
      </c>
      <c r="S286" s="143" t="s">
        <v>223</v>
      </c>
      <c r="T286" s="139">
        <v>0</v>
      </c>
      <c r="U286" s="48" t="str">
        <f t="shared" si="55"/>
        <v>SUBDIRECCION DE GESTION CONTRACTUAL</v>
      </c>
      <c r="V286" s="132" t="str">
        <f t="shared" si="49"/>
        <v>CO-DC</v>
      </c>
      <c r="W286" s="48" t="str">
        <f t="shared" si="50"/>
        <v>Distrito Capital de Bogotá</v>
      </c>
      <c r="X286" s="144" t="s">
        <v>106</v>
      </c>
      <c r="Y286" s="145">
        <v>2427400</v>
      </c>
      <c r="Z286" s="146" t="s">
        <v>380</v>
      </c>
    </row>
    <row r="287" spans="1:26" s="10" customFormat="1" ht="12.75" customHeight="1" x14ac:dyDescent="0.2">
      <c r="A287" s="131" t="s">
        <v>99</v>
      </c>
      <c r="B287" s="132">
        <v>60</v>
      </c>
      <c r="C287" s="133" t="s">
        <v>406</v>
      </c>
      <c r="D287" s="133" t="s">
        <v>100</v>
      </c>
      <c r="E287" s="129"/>
      <c r="F287" s="129">
        <v>50000000</v>
      </c>
      <c r="G287" s="129"/>
      <c r="H287" s="134" t="s">
        <v>795</v>
      </c>
      <c r="I287" s="135" t="s">
        <v>381</v>
      </c>
      <c r="J287" s="227">
        <v>2</v>
      </c>
      <c r="K287" s="227">
        <v>3</v>
      </c>
      <c r="L287" s="227">
        <v>9</v>
      </c>
      <c r="M287" s="132">
        <f t="shared" si="52"/>
        <v>1</v>
      </c>
      <c r="N287" s="212" t="s">
        <v>233</v>
      </c>
      <c r="O287" s="213" t="str">
        <f>IF(ISBLANK(N287),"",VLOOKUP(N287,[12]Parámetros!$G$2:$H$23,2,FALSE))</f>
        <v>Licitación pública</v>
      </c>
      <c r="P287" s="141">
        <v>1</v>
      </c>
      <c r="Q287" s="142">
        <f t="shared" si="53"/>
        <v>50000000</v>
      </c>
      <c r="R287" s="142">
        <f t="shared" si="54"/>
        <v>50000000</v>
      </c>
      <c r="S287" s="143" t="s">
        <v>223</v>
      </c>
      <c r="T287" s="139">
        <v>0</v>
      </c>
      <c r="U287" s="48" t="str">
        <f t="shared" si="55"/>
        <v>SUBDIRECCION DE GESTION CONTRACTUAL</v>
      </c>
      <c r="V287" s="132" t="str">
        <f t="shared" si="49"/>
        <v>CO-DC</v>
      </c>
      <c r="W287" s="48" t="str">
        <f t="shared" si="50"/>
        <v>Distrito Capital de Bogotá</v>
      </c>
      <c r="X287" s="144" t="s">
        <v>106</v>
      </c>
      <c r="Y287" s="145">
        <v>2427400</v>
      </c>
      <c r="Z287" s="146" t="s">
        <v>380</v>
      </c>
    </row>
    <row r="288" spans="1:26" s="10" customFormat="1" ht="12.75" customHeight="1" x14ac:dyDescent="0.2">
      <c r="A288" s="131" t="s">
        <v>99</v>
      </c>
      <c r="B288" s="132">
        <v>61</v>
      </c>
      <c r="C288" s="133" t="s">
        <v>406</v>
      </c>
      <c r="D288" s="133" t="s">
        <v>100</v>
      </c>
      <c r="E288" s="129"/>
      <c r="F288" s="129">
        <v>368000000</v>
      </c>
      <c r="G288" s="129"/>
      <c r="H288" s="134" t="s">
        <v>644</v>
      </c>
      <c r="I288" s="135" t="s">
        <v>386</v>
      </c>
      <c r="J288" s="136">
        <v>2</v>
      </c>
      <c r="K288" s="137">
        <v>2</v>
      </c>
      <c r="L288" s="138">
        <v>10</v>
      </c>
      <c r="M288" s="132">
        <f t="shared" si="52"/>
        <v>1</v>
      </c>
      <c r="N288" s="139" t="s">
        <v>36</v>
      </c>
      <c r="O288" s="140" t="str">
        <f>IF(ISBLANK(N288),"",VLOOKUP(N288,[12]Parámetros!$G$2:$H$23,2,FALSE))</f>
        <v xml:space="preserve">Contratación directa (con ofertas) </v>
      </c>
      <c r="P288" s="141">
        <v>1</v>
      </c>
      <c r="Q288" s="142">
        <f t="shared" si="53"/>
        <v>368000000</v>
      </c>
      <c r="R288" s="142">
        <f t="shared" si="54"/>
        <v>368000000</v>
      </c>
      <c r="S288" s="143" t="s">
        <v>223</v>
      </c>
      <c r="T288" s="139">
        <v>0</v>
      </c>
      <c r="U288" s="48" t="str">
        <f t="shared" si="55"/>
        <v>SUBDIRECCION DE GESTION CONTRACTUAL</v>
      </c>
      <c r="V288" s="132" t="str">
        <f t="shared" si="49"/>
        <v>CO-DC</v>
      </c>
      <c r="W288" s="48" t="str">
        <f t="shared" si="50"/>
        <v>Distrito Capital de Bogotá</v>
      </c>
      <c r="X288" s="144" t="s">
        <v>331</v>
      </c>
      <c r="Y288" s="132">
        <v>2427400</v>
      </c>
      <c r="Z288" s="146" t="s">
        <v>94</v>
      </c>
    </row>
    <row r="289" spans="1:26" s="10" customFormat="1" ht="12.75" customHeight="1" x14ac:dyDescent="0.2">
      <c r="A289" s="131" t="s">
        <v>99</v>
      </c>
      <c r="B289" s="132">
        <v>62</v>
      </c>
      <c r="C289" s="133" t="s">
        <v>406</v>
      </c>
      <c r="D289" s="133" t="s">
        <v>100</v>
      </c>
      <c r="E289" s="129"/>
      <c r="F289" s="129">
        <v>98767510</v>
      </c>
      <c r="G289" s="129"/>
      <c r="H289" s="134" t="s">
        <v>103</v>
      </c>
      <c r="I289" s="135" t="s">
        <v>630</v>
      </c>
      <c r="J289" s="136">
        <v>2</v>
      </c>
      <c r="K289" s="137">
        <v>3</v>
      </c>
      <c r="L289" s="138">
        <v>10</v>
      </c>
      <c r="M289" s="132">
        <f t="shared" si="52"/>
        <v>1</v>
      </c>
      <c r="N289" s="139" t="s">
        <v>36</v>
      </c>
      <c r="O289" s="140" t="str">
        <f>IF(ISBLANK(N289),"",VLOOKUP(N289,[1]Parámetros!$G$2:$H$23,2,FALSE))</f>
        <v xml:space="preserve">Contratación directa (con ofertas) </v>
      </c>
      <c r="P289" s="141">
        <v>1</v>
      </c>
      <c r="Q289" s="142">
        <f t="shared" si="53"/>
        <v>98767510</v>
      </c>
      <c r="R289" s="142">
        <f t="shared" si="54"/>
        <v>98767510</v>
      </c>
      <c r="S289" s="143" t="s">
        <v>223</v>
      </c>
      <c r="T289" s="139">
        <v>0</v>
      </c>
      <c r="U289" s="48" t="str">
        <f t="shared" si="55"/>
        <v>SUBDIRECCION DE GESTION CONTRACTUAL</v>
      </c>
      <c r="V289" s="132" t="str">
        <f t="shared" si="49"/>
        <v>CO-DC</v>
      </c>
      <c r="W289" s="48" t="str">
        <f t="shared" si="50"/>
        <v>Distrito Capital de Bogotá</v>
      </c>
      <c r="X289" s="144" t="s">
        <v>106</v>
      </c>
      <c r="Y289" s="145">
        <v>2427400</v>
      </c>
      <c r="Z289" s="146" t="s">
        <v>380</v>
      </c>
    </row>
    <row r="290" spans="1:26" s="10" customFormat="1" ht="12.75" customHeight="1" x14ac:dyDescent="0.2">
      <c r="A290" s="131" t="s">
        <v>99</v>
      </c>
      <c r="B290" s="132">
        <v>63</v>
      </c>
      <c r="C290" s="133" t="s">
        <v>406</v>
      </c>
      <c r="D290" s="133" t="s">
        <v>100</v>
      </c>
      <c r="E290" s="129"/>
      <c r="F290" s="202">
        <f>27500000-27500000</f>
        <v>0</v>
      </c>
      <c r="G290" s="129"/>
      <c r="H290" s="134" t="s">
        <v>51</v>
      </c>
      <c r="I290" s="135" t="s">
        <v>635</v>
      </c>
      <c r="J290" s="136">
        <v>4</v>
      </c>
      <c r="K290" s="137">
        <v>6</v>
      </c>
      <c r="L290" s="138">
        <v>1</v>
      </c>
      <c r="M290" s="132">
        <f t="shared" si="52"/>
        <v>1</v>
      </c>
      <c r="N290" s="139" t="s">
        <v>43</v>
      </c>
      <c r="O290" s="140" t="s">
        <v>44</v>
      </c>
      <c r="P290" s="141">
        <v>1</v>
      </c>
      <c r="Q290" s="142">
        <f t="shared" si="53"/>
        <v>0</v>
      </c>
      <c r="R290" s="142">
        <f t="shared" si="54"/>
        <v>0</v>
      </c>
      <c r="S290" s="143" t="s">
        <v>223</v>
      </c>
      <c r="T290" s="139">
        <v>0</v>
      </c>
      <c r="U290" s="48" t="str">
        <f t="shared" si="55"/>
        <v>SUBDIRECCION DE GESTION CONTRACTUAL</v>
      </c>
      <c r="V290" s="132" t="str">
        <f t="shared" si="49"/>
        <v>CO-DC</v>
      </c>
      <c r="W290" s="48" t="str">
        <f t="shared" si="50"/>
        <v>Distrito Capital de Bogotá</v>
      </c>
      <c r="X290" s="144" t="s">
        <v>73</v>
      </c>
      <c r="Y290" s="132">
        <v>2427400</v>
      </c>
      <c r="Z290" s="146" t="s">
        <v>74</v>
      </c>
    </row>
    <row r="291" spans="1:26" s="10" customFormat="1" ht="12.75" customHeight="1" x14ac:dyDescent="0.2">
      <c r="A291" s="131" t="s">
        <v>99</v>
      </c>
      <c r="B291" s="132">
        <v>64</v>
      </c>
      <c r="C291" s="133" t="s">
        <v>406</v>
      </c>
      <c r="D291" s="133" t="s">
        <v>100</v>
      </c>
      <c r="E291" s="129"/>
      <c r="F291" s="129">
        <v>1000000000</v>
      </c>
      <c r="G291" s="129"/>
      <c r="H291" s="134" t="s">
        <v>101</v>
      </c>
      <c r="I291" s="135" t="s">
        <v>392</v>
      </c>
      <c r="J291" s="150">
        <v>6</v>
      </c>
      <c r="K291" s="150">
        <v>6</v>
      </c>
      <c r="L291" s="150">
        <v>6</v>
      </c>
      <c r="M291" s="132">
        <f t="shared" si="52"/>
        <v>1</v>
      </c>
      <c r="N291" s="139" t="s">
        <v>36</v>
      </c>
      <c r="O291" s="140" t="str">
        <f>IF(ISBLANK(N291),"",VLOOKUP(N291,[12]Parámetros!$G$2:$H$23,2,FALSE))</f>
        <v xml:space="preserve">Contratación directa (con ofertas) </v>
      </c>
      <c r="P291" s="141">
        <v>1</v>
      </c>
      <c r="Q291" s="142">
        <f t="shared" si="53"/>
        <v>1000000000</v>
      </c>
      <c r="R291" s="142">
        <f t="shared" si="54"/>
        <v>1000000000</v>
      </c>
      <c r="S291" s="143" t="s">
        <v>223</v>
      </c>
      <c r="T291" s="139">
        <v>0</v>
      </c>
      <c r="U291" s="48" t="str">
        <f t="shared" si="55"/>
        <v>SUBDIRECCION DE GESTION CONTRACTUAL</v>
      </c>
      <c r="V291" s="132" t="str">
        <f t="shared" si="49"/>
        <v>CO-DC</v>
      </c>
      <c r="W291" s="48" t="str">
        <f t="shared" si="50"/>
        <v>Distrito Capital de Bogotá</v>
      </c>
      <c r="X291" s="144" t="s">
        <v>106</v>
      </c>
      <c r="Y291" s="145">
        <v>2427400</v>
      </c>
      <c r="Z291" s="146" t="s">
        <v>380</v>
      </c>
    </row>
    <row r="292" spans="1:26" s="10" customFormat="1" ht="12.75" customHeight="1" x14ac:dyDescent="0.2">
      <c r="A292" s="131" t="s">
        <v>99</v>
      </c>
      <c r="B292" s="132">
        <v>65</v>
      </c>
      <c r="C292" s="133" t="s">
        <v>406</v>
      </c>
      <c r="D292" s="133" t="s">
        <v>100</v>
      </c>
      <c r="E292" s="129"/>
      <c r="F292" s="129">
        <v>250000000</v>
      </c>
      <c r="G292" s="129"/>
      <c r="H292" s="134" t="s">
        <v>407</v>
      </c>
      <c r="I292" s="135" t="s">
        <v>408</v>
      </c>
      <c r="J292" s="150">
        <v>3</v>
      </c>
      <c r="K292" s="150">
        <v>4</v>
      </c>
      <c r="L292" s="150">
        <v>7</v>
      </c>
      <c r="M292" s="132">
        <f t="shared" si="52"/>
        <v>1</v>
      </c>
      <c r="N292" s="139" t="s">
        <v>36</v>
      </c>
      <c r="O292" s="140" t="str">
        <f>IF(ISBLANK(N292),"",VLOOKUP(N292,[12]Parámetros!$G$2:$H$23,2,FALSE))</f>
        <v xml:space="preserve">Contratación directa (con ofertas) </v>
      </c>
      <c r="P292" s="141">
        <v>1</v>
      </c>
      <c r="Q292" s="142">
        <f t="shared" si="53"/>
        <v>250000000</v>
      </c>
      <c r="R292" s="142">
        <f t="shared" si="54"/>
        <v>250000000</v>
      </c>
      <c r="S292" s="143" t="s">
        <v>223</v>
      </c>
      <c r="T292" s="139">
        <v>0</v>
      </c>
      <c r="U292" s="48" t="str">
        <f t="shared" si="55"/>
        <v>SUBDIRECCION DE GESTION CONTRACTUAL</v>
      </c>
      <c r="V292" s="132" t="str">
        <f t="shared" si="49"/>
        <v>CO-DC</v>
      </c>
      <c r="W292" s="48" t="str">
        <f t="shared" si="50"/>
        <v>Distrito Capital de Bogotá</v>
      </c>
      <c r="X292" s="144" t="s">
        <v>106</v>
      </c>
      <c r="Y292" s="145">
        <v>2427400</v>
      </c>
      <c r="Z292" s="146" t="s">
        <v>380</v>
      </c>
    </row>
    <row r="293" spans="1:26" s="10" customFormat="1" ht="12.75" customHeight="1" x14ac:dyDescent="0.2">
      <c r="A293" s="131" t="s">
        <v>99</v>
      </c>
      <c r="B293" s="132">
        <v>66</v>
      </c>
      <c r="C293" s="133" t="s">
        <v>406</v>
      </c>
      <c r="D293" s="133" t="s">
        <v>100</v>
      </c>
      <c r="E293" s="129"/>
      <c r="F293" s="129">
        <v>150000000</v>
      </c>
      <c r="G293" s="129"/>
      <c r="H293" s="134" t="s">
        <v>407</v>
      </c>
      <c r="I293" s="135" t="s">
        <v>408</v>
      </c>
      <c r="J293" s="150">
        <v>3</v>
      </c>
      <c r="K293" s="150">
        <v>4</v>
      </c>
      <c r="L293" s="150">
        <v>7</v>
      </c>
      <c r="M293" s="132">
        <f t="shared" si="52"/>
        <v>1</v>
      </c>
      <c r="N293" s="139" t="s">
        <v>36</v>
      </c>
      <c r="O293" s="140" t="str">
        <f>IF(ISBLANK(N293),"",VLOOKUP(N293,[12]Parámetros!$G$2:$H$23,2,FALSE))</f>
        <v xml:space="preserve">Contratación directa (con ofertas) </v>
      </c>
      <c r="P293" s="141">
        <v>1</v>
      </c>
      <c r="Q293" s="142">
        <f t="shared" si="53"/>
        <v>150000000</v>
      </c>
      <c r="R293" s="142">
        <f t="shared" si="54"/>
        <v>150000000</v>
      </c>
      <c r="S293" s="143" t="s">
        <v>223</v>
      </c>
      <c r="T293" s="139">
        <v>0</v>
      </c>
      <c r="U293" s="48" t="str">
        <f t="shared" si="55"/>
        <v>SUBDIRECCION DE GESTION CONTRACTUAL</v>
      </c>
      <c r="V293" s="132" t="str">
        <f t="shared" si="49"/>
        <v>CO-DC</v>
      </c>
      <c r="W293" s="48" t="str">
        <f t="shared" si="50"/>
        <v>Distrito Capital de Bogotá</v>
      </c>
      <c r="X293" s="144" t="s">
        <v>106</v>
      </c>
      <c r="Y293" s="145">
        <v>2427400</v>
      </c>
      <c r="Z293" s="146" t="s">
        <v>380</v>
      </c>
    </row>
    <row r="294" spans="1:26" s="10" customFormat="1" ht="12.75" customHeight="1" x14ac:dyDescent="0.2">
      <c r="A294" s="131" t="s">
        <v>99</v>
      </c>
      <c r="B294" s="132">
        <v>67</v>
      </c>
      <c r="C294" s="133" t="s">
        <v>409</v>
      </c>
      <c r="D294" s="133" t="s">
        <v>100</v>
      </c>
      <c r="E294" s="129"/>
      <c r="F294" s="129">
        <v>5524393742</v>
      </c>
      <c r="G294" s="129"/>
      <c r="H294" s="134">
        <v>80111600</v>
      </c>
      <c r="I294" s="135" t="s">
        <v>379</v>
      </c>
      <c r="J294" s="150">
        <v>1</v>
      </c>
      <c r="K294" s="150">
        <v>1</v>
      </c>
      <c r="L294" s="150">
        <v>12</v>
      </c>
      <c r="M294" s="132">
        <f t="shared" si="52"/>
        <v>1</v>
      </c>
      <c r="N294" s="139" t="s">
        <v>216</v>
      </c>
      <c r="O294" s="140" t="str">
        <f>IF(ISBLANK(N294),"",VLOOKUP(N294,[12]Parámetros!$G$2:$H$23,2,FALSE))</f>
        <v>Contratación directa.</v>
      </c>
      <c r="P294" s="141">
        <f>IF(ISBLANK(N294),"",1)</f>
        <v>1</v>
      </c>
      <c r="Q294" s="142">
        <f t="shared" si="53"/>
        <v>5524393742</v>
      </c>
      <c r="R294" s="142">
        <f t="shared" si="54"/>
        <v>5524393742</v>
      </c>
      <c r="S294" s="143" t="s">
        <v>223</v>
      </c>
      <c r="T294" s="139">
        <f>IF(ISBLANK(S294),"",IF(VALUE(S294)=0,0,IF(VALUE(S294)=1,3,"")))</f>
        <v>0</v>
      </c>
      <c r="U294" s="48" t="str">
        <f t="shared" si="55"/>
        <v>SUBDIRECCION DE GESTION CONTRACTUAL</v>
      </c>
      <c r="V294" s="132" t="str">
        <f t="shared" ref="V294:V361" si="56">IF(ISBLANK(N294),"","CO-DC")</f>
        <v>CO-DC</v>
      </c>
      <c r="W294" s="48" t="str">
        <f t="shared" ref="W294:W361" si="57">IF(ISBLANK(N294),"","Distrito Capital de Bogotá")</f>
        <v>Distrito Capital de Bogotá</v>
      </c>
      <c r="X294" s="144" t="s">
        <v>106</v>
      </c>
      <c r="Y294" s="145">
        <v>2427400</v>
      </c>
      <c r="Z294" s="146" t="s">
        <v>380</v>
      </c>
    </row>
    <row r="295" spans="1:26" s="10" customFormat="1" ht="12.75" customHeight="1" x14ac:dyDescent="0.2">
      <c r="A295" s="131" t="s">
        <v>99</v>
      </c>
      <c r="B295" s="132">
        <v>68</v>
      </c>
      <c r="C295" s="133" t="s">
        <v>409</v>
      </c>
      <c r="D295" s="133" t="s">
        <v>100</v>
      </c>
      <c r="E295" s="129"/>
      <c r="F295" s="129">
        <v>200000000</v>
      </c>
      <c r="G295" s="129"/>
      <c r="H295" s="134" t="s">
        <v>42</v>
      </c>
      <c r="I295" s="135" t="s">
        <v>385</v>
      </c>
      <c r="J295" s="136">
        <v>3</v>
      </c>
      <c r="K295" s="137">
        <v>4</v>
      </c>
      <c r="L295" s="138">
        <v>9</v>
      </c>
      <c r="M295" s="132">
        <f t="shared" si="52"/>
        <v>1</v>
      </c>
      <c r="N295" s="139" t="s">
        <v>61</v>
      </c>
      <c r="O295" s="140" t="str">
        <f>IF(ISBLANK(N295),"",VLOOKUP(N295,[11]Parámetros!$G$2:$H$23,2,FALSE))</f>
        <v>Contratación régimen especial - Selección de comisionista</v>
      </c>
      <c r="P295" s="141">
        <v>1</v>
      </c>
      <c r="Q295" s="142">
        <f t="shared" si="53"/>
        <v>200000000</v>
      </c>
      <c r="R295" s="142">
        <f t="shared" si="54"/>
        <v>200000000</v>
      </c>
      <c r="S295" s="143" t="s">
        <v>223</v>
      </c>
      <c r="T295" s="139">
        <v>0</v>
      </c>
      <c r="U295" s="48" t="str">
        <f t="shared" si="55"/>
        <v>SUBDIRECCION DE GESTION CONTRACTUAL</v>
      </c>
      <c r="V295" s="132" t="str">
        <f t="shared" si="56"/>
        <v>CO-DC</v>
      </c>
      <c r="W295" s="48" t="str">
        <f t="shared" si="57"/>
        <v>Distrito Capital de Bogotá</v>
      </c>
      <c r="X295" s="144" t="s">
        <v>106</v>
      </c>
      <c r="Y295" s="145">
        <v>2427400</v>
      </c>
      <c r="Z295" s="146" t="s">
        <v>380</v>
      </c>
    </row>
    <row r="296" spans="1:26" s="10" customFormat="1" ht="12.75" customHeight="1" x14ac:dyDescent="0.2">
      <c r="A296" s="131" t="s">
        <v>99</v>
      </c>
      <c r="B296" s="132">
        <v>69</v>
      </c>
      <c r="C296" s="133" t="s">
        <v>409</v>
      </c>
      <c r="D296" s="133" t="s">
        <v>100</v>
      </c>
      <c r="E296" s="129"/>
      <c r="F296" s="129">
        <v>1200000000</v>
      </c>
      <c r="G296" s="129"/>
      <c r="H296" s="134" t="s">
        <v>795</v>
      </c>
      <c r="I296" s="135" t="s">
        <v>381</v>
      </c>
      <c r="J296" s="136">
        <v>2</v>
      </c>
      <c r="K296" s="137">
        <v>3</v>
      </c>
      <c r="L296" s="138">
        <v>9</v>
      </c>
      <c r="M296" s="132">
        <f t="shared" si="52"/>
        <v>1</v>
      </c>
      <c r="N296" s="139" t="s">
        <v>233</v>
      </c>
      <c r="O296" s="140" t="str">
        <f>IF(ISBLANK(N296),"",VLOOKUP(N296,[12]Parámetros!$G$2:$H$23,2,FALSE))</f>
        <v>Licitación pública</v>
      </c>
      <c r="P296" s="141">
        <v>1</v>
      </c>
      <c r="Q296" s="142">
        <f t="shared" si="53"/>
        <v>1200000000</v>
      </c>
      <c r="R296" s="142">
        <f t="shared" si="54"/>
        <v>1200000000</v>
      </c>
      <c r="S296" s="143" t="s">
        <v>223</v>
      </c>
      <c r="T296" s="139">
        <v>0</v>
      </c>
      <c r="U296" s="48" t="str">
        <f t="shared" si="55"/>
        <v>SUBDIRECCION DE GESTION CONTRACTUAL</v>
      </c>
      <c r="V296" s="132" t="str">
        <f t="shared" si="56"/>
        <v>CO-DC</v>
      </c>
      <c r="W296" s="48" t="str">
        <f t="shared" si="57"/>
        <v>Distrito Capital de Bogotá</v>
      </c>
      <c r="X296" s="144" t="s">
        <v>106</v>
      </c>
      <c r="Y296" s="145">
        <v>2427400</v>
      </c>
      <c r="Z296" s="146" t="s">
        <v>380</v>
      </c>
    </row>
    <row r="297" spans="1:26" s="10" customFormat="1" ht="12.75" customHeight="1" x14ac:dyDescent="0.2">
      <c r="A297" s="131" t="s">
        <v>99</v>
      </c>
      <c r="B297" s="132">
        <v>70</v>
      </c>
      <c r="C297" s="133" t="s">
        <v>409</v>
      </c>
      <c r="D297" s="133" t="s">
        <v>100</v>
      </c>
      <c r="E297" s="129"/>
      <c r="F297" s="129">
        <v>300000000</v>
      </c>
      <c r="G297" s="129"/>
      <c r="H297" s="134" t="s">
        <v>795</v>
      </c>
      <c r="I297" s="135" t="s">
        <v>381</v>
      </c>
      <c r="J297" s="227">
        <v>2</v>
      </c>
      <c r="K297" s="227">
        <v>3</v>
      </c>
      <c r="L297" s="227">
        <v>9</v>
      </c>
      <c r="M297" s="132">
        <f t="shared" si="52"/>
        <v>1</v>
      </c>
      <c r="N297" s="212" t="s">
        <v>233</v>
      </c>
      <c r="O297" s="213" t="str">
        <f>IF(ISBLANK(N297),"",VLOOKUP(N297,[12]Parámetros!$G$2:$H$23,2,FALSE))</f>
        <v>Licitación pública</v>
      </c>
      <c r="P297" s="141">
        <v>1</v>
      </c>
      <c r="Q297" s="142">
        <f t="shared" si="53"/>
        <v>300000000</v>
      </c>
      <c r="R297" s="142">
        <f t="shared" si="54"/>
        <v>300000000</v>
      </c>
      <c r="S297" s="143" t="s">
        <v>223</v>
      </c>
      <c r="T297" s="139">
        <v>0</v>
      </c>
      <c r="U297" s="48" t="str">
        <f t="shared" si="55"/>
        <v>SUBDIRECCION DE GESTION CONTRACTUAL</v>
      </c>
      <c r="V297" s="132" t="str">
        <f t="shared" si="56"/>
        <v>CO-DC</v>
      </c>
      <c r="W297" s="48" t="str">
        <f t="shared" si="57"/>
        <v>Distrito Capital de Bogotá</v>
      </c>
      <c r="X297" s="144" t="s">
        <v>106</v>
      </c>
      <c r="Y297" s="145">
        <v>2427400</v>
      </c>
      <c r="Z297" s="146" t="s">
        <v>380</v>
      </c>
    </row>
    <row r="298" spans="1:26" s="10" customFormat="1" ht="12.75" customHeight="1" x14ac:dyDescent="0.2">
      <c r="A298" s="131" t="s">
        <v>99</v>
      </c>
      <c r="B298" s="132">
        <v>71</v>
      </c>
      <c r="C298" s="133" t="s">
        <v>409</v>
      </c>
      <c r="D298" s="133" t="s">
        <v>100</v>
      </c>
      <c r="E298" s="129"/>
      <c r="F298" s="129">
        <v>734787929</v>
      </c>
      <c r="G298" s="129"/>
      <c r="H298" s="134" t="s">
        <v>103</v>
      </c>
      <c r="I298" s="135" t="s">
        <v>630</v>
      </c>
      <c r="J298" s="136">
        <v>2</v>
      </c>
      <c r="K298" s="137">
        <v>3</v>
      </c>
      <c r="L298" s="138">
        <v>10</v>
      </c>
      <c r="M298" s="132">
        <f t="shared" si="52"/>
        <v>1</v>
      </c>
      <c r="N298" s="139" t="s">
        <v>36</v>
      </c>
      <c r="O298" s="140" t="str">
        <f>IF(ISBLANK(N298),"",VLOOKUP(N298,[1]Parámetros!$G$2:$H$23,2,FALSE))</f>
        <v xml:space="preserve">Contratación directa (con ofertas) </v>
      </c>
      <c r="P298" s="141">
        <v>1</v>
      </c>
      <c r="Q298" s="142">
        <f t="shared" si="53"/>
        <v>734787929</v>
      </c>
      <c r="R298" s="142">
        <f t="shared" si="54"/>
        <v>734787929</v>
      </c>
      <c r="S298" s="143" t="s">
        <v>223</v>
      </c>
      <c r="T298" s="139">
        <v>0</v>
      </c>
      <c r="U298" s="48" t="str">
        <f t="shared" si="55"/>
        <v>SUBDIRECCION DE GESTION CONTRACTUAL</v>
      </c>
      <c r="V298" s="132" t="str">
        <f t="shared" si="56"/>
        <v>CO-DC</v>
      </c>
      <c r="W298" s="48" t="str">
        <f t="shared" si="57"/>
        <v>Distrito Capital de Bogotá</v>
      </c>
      <c r="X298" s="144" t="s">
        <v>106</v>
      </c>
      <c r="Y298" s="145">
        <v>2427400</v>
      </c>
      <c r="Z298" s="146" t="s">
        <v>380</v>
      </c>
    </row>
    <row r="299" spans="1:26" s="10" customFormat="1" ht="12.75" customHeight="1" x14ac:dyDescent="0.25">
      <c r="A299" s="131" t="s">
        <v>99</v>
      </c>
      <c r="B299" s="132">
        <v>72</v>
      </c>
      <c r="C299" s="133" t="s">
        <v>409</v>
      </c>
      <c r="D299" s="133" t="s">
        <v>100</v>
      </c>
      <c r="E299" s="129"/>
      <c r="F299" s="202">
        <f>100000000+200000000</f>
        <v>300000000</v>
      </c>
      <c r="G299" s="129"/>
      <c r="H299" s="134" t="s">
        <v>80</v>
      </c>
      <c r="I299" s="204" t="s">
        <v>872</v>
      </c>
      <c r="J299" s="211">
        <v>2</v>
      </c>
      <c r="K299" s="211">
        <v>3</v>
      </c>
      <c r="L299" s="211">
        <v>4</v>
      </c>
      <c r="M299" s="132">
        <f t="shared" si="52"/>
        <v>1</v>
      </c>
      <c r="N299" s="139" t="s">
        <v>43</v>
      </c>
      <c r="O299" s="140" t="s">
        <v>44</v>
      </c>
      <c r="P299" s="141">
        <v>1</v>
      </c>
      <c r="Q299" s="142">
        <f t="shared" si="53"/>
        <v>300000000</v>
      </c>
      <c r="R299" s="142">
        <f t="shared" si="54"/>
        <v>300000000</v>
      </c>
      <c r="S299" s="143" t="s">
        <v>223</v>
      </c>
      <c r="T299" s="139">
        <v>0</v>
      </c>
      <c r="U299" s="48" t="str">
        <f t="shared" si="55"/>
        <v>SUBDIRECCION DE GESTION CONTRACTUAL</v>
      </c>
      <c r="V299" s="132" t="str">
        <f t="shared" si="56"/>
        <v>CO-DC</v>
      </c>
      <c r="W299" s="48" t="str">
        <f t="shared" si="57"/>
        <v>Distrito Capital de Bogotá</v>
      </c>
      <c r="X299" s="144" t="s">
        <v>331</v>
      </c>
      <c r="Y299" s="145">
        <v>2427400</v>
      </c>
      <c r="Z299" s="232" t="s">
        <v>94</v>
      </c>
    </row>
    <row r="300" spans="1:26" s="10" customFormat="1" ht="12.75" customHeight="1" x14ac:dyDescent="0.2">
      <c r="A300" s="131" t="s">
        <v>99</v>
      </c>
      <c r="B300" s="132">
        <v>73</v>
      </c>
      <c r="C300" s="133" t="s">
        <v>409</v>
      </c>
      <c r="D300" s="133" t="s">
        <v>100</v>
      </c>
      <c r="E300" s="129"/>
      <c r="F300" s="129">
        <v>110000000</v>
      </c>
      <c r="G300" s="129"/>
      <c r="H300" s="134" t="s">
        <v>393</v>
      </c>
      <c r="I300" s="135" t="s">
        <v>410</v>
      </c>
      <c r="J300" s="150">
        <v>3</v>
      </c>
      <c r="K300" s="150">
        <v>3</v>
      </c>
      <c r="L300" s="150">
        <v>5</v>
      </c>
      <c r="M300" s="132">
        <f t="shared" si="52"/>
        <v>1</v>
      </c>
      <c r="N300" s="139" t="s">
        <v>43</v>
      </c>
      <c r="O300" s="140" t="s">
        <v>44</v>
      </c>
      <c r="P300" s="141">
        <v>1</v>
      </c>
      <c r="Q300" s="142">
        <f t="shared" si="53"/>
        <v>110000000</v>
      </c>
      <c r="R300" s="142">
        <f t="shared" si="54"/>
        <v>110000000</v>
      </c>
      <c r="S300" s="143" t="s">
        <v>223</v>
      </c>
      <c r="T300" s="139">
        <v>0</v>
      </c>
      <c r="U300" s="48" t="str">
        <f t="shared" si="55"/>
        <v>SUBDIRECCION DE GESTION CONTRACTUAL</v>
      </c>
      <c r="V300" s="132" t="str">
        <f t="shared" si="56"/>
        <v>CO-DC</v>
      </c>
      <c r="W300" s="48" t="str">
        <f t="shared" si="57"/>
        <v>Distrito Capital de Bogotá</v>
      </c>
      <c r="X300" s="144" t="s">
        <v>106</v>
      </c>
      <c r="Y300" s="145">
        <v>2427400</v>
      </c>
      <c r="Z300" s="146" t="s">
        <v>380</v>
      </c>
    </row>
    <row r="301" spans="1:26" s="10" customFormat="1" ht="12.75" customHeight="1" x14ac:dyDescent="0.2">
      <c r="A301" s="131" t="s">
        <v>99</v>
      </c>
      <c r="B301" s="132">
        <v>74</v>
      </c>
      <c r="C301" s="133" t="s">
        <v>409</v>
      </c>
      <c r="D301" s="133" t="s">
        <v>100</v>
      </c>
      <c r="E301" s="129"/>
      <c r="F301" s="202">
        <f>41740000000-20000000000</f>
        <v>21740000000</v>
      </c>
      <c r="G301" s="129"/>
      <c r="H301" s="134" t="s">
        <v>101</v>
      </c>
      <c r="I301" s="135" t="s">
        <v>392</v>
      </c>
      <c r="J301" s="150">
        <v>6</v>
      </c>
      <c r="K301" s="150">
        <v>6</v>
      </c>
      <c r="L301" s="150">
        <v>6</v>
      </c>
      <c r="M301" s="132">
        <f t="shared" si="52"/>
        <v>1</v>
      </c>
      <c r="N301" s="139" t="s">
        <v>36</v>
      </c>
      <c r="O301" s="140" t="str">
        <f>IF(ISBLANK(N301),"",VLOOKUP(N301,[12]Parámetros!$G$2:$H$23,2,FALSE))</f>
        <v xml:space="preserve">Contratación directa (con ofertas) </v>
      </c>
      <c r="P301" s="141">
        <v>1</v>
      </c>
      <c r="Q301" s="142">
        <f t="shared" si="53"/>
        <v>21740000000</v>
      </c>
      <c r="R301" s="142">
        <f t="shared" si="54"/>
        <v>21740000000</v>
      </c>
      <c r="S301" s="143" t="s">
        <v>223</v>
      </c>
      <c r="T301" s="139">
        <v>0</v>
      </c>
      <c r="U301" s="48" t="str">
        <f t="shared" si="55"/>
        <v>SUBDIRECCION DE GESTION CONTRACTUAL</v>
      </c>
      <c r="V301" s="132" t="str">
        <f t="shared" si="56"/>
        <v>CO-DC</v>
      </c>
      <c r="W301" s="48" t="str">
        <f t="shared" si="57"/>
        <v>Distrito Capital de Bogotá</v>
      </c>
      <c r="X301" s="144" t="s">
        <v>106</v>
      </c>
      <c r="Y301" s="145">
        <v>2427400</v>
      </c>
      <c r="Z301" s="146" t="s">
        <v>380</v>
      </c>
    </row>
    <row r="302" spans="1:26" s="10" customFormat="1" ht="12.75" customHeight="1" x14ac:dyDescent="0.2">
      <c r="A302" s="131" t="s">
        <v>99</v>
      </c>
      <c r="B302" s="132">
        <v>75</v>
      </c>
      <c r="C302" s="133" t="s">
        <v>409</v>
      </c>
      <c r="D302" s="133" t="s">
        <v>100</v>
      </c>
      <c r="E302" s="129"/>
      <c r="F302" s="202">
        <f>1400000000-200000000</f>
        <v>1200000000</v>
      </c>
      <c r="G302" s="129"/>
      <c r="H302" s="134" t="s">
        <v>382</v>
      </c>
      <c r="I302" s="135" t="s">
        <v>411</v>
      </c>
      <c r="J302" s="150">
        <v>2</v>
      </c>
      <c r="K302" s="150">
        <v>3</v>
      </c>
      <c r="L302" s="150">
        <v>4</v>
      </c>
      <c r="M302" s="132">
        <f t="shared" si="52"/>
        <v>1</v>
      </c>
      <c r="N302" s="139" t="s">
        <v>43</v>
      </c>
      <c r="O302" s="140" t="s">
        <v>44</v>
      </c>
      <c r="P302" s="141">
        <v>1</v>
      </c>
      <c r="Q302" s="142">
        <f t="shared" si="53"/>
        <v>1200000000</v>
      </c>
      <c r="R302" s="142">
        <f t="shared" si="54"/>
        <v>1200000000</v>
      </c>
      <c r="S302" s="143" t="s">
        <v>223</v>
      </c>
      <c r="T302" s="139">
        <v>0</v>
      </c>
      <c r="U302" s="48" t="str">
        <f t="shared" si="55"/>
        <v>SUBDIRECCION DE GESTION CONTRACTUAL</v>
      </c>
      <c r="V302" s="132" t="str">
        <f t="shared" si="56"/>
        <v>CO-DC</v>
      </c>
      <c r="W302" s="48" t="str">
        <f t="shared" si="57"/>
        <v>Distrito Capital de Bogotá</v>
      </c>
      <c r="X302" s="144" t="s">
        <v>106</v>
      </c>
      <c r="Y302" s="145">
        <v>2427400</v>
      </c>
      <c r="Z302" s="146" t="s">
        <v>380</v>
      </c>
    </row>
    <row r="303" spans="1:26" s="10" customFormat="1" ht="12.75" customHeight="1" x14ac:dyDescent="0.2">
      <c r="A303" s="131" t="s">
        <v>99</v>
      </c>
      <c r="B303" s="132">
        <v>76</v>
      </c>
      <c r="C303" s="133" t="s">
        <v>409</v>
      </c>
      <c r="D303" s="133" t="s">
        <v>100</v>
      </c>
      <c r="E303" s="129"/>
      <c r="F303" s="129">
        <v>1800000000</v>
      </c>
      <c r="G303" s="129"/>
      <c r="H303" s="134" t="s">
        <v>393</v>
      </c>
      <c r="I303" s="135" t="s">
        <v>412</v>
      </c>
      <c r="J303" s="150">
        <v>2</v>
      </c>
      <c r="K303" s="150">
        <v>3</v>
      </c>
      <c r="L303" s="150">
        <v>9</v>
      </c>
      <c r="M303" s="132">
        <f t="shared" si="52"/>
        <v>1</v>
      </c>
      <c r="N303" s="139" t="s">
        <v>36</v>
      </c>
      <c r="O303" s="140" t="str">
        <f>IF(ISBLANK(N303),"",VLOOKUP(N303,[12]Parámetros!$G$2:$H$23,2,FALSE))</f>
        <v xml:space="preserve">Contratación directa (con ofertas) </v>
      </c>
      <c r="P303" s="141">
        <v>1</v>
      </c>
      <c r="Q303" s="142">
        <f t="shared" si="53"/>
        <v>1800000000</v>
      </c>
      <c r="R303" s="142">
        <f t="shared" si="54"/>
        <v>1800000000</v>
      </c>
      <c r="S303" s="143" t="s">
        <v>223</v>
      </c>
      <c r="T303" s="139">
        <v>0</v>
      </c>
      <c r="U303" s="48" t="str">
        <f t="shared" si="55"/>
        <v>SUBDIRECCION DE GESTION CONTRACTUAL</v>
      </c>
      <c r="V303" s="132" t="str">
        <f t="shared" si="56"/>
        <v>CO-DC</v>
      </c>
      <c r="W303" s="48" t="str">
        <f t="shared" si="57"/>
        <v>Distrito Capital de Bogotá</v>
      </c>
      <c r="X303" s="144" t="s">
        <v>106</v>
      </c>
      <c r="Y303" s="145">
        <v>2427400</v>
      </c>
      <c r="Z303" s="146" t="s">
        <v>380</v>
      </c>
    </row>
    <row r="304" spans="1:26" s="10" customFormat="1" ht="12.75" customHeight="1" x14ac:dyDescent="0.2">
      <c r="A304" s="131" t="s">
        <v>99</v>
      </c>
      <c r="B304" s="132">
        <v>77</v>
      </c>
      <c r="C304" s="133" t="s">
        <v>409</v>
      </c>
      <c r="D304" s="133" t="s">
        <v>100</v>
      </c>
      <c r="E304" s="129"/>
      <c r="F304" s="129">
        <v>750000000</v>
      </c>
      <c r="G304" s="129"/>
      <c r="H304" s="134" t="s">
        <v>105</v>
      </c>
      <c r="I304" s="135" t="s">
        <v>413</v>
      </c>
      <c r="J304" s="150">
        <v>3</v>
      </c>
      <c r="K304" s="150">
        <v>3</v>
      </c>
      <c r="L304" s="150">
        <v>9</v>
      </c>
      <c r="M304" s="132">
        <f t="shared" si="52"/>
        <v>1</v>
      </c>
      <c r="N304" s="139" t="s">
        <v>36</v>
      </c>
      <c r="O304" s="140" t="str">
        <f>IF(ISBLANK(N304),"",VLOOKUP(N304,[12]Parámetros!$G$2:$H$23,2,FALSE))</f>
        <v xml:space="preserve">Contratación directa (con ofertas) </v>
      </c>
      <c r="P304" s="141">
        <v>1</v>
      </c>
      <c r="Q304" s="142">
        <f t="shared" si="53"/>
        <v>750000000</v>
      </c>
      <c r="R304" s="142">
        <f t="shared" si="54"/>
        <v>750000000</v>
      </c>
      <c r="S304" s="143" t="s">
        <v>223</v>
      </c>
      <c r="T304" s="139">
        <v>0</v>
      </c>
      <c r="U304" s="48" t="str">
        <f t="shared" si="55"/>
        <v>SUBDIRECCION DE GESTION CONTRACTUAL</v>
      </c>
      <c r="V304" s="132" t="str">
        <f t="shared" si="56"/>
        <v>CO-DC</v>
      </c>
      <c r="W304" s="48" t="str">
        <f t="shared" si="57"/>
        <v>Distrito Capital de Bogotá</v>
      </c>
      <c r="X304" s="144" t="s">
        <v>106</v>
      </c>
      <c r="Y304" s="145">
        <v>2427400</v>
      </c>
      <c r="Z304" s="146" t="s">
        <v>380</v>
      </c>
    </row>
    <row r="305" spans="1:26" s="10" customFormat="1" ht="12.75" customHeight="1" x14ac:dyDescent="0.2">
      <c r="A305" s="131" t="s">
        <v>99</v>
      </c>
      <c r="B305" s="132">
        <v>78</v>
      </c>
      <c r="C305" s="133" t="s">
        <v>409</v>
      </c>
      <c r="D305" s="133" t="s">
        <v>100</v>
      </c>
      <c r="E305" s="129"/>
      <c r="F305" s="129">
        <v>150000000</v>
      </c>
      <c r="G305" s="129"/>
      <c r="H305" s="134" t="s">
        <v>644</v>
      </c>
      <c r="I305" s="135" t="s">
        <v>386</v>
      </c>
      <c r="J305" s="136">
        <v>2</v>
      </c>
      <c r="K305" s="137">
        <v>2</v>
      </c>
      <c r="L305" s="138">
        <v>10</v>
      </c>
      <c r="M305" s="132">
        <f t="shared" si="52"/>
        <v>1</v>
      </c>
      <c r="N305" s="139" t="s">
        <v>36</v>
      </c>
      <c r="O305" s="140" t="str">
        <f>IF(ISBLANK(N305),"",VLOOKUP(N305,[12]Parámetros!$G$2:$H$23,2,FALSE))</f>
        <v xml:space="preserve">Contratación directa (con ofertas) </v>
      </c>
      <c r="P305" s="141">
        <v>1</v>
      </c>
      <c r="Q305" s="142">
        <f t="shared" si="53"/>
        <v>150000000</v>
      </c>
      <c r="R305" s="142">
        <f t="shared" si="54"/>
        <v>150000000</v>
      </c>
      <c r="S305" s="143" t="s">
        <v>223</v>
      </c>
      <c r="T305" s="139">
        <v>0</v>
      </c>
      <c r="U305" s="48" t="str">
        <f t="shared" si="55"/>
        <v>SUBDIRECCION DE GESTION CONTRACTUAL</v>
      </c>
      <c r="V305" s="132" t="str">
        <f t="shared" si="56"/>
        <v>CO-DC</v>
      </c>
      <c r="W305" s="48" t="str">
        <f t="shared" si="57"/>
        <v>Distrito Capital de Bogotá</v>
      </c>
      <c r="X305" s="144" t="s">
        <v>331</v>
      </c>
      <c r="Y305" s="132">
        <v>2427400</v>
      </c>
      <c r="Z305" s="146" t="s">
        <v>94</v>
      </c>
    </row>
    <row r="306" spans="1:26" s="10" customFormat="1" ht="12.75" customHeight="1" x14ac:dyDescent="0.2">
      <c r="A306" s="131" t="s">
        <v>99</v>
      </c>
      <c r="B306" s="132">
        <v>79</v>
      </c>
      <c r="C306" s="133" t="s">
        <v>414</v>
      </c>
      <c r="D306" s="133" t="s">
        <v>104</v>
      </c>
      <c r="E306" s="129"/>
      <c r="F306" s="129">
        <v>4000000000</v>
      </c>
      <c r="G306" s="129"/>
      <c r="H306" s="134" t="s">
        <v>393</v>
      </c>
      <c r="I306" s="135" t="s">
        <v>412</v>
      </c>
      <c r="J306" s="150">
        <v>2</v>
      </c>
      <c r="K306" s="150">
        <v>3</v>
      </c>
      <c r="L306" s="150">
        <v>9</v>
      </c>
      <c r="M306" s="132">
        <f t="shared" si="52"/>
        <v>1</v>
      </c>
      <c r="N306" s="139" t="s">
        <v>36</v>
      </c>
      <c r="O306" s="140" t="str">
        <f>IF(ISBLANK(N306),"",VLOOKUP(N306,[12]Parámetros!$G$2:$H$23,2,FALSE))</f>
        <v xml:space="preserve">Contratación directa (con ofertas) </v>
      </c>
      <c r="P306" s="141">
        <v>1</v>
      </c>
      <c r="Q306" s="142">
        <f t="shared" si="53"/>
        <v>4000000000</v>
      </c>
      <c r="R306" s="142">
        <f t="shared" si="54"/>
        <v>4000000000</v>
      </c>
      <c r="S306" s="143" t="s">
        <v>223</v>
      </c>
      <c r="T306" s="139">
        <v>0</v>
      </c>
      <c r="U306" s="48" t="str">
        <f t="shared" si="55"/>
        <v>SUBDIRECCION DE GESTION CONTRACTUAL</v>
      </c>
      <c r="V306" s="132" t="str">
        <f t="shared" si="56"/>
        <v>CO-DC</v>
      </c>
      <c r="W306" s="48" t="str">
        <f t="shared" si="57"/>
        <v>Distrito Capital de Bogotá</v>
      </c>
      <c r="X306" s="144" t="s">
        <v>106</v>
      </c>
      <c r="Y306" s="145">
        <v>2427400</v>
      </c>
      <c r="Z306" s="146" t="s">
        <v>380</v>
      </c>
    </row>
    <row r="307" spans="1:26" s="10" customFormat="1" ht="12.75" customHeight="1" x14ac:dyDescent="0.2">
      <c r="A307" s="131" t="s">
        <v>99</v>
      </c>
      <c r="B307" s="132">
        <v>80</v>
      </c>
      <c r="C307" s="133" t="s">
        <v>414</v>
      </c>
      <c r="D307" s="133" t="s">
        <v>104</v>
      </c>
      <c r="E307" s="129"/>
      <c r="F307" s="129">
        <v>3000000000</v>
      </c>
      <c r="G307" s="129"/>
      <c r="H307" s="134" t="s">
        <v>415</v>
      </c>
      <c r="I307" s="135" t="s">
        <v>416</v>
      </c>
      <c r="J307" s="150">
        <v>6</v>
      </c>
      <c r="K307" s="150">
        <v>7</v>
      </c>
      <c r="L307" s="150">
        <v>5</v>
      </c>
      <c r="M307" s="132">
        <f t="shared" si="52"/>
        <v>1</v>
      </c>
      <c r="N307" s="139" t="s">
        <v>36</v>
      </c>
      <c r="O307" s="140" t="str">
        <f>IF(ISBLANK(N307),"",VLOOKUP(N307,[12]Parámetros!$G$2:$H$23,2,FALSE))</f>
        <v xml:space="preserve">Contratación directa (con ofertas) </v>
      </c>
      <c r="P307" s="141">
        <v>1</v>
      </c>
      <c r="Q307" s="142">
        <f t="shared" si="53"/>
        <v>3000000000</v>
      </c>
      <c r="R307" s="142">
        <f t="shared" si="54"/>
        <v>3000000000</v>
      </c>
      <c r="S307" s="143" t="s">
        <v>223</v>
      </c>
      <c r="T307" s="139">
        <v>0</v>
      </c>
      <c r="U307" s="48" t="str">
        <f t="shared" si="55"/>
        <v>SUBDIRECCION DE GESTION CONTRACTUAL</v>
      </c>
      <c r="V307" s="132" t="str">
        <f t="shared" si="56"/>
        <v>CO-DC</v>
      </c>
      <c r="W307" s="48" t="str">
        <f t="shared" si="57"/>
        <v>Distrito Capital de Bogotá</v>
      </c>
      <c r="X307" s="144" t="s">
        <v>106</v>
      </c>
      <c r="Y307" s="145">
        <v>2427400</v>
      </c>
      <c r="Z307" s="146" t="s">
        <v>380</v>
      </c>
    </row>
    <row r="308" spans="1:26" s="10" customFormat="1" ht="12.75" customHeight="1" x14ac:dyDescent="0.2">
      <c r="A308" s="131" t="s">
        <v>99</v>
      </c>
      <c r="B308" s="132">
        <v>81</v>
      </c>
      <c r="C308" s="133" t="s">
        <v>414</v>
      </c>
      <c r="D308" s="133" t="s">
        <v>104</v>
      </c>
      <c r="E308" s="129"/>
      <c r="F308" s="129">
        <v>900000000</v>
      </c>
      <c r="G308" s="129"/>
      <c r="H308" s="134" t="s">
        <v>407</v>
      </c>
      <c r="I308" s="135" t="s">
        <v>417</v>
      </c>
      <c r="J308" s="150">
        <v>3</v>
      </c>
      <c r="K308" s="150">
        <v>4</v>
      </c>
      <c r="L308" s="150">
        <v>8</v>
      </c>
      <c r="M308" s="132">
        <f t="shared" si="52"/>
        <v>1</v>
      </c>
      <c r="N308" s="139" t="s">
        <v>36</v>
      </c>
      <c r="O308" s="140" t="str">
        <f>IF(ISBLANK(N308),"",VLOOKUP(N308,[12]Parámetros!$G$2:$H$23,2,FALSE))</f>
        <v xml:space="preserve">Contratación directa (con ofertas) </v>
      </c>
      <c r="P308" s="141">
        <v>1</v>
      </c>
      <c r="Q308" s="142">
        <f t="shared" si="53"/>
        <v>900000000</v>
      </c>
      <c r="R308" s="142">
        <f t="shared" si="54"/>
        <v>900000000</v>
      </c>
      <c r="S308" s="143" t="s">
        <v>223</v>
      </c>
      <c r="T308" s="139">
        <v>0</v>
      </c>
      <c r="U308" s="48" t="str">
        <f t="shared" si="55"/>
        <v>SUBDIRECCION DE GESTION CONTRACTUAL</v>
      </c>
      <c r="V308" s="132" t="str">
        <f t="shared" si="56"/>
        <v>CO-DC</v>
      </c>
      <c r="W308" s="48" t="str">
        <f t="shared" si="57"/>
        <v>Distrito Capital de Bogotá</v>
      </c>
      <c r="X308" s="144" t="s">
        <v>106</v>
      </c>
      <c r="Y308" s="145">
        <v>2427400</v>
      </c>
      <c r="Z308" s="146" t="s">
        <v>380</v>
      </c>
    </row>
    <row r="309" spans="1:26" s="10" customFormat="1" ht="12.75" customHeight="1" x14ac:dyDescent="0.2">
      <c r="A309" s="131" t="s">
        <v>99</v>
      </c>
      <c r="B309" s="132">
        <v>82</v>
      </c>
      <c r="C309" s="133" t="s">
        <v>414</v>
      </c>
      <c r="D309" s="133" t="s">
        <v>104</v>
      </c>
      <c r="E309" s="129"/>
      <c r="F309" s="129">
        <v>3180800000</v>
      </c>
      <c r="G309" s="129"/>
      <c r="H309" s="134" t="s">
        <v>418</v>
      </c>
      <c r="I309" s="188" t="s">
        <v>419</v>
      </c>
      <c r="J309" s="150">
        <v>3</v>
      </c>
      <c r="K309" s="150">
        <v>4</v>
      </c>
      <c r="L309" s="150">
        <v>8</v>
      </c>
      <c r="M309" s="132">
        <f t="shared" si="52"/>
        <v>1</v>
      </c>
      <c r="N309" s="139" t="s">
        <v>36</v>
      </c>
      <c r="O309" s="140" t="str">
        <f>IF(ISBLANK(N309),"",VLOOKUP(N309,[12]Parámetros!$G$2:$H$23,2,FALSE))</f>
        <v xml:space="preserve">Contratación directa (con ofertas) </v>
      </c>
      <c r="P309" s="141">
        <v>1</v>
      </c>
      <c r="Q309" s="142">
        <f t="shared" si="53"/>
        <v>3180800000</v>
      </c>
      <c r="R309" s="142">
        <f t="shared" si="54"/>
        <v>3180800000</v>
      </c>
      <c r="S309" s="143" t="s">
        <v>223</v>
      </c>
      <c r="T309" s="139">
        <v>0</v>
      </c>
      <c r="U309" s="48" t="str">
        <f t="shared" si="55"/>
        <v>SUBDIRECCION DE GESTION CONTRACTUAL</v>
      </c>
      <c r="V309" s="132" t="str">
        <f t="shared" si="56"/>
        <v>CO-DC</v>
      </c>
      <c r="W309" s="48" t="str">
        <f t="shared" si="57"/>
        <v>Distrito Capital de Bogotá</v>
      </c>
      <c r="X309" s="144" t="s">
        <v>106</v>
      </c>
      <c r="Y309" s="145">
        <v>2427400</v>
      </c>
      <c r="Z309" s="146" t="s">
        <v>380</v>
      </c>
    </row>
    <row r="310" spans="1:26" s="10" customFormat="1" ht="12.75" customHeight="1" x14ac:dyDescent="0.2">
      <c r="A310" s="131" t="s">
        <v>99</v>
      </c>
      <c r="B310" s="132">
        <v>83</v>
      </c>
      <c r="C310" s="133" t="s">
        <v>414</v>
      </c>
      <c r="D310" s="133" t="s">
        <v>104</v>
      </c>
      <c r="E310" s="129"/>
      <c r="F310" s="129">
        <v>3000000000</v>
      </c>
      <c r="G310" s="129"/>
      <c r="H310" s="134" t="s">
        <v>795</v>
      </c>
      <c r="I310" s="135" t="s">
        <v>381</v>
      </c>
      <c r="J310" s="227">
        <v>2</v>
      </c>
      <c r="K310" s="227">
        <v>3</v>
      </c>
      <c r="L310" s="227">
        <v>9</v>
      </c>
      <c r="M310" s="132">
        <f t="shared" si="52"/>
        <v>1</v>
      </c>
      <c r="N310" s="212" t="s">
        <v>233</v>
      </c>
      <c r="O310" s="213" t="str">
        <f>IF(ISBLANK(N310),"",VLOOKUP(N310,[12]Parámetros!$G$2:$H$23,2,FALSE))</f>
        <v>Licitación pública</v>
      </c>
      <c r="P310" s="141">
        <v>1</v>
      </c>
      <c r="Q310" s="142">
        <f t="shared" si="53"/>
        <v>3000000000</v>
      </c>
      <c r="R310" s="142">
        <f t="shared" si="54"/>
        <v>3000000000</v>
      </c>
      <c r="S310" s="143" t="s">
        <v>223</v>
      </c>
      <c r="T310" s="139">
        <v>0</v>
      </c>
      <c r="U310" s="48" t="str">
        <f t="shared" si="55"/>
        <v>SUBDIRECCION DE GESTION CONTRACTUAL</v>
      </c>
      <c r="V310" s="132" t="str">
        <f t="shared" si="56"/>
        <v>CO-DC</v>
      </c>
      <c r="W310" s="48" t="str">
        <f t="shared" si="57"/>
        <v>Distrito Capital de Bogotá</v>
      </c>
      <c r="X310" s="144" t="s">
        <v>106</v>
      </c>
      <c r="Y310" s="145">
        <v>2427400</v>
      </c>
      <c r="Z310" s="146" t="s">
        <v>380</v>
      </c>
    </row>
    <row r="311" spans="1:26" s="10" customFormat="1" ht="12.75" customHeight="1" x14ac:dyDescent="0.2">
      <c r="A311" s="131" t="s">
        <v>99</v>
      </c>
      <c r="B311" s="132">
        <v>84</v>
      </c>
      <c r="C311" s="133" t="s">
        <v>414</v>
      </c>
      <c r="D311" s="133" t="s">
        <v>104</v>
      </c>
      <c r="E311" s="129"/>
      <c r="F311" s="129">
        <v>9000000000</v>
      </c>
      <c r="G311" s="129"/>
      <c r="H311" s="134" t="s">
        <v>393</v>
      </c>
      <c r="I311" s="135" t="s">
        <v>420</v>
      </c>
      <c r="J311" s="150">
        <v>3</v>
      </c>
      <c r="K311" s="150">
        <v>4</v>
      </c>
      <c r="L311" s="150">
        <v>8</v>
      </c>
      <c r="M311" s="132">
        <f t="shared" si="52"/>
        <v>1</v>
      </c>
      <c r="N311" s="139" t="s">
        <v>36</v>
      </c>
      <c r="O311" s="140" t="str">
        <f>IF(ISBLANK(N311),"",VLOOKUP(N311,[12]Parámetros!$G$2:$H$23,2,FALSE))</f>
        <v xml:space="preserve">Contratación directa (con ofertas) </v>
      </c>
      <c r="P311" s="141">
        <v>1</v>
      </c>
      <c r="Q311" s="142">
        <f t="shared" si="53"/>
        <v>9000000000</v>
      </c>
      <c r="R311" s="142">
        <f t="shared" si="54"/>
        <v>9000000000</v>
      </c>
      <c r="S311" s="143" t="s">
        <v>223</v>
      </c>
      <c r="T311" s="139">
        <v>0</v>
      </c>
      <c r="U311" s="48" t="str">
        <f t="shared" si="55"/>
        <v>SUBDIRECCION DE GESTION CONTRACTUAL</v>
      </c>
      <c r="V311" s="132" t="str">
        <f t="shared" si="56"/>
        <v>CO-DC</v>
      </c>
      <c r="W311" s="48" t="str">
        <f t="shared" si="57"/>
        <v>Distrito Capital de Bogotá</v>
      </c>
      <c r="X311" s="144" t="s">
        <v>106</v>
      </c>
      <c r="Y311" s="145">
        <v>2427400</v>
      </c>
      <c r="Z311" s="146" t="s">
        <v>380</v>
      </c>
    </row>
    <row r="312" spans="1:26" s="10" customFormat="1" ht="12.75" customHeight="1" x14ac:dyDescent="0.2">
      <c r="A312" s="131" t="s">
        <v>99</v>
      </c>
      <c r="B312" s="132">
        <v>85</v>
      </c>
      <c r="C312" s="133" t="s">
        <v>414</v>
      </c>
      <c r="D312" s="133" t="s">
        <v>104</v>
      </c>
      <c r="E312" s="129"/>
      <c r="F312" s="129">
        <v>22070000000</v>
      </c>
      <c r="G312" s="129"/>
      <c r="H312" s="134" t="s">
        <v>101</v>
      </c>
      <c r="I312" s="135" t="s">
        <v>392</v>
      </c>
      <c r="J312" s="150">
        <v>6</v>
      </c>
      <c r="K312" s="150">
        <v>6</v>
      </c>
      <c r="L312" s="150">
        <v>6</v>
      </c>
      <c r="M312" s="132">
        <f t="shared" si="52"/>
        <v>1</v>
      </c>
      <c r="N312" s="139" t="s">
        <v>36</v>
      </c>
      <c r="O312" s="140" t="str">
        <f>IF(ISBLANK(N312),"",VLOOKUP(N312,[12]Parámetros!$G$2:$H$23,2,FALSE))</f>
        <v xml:space="preserve">Contratación directa (con ofertas) </v>
      </c>
      <c r="P312" s="141">
        <v>1</v>
      </c>
      <c r="Q312" s="142">
        <f t="shared" si="53"/>
        <v>22070000000</v>
      </c>
      <c r="R312" s="142">
        <f t="shared" si="54"/>
        <v>22070000000</v>
      </c>
      <c r="S312" s="143" t="s">
        <v>223</v>
      </c>
      <c r="T312" s="139">
        <v>0</v>
      </c>
      <c r="U312" s="48" t="str">
        <f t="shared" si="55"/>
        <v>SUBDIRECCION DE GESTION CONTRACTUAL</v>
      </c>
      <c r="V312" s="132" t="str">
        <f t="shared" si="56"/>
        <v>CO-DC</v>
      </c>
      <c r="W312" s="48" t="str">
        <f t="shared" si="57"/>
        <v>Distrito Capital de Bogotá</v>
      </c>
      <c r="X312" s="144" t="s">
        <v>106</v>
      </c>
      <c r="Y312" s="145">
        <v>2427400</v>
      </c>
      <c r="Z312" s="146" t="s">
        <v>380</v>
      </c>
    </row>
    <row r="313" spans="1:26" s="10" customFormat="1" ht="12.75" customHeight="1" x14ac:dyDescent="0.2">
      <c r="A313" s="131" t="s">
        <v>99</v>
      </c>
      <c r="B313" s="132">
        <v>86</v>
      </c>
      <c r="C313" s="133" t="s">
        <v>414</v>
      </c>
      <c r="D313" s="133" t="s">
        <v>104</v>
      </c>
      <c r="E313" s="129"/>
      <c r="F313" s="129">
        <v>4000000000</v>
      </c>
      <c r="G313" s="129"/>
      <c r="H313" s="134" t="s">
        <v>421</v>
      </c>
      <c r="I313" s="135" t="s">
        <v>422</v>
      </c>
      <c r="J313" s="150">
        <v>3</v>
      </c>
      <c r="K313" s="150">
        <v>4</v>
      </c>
      <c r="L313" s="150">
        <v>8</v>
      </c>
      <c r="M313" s="132">
        <f t="shared" si="52"/>
        <v>1</v>
      </c>
      <c r="N313" s="139" t="s">
        <v>36</v>
      </c>
      <c r="O313" s="140" t="str">
        <f>IF(ISBLANK(N313),"",VLOOKUP(N313,[12]Parámetros!$G$2:$H$23,2,FALSE))</f>
        <v xml:space="preserve">Contratación directa (con ofertas) </v>
      </c>
      <c r="P313" s="141">
        <v>1</v>
      </c>
      <c r="Q313" s="142">
        <f t="shared" si="53"/>
        <v>4000000000</v>
      </c>
      <c r="R313" s="142">
        <f t="shared" si="54"/>
        <v>4000000000</v>
      </c>
      <c r="S313" s="143" t="s">
        <v>223</v>
      </c>
      <c r="T313" s="139">
        <v>0</v>
      </c>
      <c r="U313" s="48" t="str">
        <f t="shared" si="55"/>
        <v>SUBDIRECCION DE GESTION CONTRACTUAL</v>
      </c>
      <c r="V313" s="132" t="str">
        <f t="shared" si="56"/>
        <v>CO-DC</v>
      </c>
      <c r="W313" s="48" t="str">
        <f t="shared" si="57"/>
        <v>Distrito Capital de Bogotá</v>
      </c>
      <c r="X313" s="144" t="s">
        <v>106</v>
      </c>
      <c r="Y313" s="145">
        <v>2427400</v>
      </c>
      <c r="Z313" s="146" t="s">
        <v>380</v>
      </c>
    </row>
    <row r="314" spans="1:26" s="10" customFormat="1" ht="12.75" customHeight="1" x14ac:dyDescent="0.2">
      <c r="A314" s="131" t="s">
        <v>99</v>
      </c>
      <c r="B314" s="132">
        <v>87</v>
      </c>
      <c r="C314" s="133" t="s">
        <v>414</v>
      </c>
      <c r="D314" s="133" t="s">
        <v>104</v>
      </c>
      <c r="E314" s="129"/>
      <c r="F314" s="129">
        <v>849200000</v>
      </c>
      <c r="G314" s="129"/>
      <c r="H314" s="134" t="s">
        <v>415</v>
      </c>
      <c r="I314" s="135" t="s">
        <v>416</v>
      </c>
      <c r="J314" s="150">
        <v>6</v>
      </c>
      <c r="K314" s="150">
        <v>7</v>
      </c>
      <c r="L314" s="150">
        <v>5</v>
      </c>
      <c r="M314" s="132">
        <f t="shared" si="52"/>
        <v>1</v>
      </c>
      <c r="N314" s="139" t="s">
        <v>36</v>
      </c>
      <c r="O314" s="140" t="str">
        <f>IF(ISBLANK(N314),"",VLOOKUP(N314,[12]Parámetros!$G$2:$H$23,2,FALSE))</f>
        <v xml:space="preserve">Contratación directa (con ofertas) </v>
      </c>
      <c r="P314" s="141">
        <v>1</v>
      </c>
      <c r="Q314" s="142">
        <f t="shared" si="53"/>
        <v>849200000</v>
      </c>
      <c r="R314" s="142">
        <f t="shared" si="54"/>
        <v>849200000</v>
      </c>
      <c r="S314" s="143" t="s">
        <v>223</v>
      </c>
      <c r="T314" s="139">
        <v>0</v>
      </c>
      <c r="U314" s="48" t="str">
        <f t="shared" si="55"/>
        <v>SUBDIRECCION DE GESTION CONTRACTUAL</v>
      </c>
      <c r="V314" s="132" t="str">
        <f t="shared" si="56"/>
        <v>CO-DC</v>
      </c>
      <c r="W314" s="48" t="str">
        <f t="shared" si="57"/>
        <v>Distrito Capital de Bogotá</v>
      </c>
      <c r="X314" s="144" t="s">
        <v>106</v>
      </c>
      <c r="Y314" s="145">
        <v>2427400</v>
      </c>
      <c r="Z314" s="146" t="s">
        <v>380</v>
      </c>
    </row>
    <row r="315" spans="1:26" s="10" customFormat="1" ht="12.75" customHeight="1" x14ac:dyDescent="0.2">
      <c r="A315" s="131" t="s">
        <v>99</v>
      </c>
      <c r="B315" s="132">
        <v>88</v>
      </c>
      <c r="C315" s="133" t="s">
        <v>423</v>
      </c>
      <c r="D315" s="270" t="s">
        <v>877</v>
      </c>
      <c r="E315" s="129"/>
      <c r="F315" s="129">
        <v>950000000</v>
      </c>
      <c r="G315" s="129"/>
      <c r="H315" s="134" t="s">
        <v>101</v>
      </c>
      <c r="I315" s="135" t="s">
        <v>392</v>
      </c>
      <c r="J315" s="150">
        <v>6</v>
      </c>
      <c r="K315" s="150">
        <v>6</v>
      </c>
      <c r="L315" s="150">
        <v>6</v>
      </c>
      <c r="M315" s="132">
        <f t="shared" si="52"/>
        <v>1</v>
      </c>
      <c r="N315" s="139" t="s">
        <v>36</v>
      </c>
      <c r="O315" s="140" t="str">
        <f>IF(ISBLANK(N315),"",VLOOKUP(N315,[12]Parámetros!$G$2:$H$23,2,FALSE))</f>
        <v xml:space="preserve">Contratación directa (con ofertas) </v>
      </c>
      <c r="P315" s="141">
        <v>1</v>
      </c>
      <c r="Q315" s="142">
        <f t="shared" si="53"/>
        <v>950000000</v>
      </c>
      <c r="R315" s="142">
        <f t="shared" si="54"/>
        <v>950000000</v>
      </c>
      <c r="S315" s="143" t="s">
        <v>223</v>
      </c>
      <c r="T315" s="139">
        <v>0</v>
      </c>
      <c r="U315" s="48" t="str">
        <f t="shared" si="55"/>
        <v>SUBDIRECCION DE GESTION CONTRACTUAL</v>
      </c>
      <c r="V315" s="132" t="str">
        <f t="shared" si="56"/>
        <v>CO-DC</v>
      </c>
      <c r="W315" s="48" t="str">
        <f t="shared" si="57"/>
        <v>Distrito Capital de Bogotá</v>
      </c>
      <c r="X315" s="144" t="s">
        <v>106</v>
      </c>
      <c r="Y315" s="145">
        <v>2427400</v>
      </c>
      <c r="Z315" s="146" t="s">
        <v>380</v>
      </c>
    </row>
    <row r="316" spans="1:26" s="10" customFormat="1" ht="13.5" customHeight="1" x14ac:dyDescent="0.2">
      <c r="A316" s="250" t="s">
        <v>99</v>
      </c>
      <c r="B316" s="233">
        <v>89</v>
      </c>
      <c r="C316" s="234" t="s">
        <v>423</v>
      </c>
      <c r="D316" s="270" t="s">
        <v>877</v>
      </c>
      <c r="E316" s="235"/>
      <c r="F316" s="235">
        <v>440000000</v>
      </c>
      <c r="G316" s="235"/>
      <c r="H316" s="236" t="s">
        <v>407</v>
      </c>
      <c r="I316" s="237" t="s">
        <v>408</v>
      </c>
      <c r="J316" s="238">
        <v>3</v>
      </c>
      <c r="K316" s="238">
        <v>4</v>
      </c>
      <c r="L316" s="238">
        <v>7</v>
      </c>
      <c r="M316" s="233">
        <f t="shared" si="52"/>
        <v>1</v>
      </c>
      <c r="N316" s="245" t="s">
        <v>36</v>
      </c>
      <c r="O316" s="251" t="str">
        <f>IF(ISBLANK(N316),"",VLOOKUP(N316,[12]Parámetros!$G$2:$H$23,2,FALSE))</f>
        <v xml:space="preserve">Contratación directa (con ofertas) </v>
      </c>
      <c r="P316" s="242">
        <v>1</v>
      </c>
      <c r="Q316" s="252">
        <f t="shared" si="53"/>
        <v>440000000</v>
      </c>
      <c r="R316" s="252">
        <f t="shared" si="54"/>
        <v>440000000</v>
      </c>
      <c r="S316" s="244" t="s">
        <v>223</v>
      </c>
      <c r="T316" s="245">
        <v>0</v>
      </c>
      <c r="U316" s="247" t="str">
        <f t="shared" si="55"/>
        <v>SUBDIRECCION DE GESTION CONTRACTUAL</v>
      </c>
      <c r="V316" s="233" t="str">
        <f t="shared" si="56"/>
        <v>CO-DC</v>
      </c>
      <c r="W316" s="247" t="str">
        <f t="shared" si="57"/>
        <v>Distrito Capital de Bogotá</v>
      </c>
      <c r="X316" s="248" t="s">
        <v>106</v>
      </c>
      <c r="Y316" s="253">
        <v>2427400</v>
      </c>
      <c r="Z316" s="254" t="s">
        <v>380</v>
      </c>
    </row>
    <row r="317" spans="1:26" s="246" customFormat="1" ht="13.5" customHeight="1" x14ac:dyDescent="0.2">
      <c r="A317" s="239" t="s">
        <v>99</v>
      </c>
      <c r="B317" s="239">
        <v>90</v>
      </c>
      <c r="C317" s="263" t="s">
        <v>423</v>
      </c>
      <c r="D317" s="270" t="s">
        <v>877</v>
      </c>
      <c r="E317" s="264"/>
      <c r="F317" s="264">
        <v>610000000</v>
      </c>
      <c r="G317" s="264"/>
      <c r="H317" s="265" t="s">
        <v>407</v>
      </c>
      <c r="I317" s="128" t="s">
        <v>424</v>
      </c>
      <c r="J317" s="266">
        <v>3</v>
      </c>
      <c r="K317" s="266">
        <v>4</v>
      </c>
      <c r="L317" s="266">
        <v>7</v>
      </c>
      <c r="M317" s="239">
        <f t="shared" si="52"/>
        <v>1</v>
      </c>
      <c r="N317" s="240" t="s">
        <v>36</v>
      </c>
      <c r="O317" s="241" t="str">
        <f>IF(ISBLANK(N317),"",VLOOKUP(N317,[12]Parámetros!$G$2:$H$23,2,FALSE))</f>
        <v xml:space="preserve">Contratación directa (con ofertas) </v>
      </c>
      <c r="P317" s="267">
        <v>1</v>
      </c>
      <c r="Q317" s="243">
        <f t="shared" si="53"/>
        <v>610000000</v>
      </c>
      <c r="R317" s="243">
        <f t="shared" si="54"/>
        <v>610000000</v>
      </c>
      <c r="S317" s="268" t="s">
        <v>223</v>
      </c>
      <c r="T317" s="240">
        <v>0</v>
      </c>
      <c r="U317" s="246" t="str">
        <f t="shared" si="55"/>
        <v>SUBDIRECCION DE GESTION CONTRACTUAL</v>
      </c>
      <c r="V317" s="239" t="str">
        <f t="shared" si="56"/>
        <v>CO-DC</v>
      </c>
      <c r="W317" s="246" t="str">
        <f t="shared" si="57"/>
        <v>Distrito Capital de Bogotá</v>
      </c>
      <c r="X317" s="269" t="s">
        <v>106</v>
      </c>
      <c r="Y317" s="249">
        <v>2427400</v>
      </c>
      <c r="Z317" s="269" t="s">
        <v>380</v>
      </c>
    </row>
    <row r="318" spans="1:26" s="282" customFormat="1" ht="12.75" customHeight="1" x14ac:dyDescent="0.2">
      <c r="A318" s="271" t="s">
        <v>99</v>
      </c>
      <c r="B318" s="271">
        <v>91</v>
      </c>
      <c r="C318" s="272" t="s">
        <v>873</v>
      </c>
      <c r="D318" s="272" t="s">
        <v>100</v>
      </c>
      <c r="E318" s="273"/>
      <c r="F318" s="273">
        <v>15000000</v>
      </c>
      <c r="G318" s="273"/>
      <c r="H318" s="274" t="s">
        <v>51</v>
      </c>
      <c r="I318" s="275" t="s">
        <v>874</v>
      </c>
      <c r="J318" s="276">
        <v>4</v>
      </c>
      <c r="K318" s="276">
        <v>6</v>
      </c>
      <c r="L318" s="276">
        <v>1</v>
      </c>
      <c r="M318" s="271">
        <v>1</v>
      </c>
      <c r="N318" s="277" t="s">
        <v>43</v>
      </c>
      <c r="O318" s="278" t="str">
        <f>IF(ISBLANK(N318),"",VLOOKUP(N318,[13]Parámetros!$G$2:$H$23,2,FALSE))</f>
        <v>Selección abreviada subasta inversa</v>
      </c>
      <c r="P318" s="279">
        <v>1</v>
      </c>
      <c r="Q318" s="280">
        <v>15000000</v>
      </c>
      <c r="R318" s="280">
        <v>15000000</v>
      </c>
      <c r="S318" s="281" t="s">
        <v>223</v>
      </c>
      <c r="T318" s="277">
        <v>0</v>
      </c>
      <c r="U318" s="282" t="str">
        <f t="shared" si="55"/>
        <v>SUBDIRECCION DE GESTION CONTRACTUAL</v>
      </c>
      <c r="V318" s="271" t="str">
        <f t="shared" si="56"/>
        <v>CO-DC</v>
      </c>
      <c r="W318" s="282" t="str">
        <f t="shared" si="57"/>
        <v>Distrito Capital de Bogotá</v>
      </c>
      <c r="X318" s="283" t="s">
        <v>73</v>
      </c>
      <c r="Y318" s="284">
        <v>2427400</v>
      </c>
      <c r="Z318" s="283" t="s">
        <v>74</v>
      </c>
    </row>
    <row r="319" spans="1:26" s="282" customFormat="1" ht="12.75" customHeight="1" x14ac:dyDescent="0.2">
      <c r="A319" s="271" t="s">
        <v>99</v>
      </c>
      <c r="B319" s="271">
        <v>92</v>
      </c>
      <c r="C319" s="272" t="s">
        <v>875</v>
      </c>
      <c r="D319" s="272" t="s">
        <v>100</v>
      </c>
      <c r="E319" s="273"/>
      <c r="F319" s="273">
        <v>20000000000</v>
      </c>
      <c r="G319" s="273"/>
      <c r="H319" s="274" t="s">
        <v>407</v>
      </c>
      <c r="I319" s="290" t="s">
        <v>876</v>
      </c>
      <c r="J319" s="276">
        <v>2</v>
      </c>
      <c r="K319" s="276">
        <v>2</v>
      </c>
      <c r="L319" s="276">
        <v>10</v>
      </c>
      <c r="M319" s="271">
        <v>1</v>
      </c>
      <c r="N319" s="277" t="s">
        <v>36</v>
      </c>
      <c r="O319" s="278" t="str">
        <f>IF(ISBLANK(N319),"",VLOOKUP(N319,[13]Parámetros!$G$2:$H$23,2,FALSE))</f>
        <v xml:space="preserve">Contratación directa (con ofertas) </v>
      </c>
      <c r="P319" s="279">
        <v>1</v>
      </c>
      <c r="Q319" s="280">
        <v>20000000000</v>
      </c>
      <c r="R319" s="280">
        <v>20000000000</v>
      </c>
      <c r="S319" s="281" t="s">
        <v>223</v>
      </c>
      <c r="T319" s="277">
        <v>0</v>
      </c>
      <c r="U319" s="282" t="str">
        <f t="shared" si="55"/>
        <v>SUBDIRECCION DE GESTION CONTRACTUAL</v>
      </c>
      <c r="V319" s="271" t="str">
        <f t="shared" si="56"/>
        <v>CO-DC</v>
      </c>
      <c r="W319" s="282" t="str">
        <f t="shared" si="57"/>
        <v>Distrito Capital de Bogotá</v>
      </c>
      <c r="X319" s="283" t="s">
        <v>106</v>
      </c>
      <c r="Y319" s="285">
        <v>2427400</v>
      </c>
      <c r="Z319" s="283" t="s">
        <v>380</v>
      </c>
    </row>
    <row r="320" spans="1:26" s="10" customFormat="1" ht="12.75" customHeight="1" x14ac:dyDescent="0.2">
      <c r="A320" s="179" t="s">
        <v>169</v>
      </c>
      <c r="B320" s="179">
        <v>1</v>
      </c>
      <c r="C320" s="255" t="s">
        <v>425</v>
      </c>
      <c r="D320" s="189" t="s">
        <v>841</v>
      </c>
      <c r="E320" s="256"/>
      <c r="F320" s="256">
        <f>8521050000-215000000</f>
        <v>8306050000</v>
      </c>
      <c r="G320" s="256"/>
      <c r="H320" s="176">
        <v>80111600</v>
      </c>
      <c r="I320" s="257" t="s">
        <v>426</v>
      </c>
      <c r="J320" s="178">
        <v>1</v>
      </c>
      <c r="K320" s="178">
        <v>1</v>
      </c>
      <c r="L320" s="178">
        <v>12</v>
      </c>
      <c r="M320" s="179">
        <f t="shared" si="52"/>
        <v>1</v>
      </c>
      <c r="N320" s="180" t="s">
        <v>216</v>
      </c>
      <c r="O320" s="258" t="str">
        <f>IF(ISBLANK(N320),"",VLOOKUP(N320,[14]Parámetros!$G$2:$H$23,2,FALSE))</f>
        <v>Contratación directa.</v>
      </c>
      <c r="P320" s="259">
        <f t="shared" ref="P320:P353" si="58">IF(ISBLANK(N320),"",1)</f>
        <v>1</v>
      </c>
      <c r="Q320" s="260">
        <f t="shared" si="53"/>
        <v>8306050000</v>
      </c>
      <c r="R320" s="260">
        <f t="shared" si="54"/>
        <v>8306050000</v>
      </c>
      <c r="S320" s="261" t="s">
        <v>223</v>
      </c>
      <c r="T320" s="180">
        <f t="shared" ref="T320:T353" si="59">IF(ISBLANK(S320),"",IF(VALUE(S320)=0,0,IF(VALUE(S320)=1,3,"")))</f>
        <v>0</v>
      </c>
      <c r="U320" s="56" t="str">
        <f t="shared" si="55"/>
        <v>SUBDIRECCION DE GESTION CONTRACTUAL</v>
      </c>
      <c r="V320" s="179" t="str">
        <f t="shared" si="56"/>
        <v>CO-DC</v>
      </c>
      <c r="W320" s="56" t="str">
        <f t="shared" si="57"/>
        <v>Distrito Capital de Bogotá</v>
      </c>
      <c r="X320" s="262" t="s">
        <v>170</v>
      </c>
      <c r="Y320" s="179">
        <v>2427400</v>
      </c>
      <c r="Z320" s="262" t="s">
        <v>171</v>
      </c>
    </row>
    <row r="321" spans="1:26" s="10" customFormat="1" ht="12.75" customHeight="1" x14ac:dyDescent="0.2">
      <c r="A321" s="132" t="s">
        <v>169</v>
      </c>
      <c r="B321" s="132">
        <v>2</v>
      </c>
      <c r="C321" s="133" t="s">
        <v>425</v>
      </c>
      <c r="D321" s="189" t="s">
        <v>841</v>
      </c>
      <c r="E321" s="129"/>
      <c r="F321" s="129">
        <v>1200000000</v>
      </c>
      <c r="G321" s="129"/>
      <c r="H321" s="134" t="s">
        <v>795</v>
      </c>
      <c r="I321" s="135" t="s">
        <v>427</v>
      </c>
      <c r="J321" s="136">
        <v>2</v>
      </c>
      <c r="K321" s="137">
        <v>3</v>
      </c>
      <c r="L321" s="138">
        <v>9</v>
      </c>
      <c r="M321" s="132">
        <f t="shared" si="52"/>
        <v>1</v>
      </c>
      <c r="N321" s="139" t="s">
        <v>233</v>
      </c>
      <c r="O321" s="140" t="str">
        <f>IF(ISBLANK(N321),"",VLOOKUP(N321,[14]Parámetros!$G$2:$H$23,2,FALSE))</f>
        <v>Licitación pública</v>
      </c>
      <c r="P321" s="141">
        <f t="shared" si="58"/>
        <v>1</v>
      </c>
      <c r="Q321" s="142">
        <f t="shared" si="53"/>
        <v>1200000000</v>
      </c>
      <c r="R321" s="142">
        <f t="shared" si="54"/>
        <v>1200000000</v>
      </c>
      <c r="S321" s="143" t="s">
        <v>223</v>
      </c>
      <c r="T321" s="139">
        <f t="shared" si="59"/>
        <v>0</v>
      </c>
      <c r="U321" s="48" t="str">
        <f t="shared" si="55"/>
        <v>SUBDIRECCION DE GESTION CONTRACTUAL</v>
      </c>
      <c r="V321" s="132" t="str">
        <f t="shared" si="56"/>
        <v>CO-DC</v>
      </c>
      <c r="W321" s="48" t="str">
        <f t="shared" si="57"/>
        <v>Distrito Capital de Bogotá</v>
      </c>
      <c r="X321" s="144" t="s">
        <v>170</v>
      </c>
      <c r="Y321" s="132">
        <v>2427400</v>
      </c>
      <c r="Z321" s="144" t="s">
        <v>171</v>
      </c>
    </row>
    <row r="322" spans="1:26" s="10" customFormat="1" ht="12.75" customHeight="1" x14ac:dyDescent="0.2">
      <c r="A322" s="132" t="s">
        <v>169</v>
      </c>
      <c r="B322" s="132">
        <v>3</v>
      </c>
      <c r="C322" s="133" t="s">
        <v>425</v>
      </c>
      <c r="D322" s="189" t="s">
        <v>841</v>
      </c>
      <c r="E322" s="129">
        <v>29702409.983999997</v>
      </c>
      <c r="F322" s="129">
        <v>445000000</v>
      </c>
      <c r="G322" s="129"/>
      <c r="H322" s="134" t="s">
        <v>42</v>
      </c>
      <c r="I322" s="135" t="s">
        <v>428</v>
      </c>
      <c r="J322" s="136">
        <v>3</v>
      </c>
      <c r="K322" s="137">
        <v>4</v>
      </c>
      <c r="L322" s="138">
        <v>9</v>
      </c>
      <c r="M322" s="132">
        <f t="shared" si="52"/>
        <v>1</v>
      </c>
      <c r="N322" s="139" t="s">
        <v>61</v>
      </c>
      <c r="O322" s="140" t="str">
        <f>IF(ISBLANK(N322),"",VLOOKUP(N322,[11]Parámetros!$G$2:$H$23,2,FALSE))</f>
        <v>Contratación régimen especial - Selección de comisionista</v>
      </c>
      <c r="P322" s="141">
        <f t="shared" si="58"/>
        <v>1</v>
      </c>
      <c r="Q322" s="142">
        <f t="shared" si="53"/>
        <v>474702409.98399997</v>
      </c>
      <c r="R322" s="142">
        <f t="shared" si="54"/>
        <v>445000000</v>
      </c>
      <c r="S322" s="143" t="s">
        <v>223</v>
      </c>
      <c r="T322" s="139">
        <f t="shared" si="59"/>
        <v>0</v>
      </c>
      <c r="U322" s="48" t="str">
        <f t="shared" si="55"/>
        <v>SUBDIRECCION DE GESTION CONTRACTUAL</v>
      </c>
      <c r="V322" s="132" t="str">
        <f t="shared" si="56"/>
        <v>CO-DC</v>
      </c>
      <c r="W322" s="48" t="str">
        <f t="shared" si="57"/>
        <v>Distrito Capital de Bogotá</v>
      </c>
      <c r="X322" s="144" t="s">
        <v>170</v>
      </c>
      <c r="Y322" s="132">
        <v>2427400</v>
      </c>
      <c r="Z322" s="144" t="s">
        <v>171</v>
      </c>
    </row>
    <row r="323" spans="1:26" s="10" customFormat="1" ht="12.75" customHeight="1" x14ac:dyDescent="0.2">
      <c r="A323" s="132" t="s">
        <v>169</v>
      </c>
      <c r="B323" s="132">
        <v>4</v>
      </c>
      <c r="C323" s="133" t="s">
        <v>425</v>
      </c>
      <c r="D323" s="189" t="s">
        <v>841</v>
      </c>
      <c r="E323" s="129"/>
      <c r="F323" s="129">
        <v>75000000</v>
      </c>
      <c r="G323" s="129"/>
      <c r="H323" s="134" t="s">
        <v>644</v>
      </c>
      <c r="I323" s="135" t="s">
        <v>429</v>
      </c>
      <c r="J323" s="136">
        <v>2</v>
      </c>
      <c r="K323" s="137">
        <v>2</v>
      </c>
      <c r="L323" s="138">
        <v>10</v>
      </c>
      <c r="M323" s="132">
        <f t="shared" si="52"/>
        <v>1</v>
      </c>
      <c r="N323" s="139" t="s">
        <v>36</v>
      </c>
      <c r="O323" s="140" t="str">
        <f>IF(ISBLANK(N323),"",VLOOKUP(N323,[14]Parámetros!$G$2:$H$23,2,FALSE))</f>
        <v xml:space="preserve">Contratación directa (con ofertas) </v>
      </c>
      <c r="P323" s="141">
        <f t="shared" si="58"/>
        <v>1</v>
      </c>
      <c r="Q323" s="142">
        <f t="shared" si="53"/>
        <v>75000000</v>
      </c>
      <c r="R323" s="142">
        <f t="shared" si="54"/>
        <v>75000000</v>
      </c>
      <c r="S323" s="143" t="s">
        <v>223</v>
      </c>
      <c r="T323" s="139">
        <f t="shared" si="59"/>
        <v>0</v>
      </c>
      <c r="U323" s="48" t="str">
        <f t="shared" si="55"/>
        <v>SUBDIRECCION DE GESTION CONTRACTUAL</v>
      </c>
      <c r="V323" s="132" t="str">
        <f t="shared" si="56"/>
        <v>CO-DC</v>
      </c>
      <c r="W323" s="48" t="str">
        <f t="shared" si="57"/>
        <v>Distrito Capital de Bogotá</v>
      </c>
      <c r="X323" s="144" t="s">
        <v>331</v>
      </c>
      <c r="Y323" s="132">
        <v>2427400</v>
      </c>
      <c r="Z323" s="146" t="s">
        <v>94</v>
      </c>
    </row>
    <row r="324" spans="1:26" s="10" customFormat="1" ht="12.75" customHeight="1" x14ac:dyDescent="0.2">
      <c r="A324" s="132" t="s">
        <v>169</v>
      </c>
      <c r="B324" s="132">
        <v>5</v>
      </c>
      <c r="C324" s="133" t="s">
        <v>425</v>
      </c>
      <c r="D324" s="189" t="s">
        <v>841</v>
      </c>
      <c r="E324" s="129"/>
      <c r="F324" s="129">
        <v>1250000000</v>
      </c>
      <c r="G324" s="129"/>
      <c r="H324" s="134" t="s">
        <v>797</v>
      </c>
      <c r="I324" s="135" t="s">
        <v>430</v>
      </c>
      <c r="J324" s="150">
        <v>2</v>
      </c>
      <c r="K324" s="150">
        <v>3</v>
      </c>
      <c r="L324" s="150">
        <v>9</v>
      </c>
      <c r="M324" s="132">
        <f t="shared" si="52"/>
        <v>1</v>
      </c>
      <c r="N324" s="139" t="s">
        <v>36</v>
      </c>
      <c r="O324" s="140" t="str">
        <f>IF(ISBLANK(N324),"",VLOOKUP(N324,[14]Parámetros!$G$2:$H$23,2,FALSE))</f>
        <v xml:space="preserve">Contratación directa (con ofertas) </v>
      </c>
      <c r="P324" s="141">
        <f t="shared" si="58"/>
        <v>1</v>
      </c>
      <c r="Q324" s="142">
        <f t="shared" si="53"/>
        <v>1250000000</v>
      </c>
      <c r="R324" s="142">
        <f t="shared" si="54"/>
        <v>1250000000</v>
      </c>
      <c r="S324" s="143" t="s">
        <v>223</v>
      </c>
      <c r="T324" s="139">
        <f t="shared" si="59"/>
        <v>0</v>
      </c>
      <c r="U324" s="48" t="str">
        <f t="shared" si="55"/>
        <v>SUBDIRECCION DE GESTION CONTRACTUAL</v>
      </c>
      <c r="V324" s="132" t="str">
        <f t="shared" si="56"/>
        <v>CO-DC</v>
      </c>
      <c r="W324" s="48" t="str">
        <f t="shared" si="57"/>
        <v>Distrito Capital de Bogotá</v>
      </c>
      <c r="X324" s="144" t="s">
        <v>170</v>
      </c>
      <c r="Y324" s="132">
        <v>2427400</v>
      </c>
      <c r="Z324" s="144" t="s">
        <v>171</v>
      </c>
    </row>
    <row r="325" spans="1:26" s="10" customFormat="1" ht="12.75" customHeight="1" x14ac:dyDescent="0.2">
      <c r="A325" s="132" t="s">
        <v>169</v>
      </c>
      <c r="B325" s="132">
        <v>6</v>
      </c>
      <c r="C325" s="133" t="s">
        <v>425</v>
      </c>
      <c r="D325" s="189" t="s">
        <v>841</v>
      </c>
      <c r="E325" s="129"/>
      <c r="F325" s="129">
        <v>100000000</v>
      </c>
      <c r="G325" s="129"/>
      <c r="H325" s="134" t="s">
        <v>239</v>
      </c>
      <c r="I325" s="135" t="s">
        <v>431</v>
      </c>
      <c r="J325" s="150">
        <v>2</v>
      </c>
      <c r="K325" s="150">
        <v>3</v>
      </c>
      <c r="L325" s="150">
        <v>4</v>
      </c>
      <c r="M325" s="132">
        <f t="shared" si="52"/>
        <v>1</v>
      </c>
      <c r="N325" s="139" t="s">
        <v>43</v>
      </c>
      <c r="O325" s="140" t="str">
        <f>IF(ISBLANK(N325),"",VLOOKUP(N325,[14]Parámetros!$G$2:$H$23,2,FALSE))</f>
        <v>Selección abreviada subasta inversa</v>
      </c>
      <c r="P325" s="141">
        <f t="shared" si="58"/>
        <v>1</v>
      </c>
      <c r="Q325" s="142">
        <f t="shared" si="53"/>
        <v>100000000</v>
      </c>
      <c r="R325" s="142">
        <f t="shared" si="54"/>
        <v>100000000</v>
      </c>
      <c r="S325" s="143" t="s">
        <v>223</v>
      </c>
      <c r="T325" s="139">
        <f t="shared" si="59"/>
        <v>0</v>
      </c>
      <c r="U325" s="48" t="str">
        <f t="shared" si="55"/>
        <v>SUBDIRECCION DE GESTION CONTRACTUAL</v>
      </c>
      <c r="V325" s="132" t="str">
        <f t="shared" si="56"/>
        <v>CO-DC</v>
      </c>
      <c r="W325" s="48" t="str">
        <f t="shared" si="57"/>
        <v>Distrito Capital de Bogotá</v>
      </c>
      <c r="X325" s="144" t="s">
        <v>331</v>
      </c>
      <c r="Y325" s="132">
        <v>2427400</v>
      </c>
      <c r="Z325" s="146" t="s">
        <v>94</v>
      </c>
    </row>
    <row r="326" spans="1:26" s="10" customFormat="1" ht="12.75" customHeight="1" x14ac:dyDescent="0.2">
      <c r="A326" s="132" t="s">
        <v>169</v>
      </c>
      <c r="B326" s="132">
        <v>7</v>
      </c>
      <c r="C326" s="133" t="s">
        <v>425</v>
      </c>
      <c r="D326" s="189" t="s">
        <v>841</v>
      </c>
      <c r="E326" s="129"/>
      <c r="F326" s="129">
        <v>15000000</v>
      </c>
      <c r="G326" s="129"/>
      <c r="H326" s="134" t="s">
        <v>51</v>
      </c>
      <c r="I326" s="135" t="s">
        <v>432</v>
      </c>
      <c r="J326" s="136">
        <v>4</v>
      </c>
      <c r="K326" s="137">
        <v>6</v>
      </c>
      <c r="L326" s="138">
        <v>1</v>
      </c>
      <c r="M326" s="132">
        <f t="shared" si="52"/>
        <v>1</v>
      </c>
      <c r="N326" s="139" t="s">
        <v>43</v>
      </c>
      <c r="O326" s="140" t="str">
        <f>IF(ISBLANK(N326),"",VLOOKUP(N326,[14]Parámetros!$G$2:$H$23,2,FALSE))</f>
        <v>Selección abreviada subasta inversa</v>
      </c>
      <c r="P326" s="141">
        <f t="shared" si="58"/>
        <v>1</v>
      </c>
      <c r="Q326" s="142">
        <f t="shared" si="53"/>
        <v>15000000</v>
      </c>
      <c r="R326" s="142">
        <f t="shared" si="54"/>
        <v>15000000</v>
      </c>
      <c r="S326" s="143" t="s">
        <v>223</v>
      </c>
      <c r="T326" s="139">
        <f t="shared" si="59"/>
        <v>0</v>
      </c>
      <c r="U326" s="48" t="str">
        <f t="shared" si="55"/>
        <v>SUBDIRECCION DE GESTION CONTRACTUAL</v>
      </c>
      <c r="V326" s="132" t="str">
        <f t="shared" si="56"/>
        <v>CO-DC</v>
      </c>
      <c r="W326" s="48" t="str">
        <f t="shared" si="57"/>
        <v>Distrito Capital de Bogotá</v>
      </c>
      <c r="X326" s="144" t="s">
        <v>73</v>
      </c>
      <c r="Y326" s="132">
        <v>2427400</v>
      </c>
      <c r="Z326" s="146" t="s">
        <v>74</v>
      </c>
    </row>
    <row r="327" spans="1:26" s="10" customFormat="1" ht="12.75" customHeight="1" x14ac:dyDescent="0.2">
      <c r="A327" s="132" t="s">
        <v>169</v>
      </c>
      <c r="B327" s="132">
        <v>8</v>
      </c>
      <c r="C327" s="133" t="s">
        <v>433</v>
      </c>
      <c r="D327" s="189" t="s">
        <v>841</v>
      </c>
      <c r="E327" s="129"/>
      <c r="F327" s="129">
        <v>28000000000</v>
      </c>
      <c r="G327" s="129"/>
      <c r="H327" s="134" t="s">
        <v>797</v>
      </c>
      <c r="I327" s="135" t="s">
        <v>434</v>
      </c>
      <c r="J327" s="150">
        <v>2</v>
      </c>
      <c r="K327" s="150">
        <v>3</v>
      </c>
      <c r="L327" s="150">
        <v>9</v>
      </c>
      <c r="M327" s="132">
        <f t="shared" si="52"/>
        <v>1</v>
      </c>
      <c r="N327" s="139" t="s">
        <v>36</v>
      </c>
      <c r="O327" s="140" t="str">
        <f>IF(ISBLANK(N327),"",VLOOKUP(N327,[14]Parámetros!$G$2:$H$23,2,FALSE))</f>
        <v xml:space="preserve">Contratación directa (con ofertas) </v>
      </c>
      <c r="P327" s="141">
        <f t="shared" si="58"/>
        <v>1</v>
      </c>
      <c r="Q327" s="142">
        <f t="shared" si="53"/>
        <v>28000000000</v>
      </c>
      <c r="R327" s="142">
        <f t="shared" si="54"/>
        <v>28000000000</v>
      </c>
      <c r="S327" s="143" t="s">
        <v>223</v>
      </c>
      <c r="T327" s="139">
        <f t="shared" si="59"/>
        <v>0</v>
      </c>
      <c r="U327" s="48" t="str">
        <f t="shared" si="55"/>
        <v>SUBDIRECCION DE GESTION CONTRACTUAL</v>
      </c>
      <c r="V327" s="132" t="str">
        <f t="shared" si="56"/>
        <v>CO-DC</v>
      </c>
      <c r="W327" s="48" t="str">
        <f t="shared" si="57"/>
        <v>Distrito Capital de Bogotá</v>
      </c>
      <c r="X327" s="144" t="s">
        <v>170</v>
      </c>
      <c r="Y327" s="132">
        <v>2427400</v>
      </c>
      <c r="Z327" s="144" t="s">
        <v>171</v>
      </c>
    </row>
    <row r="328" spans="1:26" s="10" customFormat="1" ht="12.75" customHeight="1" x14ac:dyDescent="0.2">
      <c r="A328" s="132" t="s">
        <v>169</v>
      </c>
      <c r="B328" s="132">
        <v>9</v>
      </c>
      <c r="C328" s="133" t="s">
        <v>172</v>
      </c>
      <c r="D328" s="133" t="s">
        <v>173</v>
      </c>
      <c r="E328" s="129"/>
      <c r="F328" s="129">
        <v>2257136244</v>
      </c>
      <c r="G328" s="129"/>
      <c r="H328" s="134">
        <v>80111600</v>
      </c>
      <c r="I328" s="188" t="s">
        <v>426</v>
      </c>
      <c r="J328" s="150">
        <v>1</v>
      </c>
      <c r="K328" s="150">
        <v>1</v>
      </c>
      <c r="L328" s="150">
        <v>12</v>
      </c>
      <c r="M328" s="132">
        <f t="shared" si="52"/>
        <v>1</v>
      </c>
      <c r="N328" s="139" t="s">
        <v>216</v>
      </c>
      <c r="O328" s="140" t="str">
        <f>IF(ISBLANK(N328),"",VLOOKUP(N328,[14]Parámetros!$G$2:$H$23,2,FALSE))</f>
        <v>Contratación directa.</v>
      </c>
      <c r="P328" s="141">
        <f t="shared" si="58"/>
        <v>1</v>
      </c>
      <c r="Q328" s="142">
        <f t="shared" si="53"/>
        <v>2257136244</v>
      </c>
      <c r="R328" s="142">
        <f t="shared" si="54"/>
        <v>2257136244</v>
      </c>
      <c r="S328" s="143" t="s">
        <v>223</v>
      </c>
      <c r="T328" s="139">
        <f t="shared" si="59"/>
        <v>0</v>
      </c>
      <c r="U328" s="48" t="str">
        <f t="shared" si="55"/>
        <v>SUBDIRECCION DE GESTION CONTRACTUAL</v>
      </c>
      <c r="V328" s="132" t="str">
        <f t="shared" si="56"/>
        <v>CO-DC</v>
      </c>
      <c r="W328" s="48" t="str">
        <f t="shared" si="57"/>
        <v>Distrito Capital de Bogotá</v>
      </c>
      <c r="X328" s="144" t="s">
        <v>170</v>
      </c>
      <c r="Y328" s="132">
        <v>2427400</v>
      </c>
      <c r="Z328" s="144" t="s">
        <v>171</v>
      </c>
    </row>
    <row r="329" spans="1:26" s="10" customFormat="1" ht="12.75" customHeight="1" x14ac:dyDescent="0.2">
      <c r="A329" s="132" t="s">
        <v>169</v>
      </c>
      <c r="B329" s="132">
        <v>10</v>
      </c>
      <c r="C329" s="133" t="s">
        <v>172</v>
      </c>
      <c r="D329" s="133" t="s">
        <v>173</v>
      </c>
      <c r="E329" s="129"/>
      <c r="F329" s="129">
        <v>80000000</v>
      </c>
      <c r="G329" s="129"/>
      <c r="H329" s="134" t="s">
        <v>795</v>
      </c>
      <c r="I329" s="135" t="s">
        <v>435</v>
      </c>
      <c r="J329" s="158">
        <v>1</v>
      </c>
      <c r="K329" s="158">
        <v>2</v>
      </c>
      <c r="L329" s="158">
        <v>3</v>
      </c>
      <c r="M329" s="132">
        <f t="shared" si="52"/>
        <v>1</v>
      </c>
      <c r="N329" s="139" t="s">
        <v>36</v>
      </c>
      <c r="O329" s="140" t="str">
        <f>IF(ISBLANK(N329),"",VLOOKUP(N329,[14]Parámetros!$G$2:$H$23,2,FALSE))</f>
        <v xml:space="preserve">Contratación directa (con ofertas) </v>
      </c>
      <c r="P329" s="141">
        <f t="shared" si="58"/>
        <v>1</v>
      </c>
      <c r="Q329" s="142">
        <f t="shared" si="53"/>
        <v>80000000</v>
      </c>
      <c r="R329" s="142">
        <f t="shared" si="54"/>
        <v>80000000</v>
      </c>
      <c r="S329" s="143" t="s">
        <v>223</v>
      </c>
      <c r="T329" s="139">
        <f t="shared" si="59"/>
        <v>0</v>
      </c>
      <c r="U329" s="48" t="str">
        <f t="shared" si="55"/>
        <v>SUBDIRECCION DE GESTION CONTRACTUAL</v>
      </c>
      <c r="V329" s="132" t="str">
        <f t="shared" si="56"/>
        <v>CO-DC</v>
      </c>
      <c r="W329" s="48" t="str">
        <f t="shared" si="57"/>
        <v>Distrito Capital de Bogotá</v>
      </c>
      <c r="X329" s="144" t="s">
        <v>170</v>
      </c>
      <c r="Y329" s="132">
        <v>2427400</v>
      </c>
      <c r="Z329" s="144" t="s">
        <v>171</v>
      </c>
    </row>
    <row r="330" spans="1:26" s="10" customFormat="1" ht="12.75" customHeight="1" x14ac:dyDescent="0.2">
      <c r="A330" s="132" t="s">
        <v>169</v>
      </c>
      <c r="B330" s="132">
        <v>11</v>
      </c>
      <c r="C330" s="133" t="s">
        <v>172</v>
      </c>
      <c r="D330" s="133" t="s">
        <v>173</v>
      </c>
      <c r="E330" s="129"/>
      <c r="F330" s="129">
        <f>295000000-80000000</f>
        <v>215000000</v>
      </c>
      <c r="G330" s="129"/>
      <c r="H330" s="134" t="s">
        <v>795</v>
      </c>
      <c r="I330" s="135" t="s">
        <v>435</v>
      </c>
      <c r="J330" s="136">
        <v>2</v>
      </c>
      <c r="K330" s="137">
        <v>3</v>
      </c>
      <c r="L330" s="138">
        <v>9</v>
      </c>
      <c r="M330" s="132">
        <f t="shared" si="52"/>
        <v>1</v>
      </c>
      <c r="N330" s="139" t="s">
        <v>233</v>
      </c>
      <c r="O330" s="140" t="str">
        <f>IF(ISBLANK(N330),"",VLOOKUP(N330,[14]Parámetros!$G$2:$H$23,2,FALSE))</f>
        <v>Licitación pública</v>
      </c>
      <c r="P330" s="141">
        <f t="shared" si="58"/>
        <v>1</v>
      </c>
      <c r="Q330" s="142">
        <f t="shared" si="53"/>
        <v>215000000</v>
      </c>
      <c r="R330" s="142">
        <f t="shared" si="54"/>
        <v>215000000</v>
      </c>
      <c r="S330" s="143" t="s">
        <v>223</v>
      </c>
      <c r="T330" s="139">
        <f t="shared" si="59"/>
        <v>0</v>
      </c>
      <c r="U330" s="48" t="str">
        <f t="shared" si="55"/>
        <v>SUBDIRECCION DE GESTION CONTRACTUAL</v>
      </c>
      <c r="V330" s="132" t="str">
        <f t="shared" si="56"/>
        <v>CO-DC</v>
      </c>
      <c r="W330" s="48" t="str">
        <f t="shared" si="57"/>
        <v>Distrito Capital de Bogotá</v>
      </c>
      <c r="X330" s="144" t="s">
        <v>170</v>
      </c>
      <c r="Y330" s="132">
        <v>2427400</v>
      </c>
      <c r="Z330" s="144" t="s">
        <v>171</v>
      </c>
    </row>
    <row r="331" spans="1:26" s="10" customFormat="1" ht="12.75" customHeight="1" x14ac:dyDescent="0.2">
      <c r="A331" s="132" t="s">
        <v>169</v>
      </c>
      <c r="B331" s="132">
        <v>12</v>
      </c>
      <c r="C331" s="133" t="s">
        <v>172</v>
      </c>
      <c r="D331" s="133" t="s">
        <v>173</v>
      </c>
      <c r="E331" s="129"/>
      <c r="F331" s="129">
        <v>100000000</v>
      </c>
      <c r="G331" s="129"/>
      <c r="H331" s="134">
        <v>93121607</v>
      </c>
      <c r="I331" s="135" t="s">
        <v>436</v>
      </c>
      <c r="J331" s="150">
        <v>2</v>
      </c>
      <c r="K331" s="150">
        <v>3</v>
      </c>
      <c r="L331" s="150">
        <v>9</v>
      </c>
      <c r="M331" s="132">
        <f t="shared" si="52"/>
        <v>1</v>
      </c>
      <c r="N331" s="139" t="s">
        <v>36</v>
      </c>
      <c r="O331" s="140" t="str">
        <f>IF(ISBLANK(N331),"",VLOOKUP(N331,[14]Parámetros!$G$2:$H$23,2,FALSE))</f>
        <v xml:space="preserve">Contratación directa (con ofertas) </v>
      </c>
      <c r="P331" s="141">
        <f t="shared" si="58"/>
        <v>1</v>
      </c>
      <c r="Q331" s="142">
        <f t="shared" si="53"/>
        <v>100000000</v>
      </c>
      <c r="R331" s="142">
        <f t="shared" si="54"/>
        <v>100000000</v>
      </c>
      <c r="S331" s="143" t="s">
        <v>223</v>
      </c>
      <c r="T331" s="139">
        <f t="shared" si="59"/>
        <v>0</v>
      </c>
      <c r="U331" s="48" t="str">
        <f t="shared" si="55"/>
        <v>SUBDIRECCION DE GESTION CONTRACTUAL</v>
      </c>
      <c r="V331" s="132" t="str">
        <f t="shared" si="56"/>
        <v>CO-DC</v>
      </c>
      <c r="W331" s="48" t="str">
        <f t="shared" si="57"/>
        <v>Distrito Capital de Bogotá</v>
      </c>
      <c r="X331" s="144" t="s">
        <v>170</v>
      </c>
      <c r="Y331" s="132">
        <v>2427400</v>
      </c>
      <c r="Z331" s="144" t="s">
        <v>171</v>
      </c>
    </row>
    <row r="332" spans="1:26" s="10" customFormat="1" ht="12.75" customHeight="1" x14ac:dyDescent="0.2">
      <c r="A332" s="132" t="s">
        <v>169</v>
      </c>
      <c r="B332" s="132">
        <v>13</v>
      </c>
      <c r="C332" s="133" t="s">
        <v>172</v>
      </c>
      <c r="D332" s="133" t="s">
        <v>173</v>
      </c>
      <c r="E332" s="129"/>
      <c r="F332" s="129">
        <v>100000000</v>
      </c>
      <c r="G332" s="129"/>
      <c r="H332" s="134" t="s">
        <v>42</v>
      </c>
      <c r="I332" s="135" t="s">
        <v>428</v>
      </c>
      <c r="J332" s="136">
        <v>3</v>
      </c>
      <c r="K332" s="137">
        <v>4</v>
      </c>
      <c r="L332" s="138">
        <v>9</v>
      </c>
      <c r="M332" s="132">
        <f t="shared" si="52"/>
        <v>1</v>
      </c>
      <c r="N332" s="139" t="s">
        <v>61</v>
      </c>
      <c r="O332" s="140" t="str">
        <f>IF(ISBLANK(N332),"",VLOOKUP(N332,[11]Parámetros!$G$2:$H$23,2,FALSE))</f>
        <v>Contratación régimen especial - Selección de comisionista</v>
      </c>
      <c r="P332" s="141">
        <f t="shared" si="58"/>
        <v>1</v>
      </c>
      <c r="Q332" s="142">
        <f t="shared" si="53"/>
        <v>100000000</v>
      </c>
      <c r="R332" s="142">
        <f t="shared" si="54"/>
        <v>100000000</v>
      </c>
      <c r="S332" s="143" t="s">
        <v>223</v>
      </c>
      <c r="T332" s="139">
        <f t="shared" si="59"/>
        <v>0</v>
      </c>
      <c r="U332" s="48" t="str">
        <f t="shared" si="55"/>
        <v>SUBDIRECCION DE GESTION CONTRACTUAL</v>
      </c>
      <c r="V332" s="132" t="str">
        <f t="shared" si="56"/>
        <v>CO-DC</v>
      </c>
      <c r="W332" s="48" t="str">
        <f t="shared" si="57"/>
        <v>Distrito Capital de Bogotá</v>
      </c>
      <c r="X332" s="144" t="s">
        <v>170</v>
      </c>
      <c r="Y332" s="132">
        <v>2427400</v>
      </c>
      <c r="Z332" s="144" t="s">
        <v>171</v>
      </c>
    </row>
    <row r="333" spans="1:26" s="10" customFormat="1" ht="12.75" customHeight="1" x14ac:dyDescent="0.2">
      <c r="A333" s="132" t="s">
        <v>169</v>
      </c>
      <c r="B333" s="132">
        <v>14</v>
      </c>
      <c r="C333" s="133" t="s">
        <v>174</v>
      </c>
      <c r="D333" s="133" t="s">
        <v>175</v>
      </c>
      <c r="E333" s="129"/>
      <c r="F333" s="129">
        <f>890000000-890000000</f>
        <v>0</v>
      </c>
      <c r="G333" s="129"/>
      <c r="H333" s="134">
        <v>80111600</v>
      </c>
      <c r="I333" s="188" t="s">
        <v>426</v>
      </c>
      <c r="J333" s="150">
        <v>1</v>
      </c>
      <c r="K333" s="150">
        <v>1</v>
      </c>
      <c r="L333" s="150">
        <v>12</v>
      </c>
      <c r="M333" s="132">
        <f t="shared" si="52"/>
        <v>1</v>
      </c>
      <c r="N333" s="139" t="s">
        <v>216</v>
      </c>
      <c r="O333" s="140" t="str">
        <f>IF(ISBLANK(N333),"",VLOOKUP(N333,[14]Parámetros!$G$2:$H$23,2,FALSE))</f>
        <v>Contratación directa.</v>
      </c>
      <c r="P333" s="141">
        <f t="shared" si="58"/>
        <v>1</v>
      </c>
      <c r="Q333" s="142">
        <f t="shared" si="53"/>
        <v>0</v>
      </c>
      <c r="R333" s="142">
        <f t="shared" si="54"/>
        <v>0</v>
      </c>
      <c r="S333" s="143" t="s">
        <v>223</v>
      </c>
      <c r="T333" s="139">
        <f t="shared" si="59"/>
        <v>0</v>
      </c>
      <c r="U333" s="48" t="str">
        <f t="shared" si="55"/>
        <v>SUBDIRECCION DE GESTION CONTRACTUAL</v>
      </c>
      <c r="V333" s="132" t="str">
        <f t="shared" si="56"/>
        <v>CO-DC</v>
      </c>
      <c r="W333" s="48" t="str">
        <f t="shared" si="57"/>
        <v>Distrito Capital de Bogotá</v>
      </c>
      <c r="X333" s="144" t="s">
        <v>170</v>
      </c>
      <c r="Y333" s="132">
        <v>2427400</v>
      </c>
      <c r="Z333" s="144" t="s">
        <v>171</v>
      </c>
    </row>
    <row r="334" spans="1:26" s="10" customFormat="1" ht="12.75" customHeight="1" x14ac:dyDescent="0.2">
      <c r="A334" s="132" t="s">
        <v>169</v>
      </c>
      <c r="B334" s="132">
        <v>15</v>
      </c>
      <c r="C334" s="133" t="s">
        <v>174</v>
      </c>
      <c r="D334" s="133" t="s">
        <v>175</v>
      </c>
      <c r="E334" s="129"/>
      <c r="F334" s="129">
        <f>150000000-150000000</f>
        <v>0</v>
      </c>
      <c r="G334" s="129"/>
      <c r="H334" s="134" t="s">
        <v>795</v>
      </c>
      <c r="I334" s="135" t="s">
        <v>435</v>
      </c>
      <c r="J334" s="136">
        <v>2</v>
      </c>
      <c r="K334" s="137">
        <v>3</v>
      </c>
      <c r="L334" s="138">
        <v>9</v>
      </c>
      <c r="M334" s="132">
        <f t="shared" si="52"/>
        <v>1</v>
      </c>
      <c r="N334" s="139" t="s">
        <v>233</v>
      </c>
      <c r="O334" s="140" t="str">
        <f>IF(ISBLANK(N334),"",VLOOKUP(N334,[14]Parámetros!$G$2:$H$23,2,FALSE))</f>
        <v>Licitación pública</v>
      </c>
      <c r="P334" s="141">
        <f t="shared" si="58"/>
        <v>1</v>
      </c>
      <c r="Q334" s="142">
        <f t="shared" si="53"/>
        <v>0</v>
      </c>
      <c r="R334" s="142">
        <f t="shared" si="54"/>
        <v>0</v>
      </c>
      <c r="S334" s="143" t="s">
        <v>223</v>
      </c>
      <c r="T334" s="139">
        <f t="shared" si="59"/>
        <v>0</v>
      </c>
      <c r="U334" s="48" t="str">
        <f t="shared" si="55"/>
        <v>SUBDIRECCION DE GESTION CONTRACTUAL</v>
      </c>
      <c r="V334" s="132" t="str">
        <f t="shared" si="56"/>
        <v>CO-DC</v>
      </c>
      <c r="W334" s="48" t="str">
        <f t="shared" si="57"/>
        <v>Distrito Capital de Bogotá</v>
      </c>
      <c r="X334" s="144" t="s">
        <v>170</v>
      </c>
      <c r="Y334" s="132">
        <v>2427400</v>
      </c>
      <c r="Z334" s="144" t="s">
        <v>171</v>
      </c>
    </row>
    <row r="335" spans="1:26" s="10" customFormat="1" ht="12.75" customHeight="1" x14ac:dyDescent="0.2">
      <c r="A335" s="132" t="s">
        <v>169</v>
      </c>
      <c r="B335" s="132">
        <v>16</v>
      </c>
      <c r="C335" s="133" t="s">
        <v>174</v>
      </c>
      <c r="D335" s="133" t="s">
        <v>175</v>
      </c>
      <c r="E335" s="129"/>
      <c r="F335" s="129">
        <f>100000000-100000000</f>
        <v>0</v>
      </c>
      <c r="G335" s="129"/>
      <c r="H335" s="134" t="s">
        <v>42</v>
      </c>
      <c r="I335" s="135" t="s">
        <v>428</v>
      </c>
      <c r="J335" s="136">
        <v>3</v>
      </c>
      <c r="K335" s="137">
        <v>4</v>
      </c>
      <c r="L335" s="138">
        <v>9</v>
      </c>
      <c r="M335" s="132">
        <f t="shared" si="52"/>
        <v>1</v>
      </c>
      <c r="N335" s="139" t="s">
        <v>61</v>
      </c>
      <c r="O335" s="140" t="str">
        <f>IF(ISBLANK(N335),"",VLOOKUP(N335,[11]Parámetros!$G$2:$H$23,2,FALSE))</f>
        <v>Contratación régimen especial - Selección de comisionista</v>
      </c>
      <c r="P335" s="141">
        <f t="shared" si="58"/>
        <v>1</v>
      </c>
      <c r="Q335" s="142">
        <f t="shared" si="53"/>
        <v>0</v>
      </c>
      <c r="R335" s="142">
        <f t="shared" si="54"/>
        <v>0</v>
      </c>
      <c r="S335" s="143" t="s">
        <v>223</v>
      </c>
      <c r="T335" s="139">
        <f t="shared" si="59"/>
        <v>0</v>
      </c>
      <c r="U335" s="48" t="str">
        <f t="shared" si="55"/>
        <v>SUBDIRECCION DE GESTION CONTRACTUAL</v>
      </c>
      <c r="V335" s="132" t="str">
        <f t="shared" si="56"/>
        <v>CO-DC</v>
      </c>
      <c r="W335" s="48" t="str">
        <f t="shared" si="57"/>
        <v>Distrito Capital de Bogotá</v>
      </c>
      <c r="X335" s="144" t="s">
        <v>170</v>
      </c>
      <c r="Y335" s="132">
        <v>2427400</v>
      </c>
      <c r="Z335" s="144" t="s">
        <v>171</v>
      </c>
    </row>
    <row r="336" spans="1:26" s="10" customFormat="1" ht="12.75" customHeight="1" x14ac:dyDescent="0.2">
      <c r="A336" s="132" t="s">
        <v>169</v>
      </c>
      <c r="B336" s="132">
        <v>17</v>
      </c>
      <c r="C336" s="133" t="s">
        <v>174</v>
      </c>
      <c r="D336" s="133" t="s">
        <v>175</v>
      </c>
      <c r="E336" s="129"/>
      <c r="F336" s="129">
        <f>75000000-75000000</f>
        <v>0</v>
      </c>
      <c r="G336" s="129"/>
      <c r="H336" s="134" t="s">
        <v>644</v>
      </c>
      <c r="I336" s="135" t="s">
        <v>429</v>
      </c>
      <c r="J336" s="136">
        <v>2</v>
      </c>
      <c r="K336" s="137">
        <v>2</v>
      </c>
      <c r="L336" s="138">
        <v>10</v>
      </c>
      <c r="M336" s="132">
        <f t="shared" si="52"/>
        <v>1</v>
      </c>
      <c r="N336" s="139" t="s">
        <v>36</v>
      </c>
      <c r="O336" s="140" t="str">
        <f>IF(ISBLANK(N336),"",VLOOKUP(N336,[14]Parámetros!$G$2:$H$23,2,FALSE))</f>
        <v xml:space="preserve">Contratación directa (con ofertas) </v>
      </c>
      <c r="P336" s="141">
        <f t="shared" si="58"/>
        <v>1</v>
      </c>
      <c r="Q336" s="142">
        <f t="shared" si="53"/>
        <v>0</v>
      </c>
      <c r="R336" s="142">
        <f t="shared" si="54"/>
        <v>0</v>
      </c>
      <c r="S336" s="143" t="s">
        <v>223</v>
      </c>
      <c r="T336" s="139">
        <f t="shared" si="59"/>
        <v>0</v>
      </c>
      <c r="U336" s="48" t="str">
        <f t="shared" si="55"/>
        <v>SUBDIRECCION DE GESTION CONTRACTUAL</v>
      </c>
      <c r="V336" s="132" t="str">
        <f t="shared" si="56"/>
        <v>CO-DC</v>
      </c>
      <c r="W336" s="48" t="str">
        <f t="shared" si="57"/>
        <v>Distrito Capital de Bogotá</v>
      </c>
      <c r="X336" s="144" t="s">
        <v>331</v>
      </c>
      <c r="Y336" s="132">
        <v>2427400</v>
      </c>
      <c r="Z336" s="146" t="s">
        <v>94</v>
      </c>
    </row>
    <row r="337" spans="1:26" s="10" customFormat="1" ht="12.75" customHeight="1" x14ac:dyDescent="0.2">
      <c r="A337" s="132" t="s">
        <v>169</v>
      </c>
      <c r="B337" s="132">
        <v>18</v>
      </c>
      <c r="C337" s="133" t="s">
        <v>174</v>
      </c>
      <c r="D337" s="133" t="s">
        <v>175</v>
      </c>
      <c r="E337" s="129"/>
      <c r="F337" s="129">
        <f>200000000-200000000</f>
        <v>0</v>
      </c>
      <c r="G337" s="129"/>
      <c r="H337" s="134" t="s">
        <v>103</v>
      </c>
      <c r="I337" s="135" t="s">
        <v>631</v>
      </c>
      <c r="J337" s="136">
        <v>2</v>
      </c>
      <c r="K337" s="137">
        <v>3</v>
      </c>
      <c r="L337" s="138">
        <v>10</v>
      </c>
      <c r="M337" s="132">
        <f t="shared" si="52"/>
        <v>1</v>
      </c>
      <c r="N337" s="139" t="s">
        <v>36</v>
      </c>
      <c r="O337" s="140" t="str">
        <f>IF(ISBLANK(N337),"",VLOOKUP(N337,[1]Parámetros!$G$2:$H$23,2,FALSE))</f>
        <v xml:space="preserve">Contratación directa (con ofertas) </v>
      </c>
      <c r="P337" s="141">
        <f t="shared" si="58"/>
        <v>1</v>
      </c>
      <c r="Q337" s="142">
        <f t="shared" si="53"/>
        <v>0</v>
      </c>
      <c r="R337" s="142">
        <f t="shared" si="54"/>
        <v>0</v>
      </c>
      <c r="S337" s="143" t="s">
        <v>223</v>
      </c>
      <c r="T337" s="139">
        <f t="shared" si="59"/>
        <v>0</v>
      </c>
      <c r="U337" s="48" t="str">
        <f t="shared" si="55"/>
        <v>SUBDIRECCION DE GESTION CONTRACTUAL</v>
      </c>
      <c r="V337" s="132" t="str">
        <f t="shared" si="56"/>
        <v>CO-DC</v>
      </c>
      <c r="W337" s="48" t="str">
        <f t="shared" si="57"/>
        <v>Distrito Capital de Bogotá</v>
      </c>
      <c r="X337" s="144" t="s">
        <v>170</v>
      </c>
      <c r="Y337" s="132">
        <v>2427400</v>
      </c>
      <c r="Z337" s="144" t="s">
        <v>171</v>
      </c>
    </row>
    <row r="338" spans="1:26" s="10" customFormat="1" ht="12.75" customHeight="1" x14ac:dyDescent="0.2">
      <c r="A338" s="132" t="s">
        <v>169</v>
      </c>
      <c r="B338" s="132">
        <v>19</v>
      </c>
      <c r="C338" s="133" t="s">
        <v>174</v>
      </c>
      <c r="D338" s="133" t="s">
        <v>175</v>
      </c>
      <c r="E338" s="129"/>
      <c r="F338" s="129">
        <f>15000000-15000000</f>
        <v>0</v>
      </c>
      <c r="G338" s="129"/>
      <c r="H338" s="134" t="s">
        <v>437</v>
      </c>
      <c r="I338" s="135" t="s">
        <v>438</v>
      </c>
      <c r="J338" s="150">
        <v>2</v>
      </c>
      <c r="K338" s="150">
        <v>3</v>
      </c>
      <c r="L338" s="150">
        <v>9</v>
      </c>
      <c r="M338" s="132">
        <f t="shared" si="52"/>
        <v>1</v>
      </c>
      <c r="N338" s="139" t="s">
        <v>43</v>
      </c>
      <c r="O338" s="140" t="str">
        <f>IF(ISBLANK(N338),"",VLOOKUP(N338,[14]Parámetros!$G$2:$H$23,2,FALSE))</f>
        <v>Selección abreviada subasta inversa</v>
      </c>
      <c r="P338" s="141">
        <f t="shared" si="58"/>
        <v>1</v>
      </c>
      <c r="Q338" s="142">
        <f t="shared" si="53"/>
        <v>0</v>
      </c>
      <c r="R338" s="142">
        <f t="shared" si="54"/>
        <v>0</v>
      </c>
      <c r="S338" s="143" t="s">
        <v>223</v>
      </c>
      <c r="T338" s="139">
        <f t="shared" si="59"/>
        <v>0</v>
      </c>
      <c r="U338" s="48" t="str">
        <f t="shared" si="55"/>
        <v>SUBDIRECCION DE GESTION CONTRACTUAL</v>
      </c>
      <c r="V338" s="132" t="str">
        <f t="shared" si="56"/>
        <v>CO-DC</v>
      </c>
      <c r="W338" s="48" t="str">
        <f t="shared" si="57"/>
        <v>Distrito Capital de Bogotá</v>
      </c>
      <c r="X338" s="144" t="s">
        <v>170</v>
      </c>
      <c r="Y338" s="132">
        <v>2427400</v>
      </c>
      <c r="Z338" s="144" t="s">
        <v>171</v>
      </c>
    </row>
    <row r="339" spans="1:26" s="10" customFormat="1" ht="12.75" customHeight="1" x14ac:dyDescent="0.2">
      <c r="A339" s="132" t="s">
        <v>169</v>
      </c>
      <c r="B339" s="132">
        <v>20</v>
      </c>
      <c r="C339" s="133" t="s">
        <v>425</v>
      </c>
      <c r="D339" s="133" t="s">
        <v>841</v>
      </c>
      <c r="E339" s="129"/>
      <c r="F339" s="129">
        <v>200000000</v>
      </c>
      <c r="G339" s="129"/>
      <c r="H339" s="134" t="s">
        <v>842</v>
      </c>
      <c r="I339" s="135" t="s">
        <v>843</v>
      </c>
      <c r="J339" s="150">
        <v>1</v>
      </c>
      <c r="K339" s="150">
        <v>1</v>
      </c>
      <c r="L339" s="150">
        <v>12</v>
      </c>
      <c r="M339" s="132">
        <f>IF(ISBLANK(J339),"",1)</f>
        <v>1</v>
      </c>
      <c r="N339" s="139" t="s">
        <v>36</v>
      </c>
      <c r="O339" s="140" t="str">
        <f>IF(ISBLANK(N339),"",VLOOKUP(N339,[15]Parámetros!$G$2:$H$23,2,FALSE))</f>
        <v xml:space="preserve">Contratación directa (con ofertas) </v>
      </c>
      <c r="P339" s="141">
        <f t="shared" si="58"/>
        <v>1</v>
      </c>
      <c r="Q339" s="142">
        <f t="shared" ref="Q339" si="60">+E339+F339+G339</f>
        <v>200000000</v>
      </c>
      <c r="R339" s="142">
        <f t="shared" ref="R339" si="61">+F339</f>
        <v>200000000</v>
      </c>
      <c r="S339" s="143" t="s">
        <v>223</v>
      </c>
      <c r="T339" s="139">
        <f t="shared" si="59"/>
        <v>0</v>
      </c>
      <c r="U339" s="48" t="str">
        <f t="shared" si="55"/>
        <v>SUBDIRECCION DE GESTION CONTRACTUAL</v>
      </c>
      <c r="V339" s="132" t="str">
        <f t="shared" si="56"/>
        <v>CO-DC</v>
      </c>
      <c r="W339" s="48" t="str">
        <f t="shared" si="57"/>
        <v>Distrito Capital de Bogotá</v>
      </c>
      <c r="X339" s="144" t="s">
        <v>170</v>
      </c>
      <c r="Y339" s="132">
        <v>2427400</v>
      </c>
      <c r="Z339" s="144" t="s">
        <v>171</v>
      </c>
    </row>
    <row r="340" spans="1:26" s="10" customFormat="1" ht="12.75" customHeight="1" x14ac:dyDescent="0.2">
      <c r="A340" s="132" t="s">
        <v>169</v>
      </c>
      <c r="B340" s="132">
        <v>21</v>
      </c>
      <c r="C340" s="133" t="s">
        <v>425</v>
      </c>
      <c r="D340" s="133" t="s">
        <v>841</v>
      </c>
      <c r="E340" s="129"/>
      <c r="F340" s="129">
        <v>15000000</v>
      </c>
      <c r="G340" s="129"/>
      <c r="H340" s="134" t="s">
        <v>437</v>
      </c>
      <c r="I340" s="135" t="s">
        <v>438</v>
      </c>
      <c r="J340" s="150">
        <v>2</v>
      </c>
      <c r="K340" s="150">
        <v>3</v>
      </c>
      <c r="L340" s="150">
        <v>9</v>
      </c>
      <c r="M340" s="132">
        <f t="shared" si="52"/>
        <v>1</v>
      </c>
      <c r="N340" s="139" t="s">
        <v>43</v>
      </c>
      <c r="O340" s="140" t="str">
        <f>IF(ISBLANK(N340),"",VLOOKUP(N340,[15]Parámetros!$G$2:$H$23,2,FALSE))</f>
        <v>Selección abreviada subasta inversa</v>
      </c>
      <c r="P340" s="141">
        <f t="shared" si="58"/>
        <v>1</v>
      </c>
      <c r="Q340" s="142">
        <f t="shared" si="53"/>
        <v>15000000</v>
      </c>
      <c r="R340" s="142">
        <f t="shared" si="54"/>
        <v>15000000</v>
      </c>
      <c r="S340" s="143" t="s">
        <v>223</v>
      </c>
      <c r="T340" s="139">
        <f t="shared" si="59"/>
        <v>0</v>
      </c>
      <c r="U340" s="48" t="str">
        <f t="shared" si="55"/>
        <v>SUBDIRECCION DE GESTION CONTRACTUAL</v>
      </c>
      <c r="V340" s="132" t="str">
        <f t="shared" si="56"/>
        <v>CO-DC</v>
      </c>
      <c r="W340" s="48" t="str">
        <f t="shared" si="57"/>
        <v>Distrito Capital de Bogotá</v>
      </c>
      <c r="X340" s="144" t="s">
        <v>170</v>
      </c>
      <c r="Y340" s="132">
        <v>2427400</v>
      </c>
      <c r="Z340" s="144" t="s">
        <v>171</v>
      </c>
    </row>
    <row r="341" spans="1:26" s="10" customFormat="1" ht="12.75" customHeight="1" x14ac:dyDescent="0.25">
      <c r="A341" s="132" t="s">
        <v>107</v>
      </c>
      <c r="B341" s="132">
        <v>1</v>
      </c>
      <c r="C341" s="133" t="s">
        <v>108</v>
      </c>
      <c r="D341" s="133" t="s">
        <v>88</v>
      </c>
      <c r="E341" s="129"/>
      <c r="F341" s="129">
        <v>162469701</v>
      </c>
      <c r="G341" s="129"/>
      <c r="H341" s="134" t="s">
        <v>798</v>
      </c>
      <c r="I341" s="135" t="s">
        <v>439</v>
      </c>
      <c r="J341" s="150">
        <v>2</v>
      </c>
      <c r="K341" s="150">
        <v>3</v>
      </c>
      <c r="L341" s="150">
        <v>9</v>
      </c>
      <c r="M341" s="132">
        <f t="shared" si="52"/>
        <v>1</v>
      </c>
      <c r="N341" s="139" t="s">
        <v>36</v>
      </c>
      <c r="O341" s="140" t="str">
        <f>IF(ISBLANK(N341),"",VLOOKUP(N341,[16]Parámetros!$G$2:$H$23,2,FALSE))</f>
        <v xml:space="preserve">Contratación directa (con ofertas) </v>
      </c>
      <c r="P341" s="141">
        <f t="shared" si="58"/>
        <v>1</v>
      </c>
      <c r="Q341" s="142">
        <f t="shared" si="53"/>
        <v>162469701</v>
      </c>
      <c r="R341" s="142">
        <f t="shared" si="54"/>
        <v>162469701</v>
      </c>
      <c r="S341" s="143" t="s">
        <v>223</v>
      </c>
      <c r="T341" s="139">
        <f t="shared" si="59"/>
        <v>0</v>
      </c>
      <c r="U341" s="48" t="str">
        <f t="shared" si="55"/>
        <v>SUBDIRECCION DE GESTION CONTRACTUAL</v>
      </c>
      <c r="V341" s="132" t="str">
        <f t="shared" si="56"/>
        <v>CO-DC</v>
      </c>
      <c r="W341" s="48" t="str">
        <f t="shared" si="57"/>
        <v>Distrito Capital de Bogotá</v>
      </c>
      <c r="X341" s="144" t="s">
        <v>673</v>
      </c>
      <c r="Y341" s="132">
        <v>2427400</v>
      </c>
      <c r="Z341" s="190" t="s">
        <v>667</v>
      </c>
    </row>
    <row r="342" spans="1:26" s="10" customFormat="1" ht="12.75" customHeight="1" x14ac:dyDescent="0.25">
      <c r="A342" s="132" t="s">
        <v>107</v>
      </c>
      <c r="B342" s="132">
        <v>2</v>
      </c>
      <c r="C342" s="133" t="s">
        <v>108</v>
      </c>
      <c r="D342" s="133" t="s">
        <v>88</v>
      </c>
      <c r="E342" s="129"/>
      <c r="F342" s="129">
        <v>177437126</v>
      </c>
      <c r="G342" s="129"/>
      <c r="H342" s="134" t="s">
        <v>798</v>
      </c>
      <c r="I342" s="135" t="s">
        <v>440</v>
      </c>
      <c r="J342" s="150">
        <v>2</v>
      </c>
      <c r="K342" s="150">
        <v>3</v>
      </c>
      <c r="L342" s="150">
        <v>9</v>
      </c>
      <c r="M342" s="132">
        <f t="shared" ref="M342:M405" si="62">IF(ISBLANK(J342),"",1)</f>
        <v>1</v>
      </c>
      <c r="N342" s="139" t="s">
        <v>36</v>
      </c>
      <c r="O342" s="140" t="str">
        <f>IF(ISBLANK(N342),"",VLOOKUP(N342,[16]Parámetros!$G$2:$H$23,2,FALSE))</f>
        <v xml:space="preserve">Contratación directa (con ofertas) </v>
      </c>
      <c r="P342" s="141">
        <f t="shared" si="58"/>
        <v>1</v>
      </c>
      <c r="Q342" s="142">
        <f t="shared" ref="Q342:Q405" si="63">+E342+F342+G342</f>
        <v>177437126</v>
      </c>
      <c r="R342" s="142">
        <f t="shared" ref="R342:R405" si="64">+F342</f>
        <v>177437126</v>
      </c>
      <c r="S342" s="143" t="s">
        <v>223</v>
      </c>
      <c r="T342" s="139">
        <f t="shared" si="59"/>
        <v>0</v>
      </c>
      <c r="U342" s="48" t="str">
        <f t="shared" ref="U342:U405" si="65">IF(ISBLANK(N342),"","SUBDIRECCION DE GESTION CONTRACTUAL")</f>
        <v>SUBDIRECCION DE GESTION CONTRACTUAL</v>
      </c>
      <c r="V342" s="132" t="str">
        <f t="shared" si="56"/>
        <v>CO-DC</v>
      </c>
      <c r="W342" s="48" t="str">
        <f t="shared" si="57"/>
        <v>Distrito Capital de Bogotá</v>
      </c>
      <c r="X342" s="144" t="s">
        <v>673</v>
      </c>
      <c r="Y342" s="132">
        <v>2427400</v>
      </c>
      <c r="Z342" s="190" t="s">
        <v>667</v>
      </c>
    </row>
    <row r="343" spans="1:26" s="10" customFormat="1" ht="12.75" customHeight="1" x14ac:dyDescent="0.25">
      <c r="A343" s="132" t="s">
        <v>107</v>
      </c>
      <c r="B343" s="132">
        <v>3</v>
      </c>
      <c r="C343" s="133" t="s">
        <v>108</v>
      </c>
      <c r="D343" s="133" t="s">
        <v>88</v>
      </c>
      <c r="E343" s="129"/>
      <c r="F343" s="129">
        <v>438490269</v>
      </c>
      <c r="G343" s="129"/>
      <c r="H343" s="134" t="s">
        <v>798</v>
      </c>
      <c r="I343" s="135" t="s">
        <v>441</v>
      </c>
      <c r="J343" s="150">
        <v>2</v>
      </c>
      <c r="K343" s="150">
        <v>3</v>
      </c>
      <c r="L343" s="150">
        <v>9</v>
      </c>
      <c r="M343" s="132">
        <f t="shared" si="62"/>
        <v>1</v>
      </c>
      <c r="N343" s="139" t="s">
        <v>36</v>
      </c>
      <c r="O343" s="140" t="str">
        <f>IF(ISBLANK(N343),"",VLOOKUP(N343,[16]Parámetros!$G$2:$H$23,2,FALSE))</f>
        <v xml:space="preserve">Contratación directa (con ofertas) </v>
      </c>
      <c r="P343" s="141">
        <f t="shared" si="58"/>
        <v>1</v>
      </c>
      <c r="Q343" s="142">
        <f t="shared" si="63"/>
        <v>438490269</v>
      </c>
      <c r="R343" s="142">
        <f t="shared" si="64"/>
        <v>438490269</v>
      </c>
      <c r="S343" s="143" t="s">
        <v>223</v>
      </c>
      <c r="T343" s="139">
        <f t="shared" si="59"/>
        <v>0</v>
      </c>
      <c r="U343" s="48" t="str">
        <f t="shared" si="65"/>
        <v>SUBDIRECCION DE GESTION CONTRACTUAL</v>
      </c>
      <c r="V343" s="132" t="str">
        <f t="shared" si="56"/>
        <v>CO-DC</v>
      </c>
      <c r="W343" s="48" t="str">
        <f t="shared" si="57"/>
        <v>Distrito Capital de Bogotá</v>
      </c>
      <c r="X343" s="144" t="s">
        <v>673</v>
      </c>
      <c r="Y343" s="132">
        <v>2427400</v>
      </c>
      <c r="Z343" s="190" t="s">
        <v>667</v>
      </c>
    </row>
    <row r="344" spans="1:26" s="10" customFormat="1" ht="12.75" customHeight="1" x14ac:dyDescent="0.25">
      <c r="A344" s="132" t="s">
        <v>107</v>
      </c>
      <c r="B344" s="132">
        <v>4</v>
      </c>
      <c r="C344" s="133" t="s">
        <v>108</v>
      </c>
      <c r="D344" s="133" t="s">
        <v>88</v>
      </c>
      <c r="E344" s="129"/>
      <c r="F344" s="129">
        <v>1533271892</v>
      </c>
      <c r="G344" s="129"/>
      <c r="H344" s="134">
        <v>80111600</v>
      </c>
      <c r="I344" s="135" t="s">
        <v>442</v>
      </c>
      <c r="J344" s="150">
        <v>1</v>
      </c>
      <c r="K344" s="150">
        <v>1</v>
      </c>
      <c r="L344" s="150">
        <v>12</v>
      </c>
      <c r="M344" s="132">
        <f t="shared" si="62"/>
        <v>1</v>
      </c>
      <c r="N344" s="139" t="s">
        <v>216</v>
      </c>
      <c r="O344" s="140" t="str">
        <f>IF(ISBLANK(N344),"",VLOOKUP(N344,[16]Parámetros!$G$2:$H$23,2,FALSE))</f>
        <v>Contratación directa.</v>
      </c>
      <c r="P344" s="141">
        <f t="shared" si="58"/>
        <v>1</v>
      </c>
      <c r="Q344" s="142">
        <f t="shared" si="63"/>
        <v>1533271892</v>
      </c>
      <c r="R344" s="142">
        <f t="shared" si="64"/>
        <v>1533271892</v>
      </c>
      <c r="S344" s="143" t="s">
        <v>223</v>
      </c>
      <c r="T344" s="139">
        <f t="shared" si="59"/>
        <v>0</v>
      </c>
      <c r="U344" s="48" t="str">
        <f t="shared" si="65"/>
        <v>SUBDIRECCION DE GESTION CONTRACTUAL</v>
      </c>
      <c r="V344" s="132" t="str">
        <f t="shared" si="56"/>
        <v>CO-DC</v>
      </c>
      <c r="W344" s="48" t="str">
        <f t="shared" si="57"/>
        <v>Distrito Capital de Bogotá</v>
      </c>
      <c r="X344" s="144" t="s">
        <v>673</v>
      </c>
      <c r="Y344" s="132">
        <v>2427400</v>
      </c>
      <c r="Z344" s="190" t="s">
        <v>667</v>
      </c>
    </row>
    <row r="345" spans="1:26" s="10" customFormat="1" ht="12.75" customHeight="1" x14ac:dyDescent="0.2">
      <c r="A345" s="132" t="s">
        <v>107</v>
      </c>
      <c r="B345" s="132">
        <v>5</v>
      </c>
      <c r="C345" s="133" t="s">
        <v>108</v>
      </c>
      <c r="D345" s="133" t="s">
        <v>88</v>
      </c>
      <c r="E345" s="129"/>
      <c r="F345" s="129">
        <v>200000000</v>
      </c>
      <c r="G345" s="129"/>
      <c r="H345" s="134" t="s">
        <v>42</v>
      </c>
      <c r="I345" s="135" t="s">
        <v>443</v>
      </c>
      <c r="J345" s="136">
        <v>3</v>
      </c>
      <c r="K345" s="137">
        <v>4</v>
      </c>
      <c r="L345" s="138">
        <v>9</v>
      </c>
      <c r="M345" s="132">
        <f t="shared" si="62"/>
        <v>1</v>
      </c>
      <c r="N345" s="139" t="s">
        <v>61</v>
      </c>
      <c r="O345" s="140" t="str">
        <f>IF(ISBLANK(N345),"",VLOOKUP(N345,[11]Parámetros!$G$2:$H$23,2,FALSE))</f>
        <v>Contratación régimen especial - Selección de comisionista</v>
      </c>
      <c r="P345" s="141">
        <f t="shared" si="58"/>
        <v>1</v>
      </c>
      <c r="Q345" s="142">
        <f t="shared" si="63"/>
        <v>200000000</v>
      </c>
      <c r="R345" s="142">
        <f t="shared" si="64"/>
        <v>200000000</v>
      </c>
      <c r="S345" s="143" t="s">
        <v>223</v>
      </c>
      <c r="T345" s="139">
        <f t="shared" si="59"/>
        <v>0</v>
      </c>
      <c r="U345" s="48" t="str">
        <f t="shared" si="65"/>
        <v>SUBDIRECCION DE GESTION CONTRACTUAL</v>
      </c>
      <c r="V345" s="132" t="str">
        <f t="shared" si="56"/>
        <v>CO-DC</v>
      </c>
      <c r="W345" s="48" t="str">
        <f t="shared" si="57"/>
        <v>Distrito Capital de Bogotá</v>
      </c>
      <c r="X345" s="144" t="s">
        <v>358</v>
      </c>
      <c r="Y345" s="132">
        <v>2427400</v>
      </c>
      <c r="Z345" s="144" t="s">
        <v>75</v>
      </c>
    </row>
    <row r="346" spans="1:26" s="10" customFormat="1" ht="12.75" customHeight="1" x14ac:dyDescent="0.2">
      <c r="A346" s="132" t="s">
        <v>107</v>
      </c>
      <c r="B346" s="132">
        <v>6</v>
      </c>
      <c r="C346" s="133" t="s">
        <v>108</v>
      </c>
      <c r="D346" s="133" t="s">
        <v>88</v>
      </c>
      <c r="E346" s="129"/>
      <c r="F346" s="129">
        <v>15000000</v>
      </c>
      <c r="G346" s="129"/>
      <c r="H346" s="134" t="s">
        <v>51</v>
      </c>
      <c r="I346" s="135" t="s">
        <v>444</v>
      </c>
      <c r="J346" s="136">
        <v>4</v>
      </c>
      <c r="K346" s="137">
        <v>6</v>
      </c>
      <c r="L346" s="138">
        <v>1</v>
      </c>
      <c r="M346" s="132">
        <f t="shared" si="62"/>
        <v>1</v>
      </c>
      <c r="N346" s="139" t="s">
        <v>43</v>
      </c>
      <c r="O346" s="140" t="str">
        <f>IF(ISBLANK(N346),"",VLOOKUP(N346,[16]Parámetros!$G$2:$H$23,2,FALSE))</f>
        <v>Selección abreviada subasta inversa</v>
      </c>
      <c r="P346" s="141">
        <f t="shared" si="58"/>
        <v>1</v>
      </c>
      <c r="Q346" s="142">
        <f t="shared" si="63"/>
        <v>15000000</v>
      </c>
      <c r="R346" s="142">
        <f t="shared" si="64"/>
        <v>15000000</v>
      </c>
      <c r="S346" s="143" t="s">
        <v>223</v>
      </c>
      <c r="T346" s="139">
        <f t="shared" si="59"/>
        <v>0</v>
      </c>
      <c r="U346" s="48" t="str">
        <f t="shared" si="65"/>
        <v>SUBDIRECCION DE GESTION CONTRACTUAL</v>
      </c>
      <c r="V346" s="132" t="str">
        <f t="shared" si="56"/>
        <v>CO-DC</v>
      </c>
      <c r="W346" s="48" t="str">
        <f t="shared" si="57"/>
        <v>Distrito Capital de Bogotá</v>
      </c>
      <c r="X346" s="144" t="s">
        <v>73</v>
      </c>
      <c r="Y346" s="132">
        <v>2427400</v>
      </c>
      <c r="Z346" s="146" t="s">
        <v>74</v>
      </c>
    </row>
    <row r="347" spans="1:26" s="10" customFormat="1" ht="12.75" customHeight="1" x14ac:dyDescent="0.25">
      <c r="A347" s="132" t="s">
        <v>107</v>
      </c>
      <c r="B347" s="132">
        <v>7</v>
      </c>
      <c r="C347" s="133" t="s">
        <v>108</v>
      </c>
      <c r="D347" s="133" t="s">
        <v>88</v>
      </c>
      <c r="E347" s="129"/>
      <c r="F347" s="129">
        <v>154400000</v>
      </c>
      <c r="G347" s="129"/>
      <c r="H347" s="134" t="s">
        <v>103</v>
      </c>
      <c r="I347" s="135" t="s">
        <v>632</v>
      </c>
      <c r="J347" s="136">
        <v>2</v>
      </c>
      <c r="K347" s="137">
        <v>3</v>
      </c>
      <c r="L347" s="138">
        <v>10</v>
      </c>
      <c r="M347" s="132">
        <f t="shared" si="62"/>
        <v>1</v>
      </c>
      <c r="N347" s="139" t="s">
        <v>36</v>
      </c>
      <c r="O347" s="140" t="str">
        <f>IF(ISBLANK(N347),"",VLOOKUP(N347,[1]Parámetros!$G$2:$H$23,2,FALSE))</f>
        <v xml:space="preserve">Contratación directa (con ofertas) </v>
      </c>
      <c r="P347" s="141">
        <f t="shared" si="58"/>
        <v>1</v>
      </c>
      <c r="Q347" s="142">
        <f t="shared" si="63"/>
        <v>154400000</v>
      </c>
      <c r="R347" s="142">
        <f t="shared" si="64"/>
        <v>154400000</v>
      </c>
      <c r="S347" s="143" t="s">
        <v>226</v>
      </c>
      <c r="T347" s="139">
        <f t="shared" si="59"/>
        <v>3</v>
      </c>
      <c r="U347" s="48" t="str">
        <f t="shared" si="65"/>
        <v>SUBDIRECCION DE GESTION CONTRACTUAL</v>
      </c>
      <c r="V347" s="132" t="str">
        <f t="shared" si="56"/>
        <v>CO-DC</v>
      </c>
      <c r="W347" s="48" t="str">
        <f t="shared" si="57"/>
        <v>Distrito Capital de Bogotá</v>
      </c>
      <c r="X347" s="144" t="s">
        <v>673</v>
      </c>
      <c r="Y347" s="132">
        <v>2427400</v>
      </c>
      <c r="Z347" s="190" t="s">
        <v>667</v>
      </c>
    </row>
    <row r="348" spans="1:26" s="10" customFormat="1" ht="12.75" customHeight="1" x14ac:dyDescent="0.2">
      <c r="A348" s="132" t="s">
        <v>107</v>
      </c>
      <c r="B348" s="132">
        <v>8</v>
      </c>
      <c r="C348" s="133" t="s">
        <v>108</v>
      </c>
      <c r="D348" s="133" t="s">
        <v>88</v>
      </c>
      <c r="E348" s="129"/>
      <c r="F348" s="129">
        <v>25000000</v>
      </c>
      <c r="G348" s="129"/>
      <c r="H348" s="134" t="s">
        <v>249</v>
      </c>
      <c r="I348" s="135" t="s">
        <v>642</v>
      </c>
      <c r="J348" s="150">
        <v>3</v>
      </c>
      <c r="K348" s="150">
        <v>4</v>
      </c>
      <c r="L348" s="150">
        <v>8</v>
      </c>
      <c r="M348" s="132">
        <f t="shared" si="62"/>
        <v>1</v>
      </c>
      <c r="N348" s="139" t="s">
        <v>53</v>
      </c>
      <c r="O348" s="140" t="str">
        <f>IF(ISBLANK(N348),"",VLOOKUP(N348,[16]Parámetros!$G$2:$H$23,2,FALSE))</f>
        <v>Seléccion abreviada - acuerdo marco</v>
      </c>
      <c r="P348" s="141">
        <f t="shared" si="58"/>
        <v>1</v>
      </c>
      <c r="Q348" s="142">
        <f t="shared" si="63"/>
        <v>25000000</v>
      </c>
      <c r="R348" s="142">
        <f t="shared" si="64"/>
        <v>25000000</v>
      </c>
      <c r="S348" s="143" t="s">
        <v>223</v>
      </c>
      <c r="T348" s="139">
        <f t="shared" si="59"/>
        <v>0</v>
      </c>
      <c r="U348" s="48" t="str">
        <f t="shared" si="65"/>
        <v>SUBDIRECCION DE GESTION CONTRACTUAL</v>
      </c>
      <c r="V348" s="132" t="str">
        <f t="shared" si="56"/>
        <v>CO-DC</v>
      </c>
      <c r="W348" s="48" t="str">
        <f t="shared" si="57"/>
        <v>Distrito Capital de Bogotá</v>
      </c>
      <c r="X348" s="144" t="s">
        <v>77</v>
      </c>
      <c r="Y348" s="132">
        <v>2427400</v>
      </c>
      <c r="Z348" s="144" t="s">
        <v>78</v>
      </c>
    </row>
    <row r="349" spans="1:26" s="10" customFormat="1" ht="12.75" customHeight="1" x14ac:dyDescent="0.2">
      <c r="A349" s="132" t="s">
        <v>107</v>
      </c>
      <c r="B349" s="132">
        <v>9</v>
      </c>
      <c r="C349" s="133" t="s">
        <v>108</v>
      </c>
      <c r="D349" s="133" t="s">
        <v>88</v>
      </c>
      <c r="E349" s="129"/>
      <c r="F349" s="129">
        <v>50000000</v>
      </c>
      <c r="G349" s="129"/>
      <c r="H349" s="134" t="s">
        <v>239</v>
      </c>
      <c r="I349" s="135" t="s">
        <v>445</v>
      </c>
      <c r="J349" s="150">
        <v>2</v>
      </c>
      <c r="K349" s="150">
        <v>3</v>
      </c>
      <c r="L349" s="150">
        <v>4</v>
      </c>
      <c r="M349" s="132">
        <f t="shared" si="62"/>
        <v>1</v>
      </c>
      <c r="N349" s="139" t="s">
        <v>43</v>
      </c>
      <c r="O349" s="140" t="str">
        <f>IF(ISBLANK(N349),"",VLOOKUP(N349,[16]Parámetros!$G$2:$H$23,2,FALSE))</f>
        <v>Selección abreviada subasta inversa</v>
      </c>
      <c r="P349" s="141">
        <f t="shared" si="58"/>
        <v>1</v>
      </c>
      <c r="Q349" s="142">
        <f t="shared" si="63"/>
        <v>50000000</v>
      </c>
      <c r="R349" s="142">
        <f t="shared" si="64"/>
        <v>50000000</v>
      </c>
      <c r="S349" s="143" t="s">
        <v>223</v>
      </c>
      <c r="T349" s="139">
        <f t="shared" si="59"/>
        <v>0</v>
      </c>
      <c r="U349" s="48" t="str">
        <f t="shared" si="65"/>
        <v>SUBDIRECCION DE GESTION CONTRACTUAL</v>
      </c>
      <c r="V349" s="132" t="str">
        <f t="shared" si="56"/>
        <v>CO-DC</v>
      </c>
      <c r="W349" s="48" t="str">
        <f t="shared" si="57"/>
        <v>Distrito Capital de Bogotá</v>
      </c>
      <c r="X349" s="144" t="s">
        <v>331</v>
      </c>
      <c r="Y349" s="132">
        <v>2427400</v>
      </c>
      <c r="Z349" s="146" t="s">
        <v>94</v>
      </c>
    </row>
    <row r="350" spans="1:26" s="10" customFormat="1" ht="12.75" customHeight="1" x14ac:dyDescent="0.25">
      <c r="A350" s="132" t="s">
        <v>107</v>
      </c>
      <c r="B350" s="132">
        <v>10</v>
      </c>
      <c r="C350" s="133" t="s">
        <v>110</v>
      </c>
      <c r="D350" s="133" t="s">
        <v>109</v>
      </c>
      <c r="E350" s="129"/>
      <c r="F350" s="129">
        <v>365899947</v>
      </c>
      <c r="G350" s="129"/>
      <c r="H350" s="134" t="s">
        <v>798</v>
      </c>
      <c r="I350" s="135" t="s">
        <v>446</v>
      </c>
      <c r="J350" s="150">
        <v>2</v>
      </c>
      <c r="K350" s="150">
        <v>3</v>
      </c>
      <c r="L350" s="150">
        <v>9</v>
      </c>
      <c r="M350" s="132">
        <f t="shared" si="62"/>
        <v>1</v>
      </c>
      <c r="N350" s="139" t="s">
        <v>36</v>
      </c>
      <c r="O350" s="140" t="str">
        <f>IF(ISBLANK(N350),"",VLOOKUP(N350,[16]Parámetros!$G$2:$H$23,2,FALSE))</f>
        <v xml:space="preserve">Contratación directa (con ofertas) </v>
      </c>
      <c r="P350" s="141">
        <f t="shared" si="58"/>
        <v>1</v>
      </c>
      <c r="Q350" s="142">
        <f t="shared" si="63"/>
        <v>365899947</v>
      </c>
      <c r="R350" s="142">
        <f t="shared" si="64"/>
        <v>365899947</v>
      </c>
      <c r="S350" s="143" t="s">
        <v>223</v>
      </c>
      <c r="T350" s="139">
        <f t="shared" si="59"/>
        <v>0</v>
      </c>
      <c r="U350" s="48" t="str">
        <f t="shared" si="65"/>
        <v>SUBDIRECCION DE GESTION CONTRACTUAL</v>
      </c>
      <c r="V350" s="132" t="str">
        <f t="shared" si="56"/>
        <v>CO-DC</v>
      </c>
      <c r="W350" s="48" t="str">
        <f t="shared" si="57"/>
        <v>Distrito Capital de Bogotá</v>
      </c>
      <c r="X350" s="144" t="s">
        <v>673</v>
      </c>
      <c r="Y350" s="132">
        <v>2427400</v>
      </c>
      <c r="Z350" s="190" t="s">
        <v>667</v>
      </c>
    </row>
    <row r="351" spans="1:26" s="10" customFormat="1" ht="12.75" customHeight="1" x14ac:dyDescent="0.25">
      <c r="A351" s="132" t="s">
        <v>107</v>
      </c>
      <c r="B351" s="132">
        <v>11</v>
      </c>
      <c r="C351" s="133" t="s">
        <v>110</v>
      </c>
      <c r="D351" s="133" t="s">
        <v>109</v>
      </c>
      <c r="E351" s="129"/>
      <c r="F351" s="129">
        <v>404480842</v>
      </c>
      <c r="G351" s="129"/>
      <c r="H351" s="134" t="s">
        <v>798</v>
      </c>
      <c r="I351" s="135" t="s">
        <v>447</v>
      </c>
      <c r="J351" s="150">
        <v>2</v>
      </c>
      <c r="K351" s="150">
        <v>3</v>
      </c>
      <c r="L351" s="150">
        <v>9</v>
      </c>
      <c r="M351" s="132">
        <f t="shared" si="62"/>
        <v>1</v>
      </c>
      <c r="N351" s="139" t="s">
        <v>36</v>
      </c>
      <c r="O351" s="140" t="str">
        <f>IF(ISBLANK(N351),"",VLOOKUP(N351,[16]Parámetros!$G$2:$H$23,2,FALSE))</f>
        <v xml:space="preserve">Contratación directa (con ofertas) </v>
      </c>
      <c r="P351" s="141">
        <f t="shared" si="58"/>
        <v>1</v>
      </c>
      <c r="Q351" s="142">
        <f t="shared" si="63"/>
        <v>404480842</v>
      </c>
      <c r="R351" s="142">
        <f t="shared" si="64"/>
        <v>404480842</v>
      </c>
      <c r="S351" s="143" t="s">
        <v>223</v>
      </c>
      <c r="T351" s="139">
        <f t="shared" si="59"/>
        <v>0</v>
      </c>
      <c r="U351" s="48" t="str">
        <f t="shared" si="65"/>
        <v>SUBDIRECCION DE GESTION CONTRACTUAL</v>
      </c>
      <c r="V351" s="132" t="str">
        <f t="shared" si="56"/>
        <v>CO-DC</v>
      </c>
      <c r="W351" s="48" t="str">
        <f t="shared" si="57"/>
        <v>Distrito Capital de Bogotá</v>
      </c>
      <c r="X351" s="144" t="s">
        <v>673</v>
      </c>
      <c r="Y351" s="132">
        <v>2427400</v>
      </c>
      <c r="Z351" s="190" t="s">
        <v>667</v>
      </c>
    </row>
    <row r="352" spans="1:26" s="10" customFormat="1" ht="12.75" customHeight="1" x14ac:dyDescent="0.25">
      <c r="A352" s="132" t="s">
        <v>107</v>
      </c>
      <c r="B352" s="132">
        <v>12</v>
      </c>
      <c r="C352" s="133" t="s">
        <v>110</v>
      </c>
      <c r="D352" s="133" t="s">
        <v>88</v>
      </c>
      <c r="E352" s="129"/>
      <c r="F352" s="129">
        <v>87602275</v>
      </c>
      <c r="G352" s="129"/>
      <c r="H352" s="134" t="s">
        <v>798</v>
      </c>
      <c r="I352" s="135" t="s">
        <v>448</v>
      </c>
      <c r="J352" s="150">
        <v>2</v>
      </c>
      <c r="K352" s="150">
        <v>3</v>
      </c>
      <c r="L352" s="150">
        <v>9</v>
      </c>
      <c r="M352" s="132">
        <f t="shared" si="62"/>
        <v>1</v>
      </c>
      <c r="N352" s="139" t="s">
        <v>36</v>
      </c>
      <c r="O352" s="140" t="str">
        <f>IF(ISBLANK(N352),"",VLOOKUP(N352,[16]Parámetros!$G$2:$H$23,2,FALSE))</f>
        <v xml:space="preserve">Contratación directa (con ofertas) </v>
      </c>
      <c r="P352" s="141">
        <f t="shared" si="58"/>
        <v>1</v>
      </c>
      <c r="Q352" s="142">
        <f t="shared" si="63"/>
        <v>87602275</v>
      </c>
      <c r="R352" s="142">
        <f t="shared" si="64"/>
        <v>87602275</v>
      </c>
      <c r="S352" s="143" t="s">
        <v>223</v>
      </c>
      <c r="T352" s="139">
        <f t="shared" si="59"/>
        <v>0</v>
      </c>
      <c r="U352" s="48" t="str">
        <f t="shared" si="65"/>
        <v>SUBDIRECCION DE GESTION CONTRACTUAL</v>
      </c>
      <c r="V352" s="132" t="str">
        <f t="shared" si="56"/>
        <v>CO-DC</v>
      </c>
      <c r="W352" s="48" t="str">
        <f t="shared" si="57"/>
        <v>Distrito Capital de Bogotá</v>
      </c>
      <c r="X352" s="144" t="s">
        <v>673</v>
      </c>
      <c r="Y352" s="132">
        <v>2427400</v>
      </c>
      <c r="Z352" s="190" t="s">
        <v>667</v>
      </c>
    </row>
    <row r="353" spans="1:85" s="10" customFormat="1" ht="12.75" customHeight="1" x14ac:dyDescent="0.25">
      <c r="A353" s="132" t="s">
        <v>107</v>
      </c>
      <c r="B353" s="132">
        <v>13</v>
      </c>
      <c r="C353" s="133" t="s">
        <v>110</v>
      </c>
      <c r="D353" s="133" t="s">
        <v>109</v>
      </c>
      <c r="E353" s="129"/>
      <c r="F353" s="129">
        <v>191609926</v>
      </c>
      <c r="G353" s="129"/>
      <c r="H353" s="134" t="s">
        <v>798</v>
      </c>
      <c r="I353" s="135" t="s">
        <v>449</v>
      </c>
      <c r="J353" s="150">
        <v>2</v>
      </c>
      <c r="K353" s="150">
        <v>3</v>
      </c>
      <c r="L353" s="150">
        <v>9</v>
      </c>
      <c r="M353" s="132">
        <f t="shared" si="62"/>
        <v>1</v>
      </c>
      <c r="N353" s="139" t="s">
        <v>36</v>
      </c>
      <c r="O353" s="140" t="str">
        <f>IF(ISBLANK(N353),"",VLOOKUP(N353,[16]Parámetros!$G$2:$H$23,2,FALSE))</f>
        <v xml:space="preserve">Contratación directa (con ofertas) </v>
      </c>
      <c r="P353" s="141">
        <f t="shared" si="58"/>
        <v>1</v>
      </c>
      <c r="Q353" s="142">
        <f t="shared" si="63"/>
        <v>191609926</v>
      </c>
      <c r="R353" s="142">
        <f t="shared" si="64"/>
        <v>191609926</v>
      </c>
      <c r="S353" s="143" t="s">
        <v>223</v>
      </c>
      <c r="T353" s="139">
        <f t="shared" si="59"/>
        <v>0</v>
      </c>
      <c r="U353" s="48" t="str">
        <f t="shared" si="65"/>
        <v>SUBDIRECCION DE GESTION CONTRACTUAL</v>
      </c>
      <c r="V353" s="132" t="str">
        <f t="shared" si="56"/>
        <v>CO-DC</v>
      </c>
      <c r="W353" s="48" t="str">
        <f t="shared" si="57"/>
        <v>Distrito Capital de Bogotá</v>
      </c>
      <c r="X353" s="144" t="s">
        <v>673</v>
      </c>
      <c r="Y353" s="132">
        <v>2427400</v>
      </c>
      <c r="Z353" s="190" t="s">
        <v>667</v>
      </c>
    </row>
    <row r="354" spans="1:85" s="10" customFormat="1" ht="12.75" customHeight="1" x14ac:dyDescent="0.25">
      <c r="A354" s="132" t="s">
        <v>107</v>
      </c>
      <c r="B354" s="132">
        <v>14</v>
      </c>
      <c r="C354" s="133" t="s">
        <v>110</v>
      </c>
      <c r="D354" s="133" t="s">
        <v>88</v>
      </c>
      <c r="E354" s="129"/>
      <c r="F354" s="129">
        <v>300000000</v>
      </c>
      <c r="G354" s="129"/>
      <c r="H354" s="134" t="s">
        <v>798</v>
      </c>
      <c r="I354" s="135" t="s">
        <v>450</v>
      </c>
      <c r="J354" s="150">
        <v>2</v>
      </c>
      <c r="K354" s="150">
        <v>3</v>
      </c>
      <c r="L354" s="150">
        <v>9</v>
      </c>
      <c r="M354" s="132">
        <f t="shared" si="62"/>
        <v>1</v>
      </c>
      <c r="N354" s="139" t="s">
        <v>36</v>
      </c>
      <c r="O354" s="140" t="str">
        <f>IF(ISBLANK(N354),"",VLOOKUP(N354,[16]Parámetros!$G$2:$H$23,2,FALSE))</f>
        <v xml:space="preserve">Contratación directa (con ofertas) </v>
      </c>
      <c r="P354" s="141">
        <f t="shared" ref="P354:P385" si="66">IF(ISBLANK(N354),"",1)</f>
        <v>1</v>
      </c>
      <c r="Q354" s="142">
        <f t="shared" si="63"/>
        <v>300000000</v>
      </c>
      <c r="R354" s="142">
        <f t="shared" si="64"/>
        <v>300000000</v>
      </c>
      <c r="S354" s="143" t="s">
        <v>223</v>
      </c>
      <c r="T354" s="139">
        <f t="shared" ref="T354:T385" si="67">IF(ISBLANK(S354),"",IF(VALUE(S354)=0,0,IF(VALUE(S354)=1,3,"")))</f>
        <v>0</v>
      </c>
      <c r="U354" s="48" t="str">
        <f t="shared" si="65"/>
        <v>SUBDIRECCION DE GESTION CONTRACTUAL</v>
      </c>
      <c r="V354" s="132" t="str">
        <f t="shared" si="56"/>
        <v>CO-DC</v>
      </c>
      <c r="W354" s="48" t="str">
        <f t="shared" si="57"/>
        <v>Distrito Capital de Bogotá</v>
      </c>
      <c r="X354" s="144" t="s">
        <v>673</v>
      </c>
      <c r="Y354" s="132">
        <v>2427400</v>
      </c>
      <c r="Z354" s="190" t="s">
        <v>667</v>
      </c>
    </row>
    <row r="355" spans="1:85" s="10" customFormat="1" ht="12.75" customHeight="1" x14ac:dyDescent="0.25">
      <c r="A355" s="132" t="s">
        <v>107</v>
      </c>
      <c r="B355" s="132">
        <v>15</v>
      </c>
      <c r="C355" s="133" t="s">
        <v>110</v>
      </c>
      <c r="D355" s="133" t="s">
        <v>88</v>
      </c>
      <c r="E355" s="129"/>
      <c r="F355" s="129">
        <v>742800000</v>
      </c>
      <c r="G355" s="129"/>
      <c r="H355" s="134" t="s">
        <v>798</v>
      </c>
      <c r="I355" s="135" t="s">
        <v>451</v>
      </c>
      <c r="J355" s="150">
        <v>2</v>
      </c>
      <c r="K355" s="150">
        <v>3</v>
      </c>
      <c r="L355" s="150">
        <v>9</v>
      </c>
      <c r="M355" s="132">
        <f t="shared" si="62"/>
        <v>1</v>
      </c>
      <c r="N355" s="139" t="s">
        <v>36</v>
      </c>
      <c r="O355" s="140" t="str">
        <f>IF(ISBLANK(N355),"",VLOOKUP(N355,[16]Parámetros!$G$2:$H$23,2,FALSE))</f>
        <v xml:space="preserve">Contratación directa (con ofertas) </v>
      </c>
      <c r="P355" s="141">
        <f t="shared" si="66"/>
        <v>1</v>
      </c>
      <c r="Q355" s="142">
        <f t="shared" si="63"/>
        <v>742800000</v>
      </c>
      <c r="R355" s="142">
        <f t="shared" si="64"/>
        <v>742800000</v>
      </c>
      <c r="S355" s="143" t="s">
        <v>223</v>
      </c>
      <c r="T355" s="139">
        <f t="shared" si="67"/>
        <v>0</v>
      </c>
      <c r="U355" s="48" t="str">
        <f t="shared" si="65"/>
        <v>SUBDIRECCION DE GESTION CONTRACTUAL</v>
      </c>
      <c r="V355" s="132" t="str">
        <f t="shared" si="56"/>
        <v>CO-DC</v>
      </c>
      <c r="W355" s="48" t="str">
        <f t="shared" si="57"/>
        <v>Distrito Capital de Bogotá</v>
      </c>
      <c r="X355" s="144" t="s">
        <v>673</v>
      </c>
      <c r="Y355" s="132">
        <v>2427400</v>
      </c>
      <c r="Z355" s="190" t="s">
        <v>667</v>
      </c>
    </row>
    <row r="356" spans="1:85" s="10" customFormat="1" ht="12.75" customHeight="1" x14ac:dyDescent="0.25">
      <c r="A356" s="132" t="s">
        <v>107</v>
      </c>
      <c r="B356" s="132">
        <v>16</v>
      </c>
      <c r="C356" s="133" t="s">
        <v>111</v>
      </c>
      <c r="D356" s="133" t="s">
        <v>109</v>
      </c>
      <c r="E356" s="129"/>
      <c r="F356" s="129">
        <v>54798795</v>
      </c>
      <c r="G356" s="129"/>
      <c r="H356" s="134" t="s">
        <v>798</v>
      </c>
      <c r="I356" s="135" t="s">
        <v>452</v>
      </c>
      <c r="J356" s="150">
        <v>2</v>
      </c>
      <c r="K356" s="150">
        <v>3</v>
      </c>
      <c r="L356" s="150">
        <v>9</v>
      </c>
      <c r="M356" s="132">
        <f t="shared" si="62"/>
        <v>1</v>
      </c>
      <c r="N356" s="139" t="s">
        <v>36</v>
      </c>
      <c r="O356" s="140" t="str">
        <f>IF(ISBLANK(N356),"",VLOOKUP(N356,[16]Parámetros!$G$2:$H$23,2,FALSE))</f>
        <v xml:space="preserve">Contratación directa (con ofertas) </v>
      </c>
      <c r="P356" s="141">
        <f t="shared" si="66"/>
        <v>1</v>
      </c>
      <c r="Q356" s="142">
        <f t="shared" si="63"/>
        <v>54798795</v>
      </c>
      <c r="R356" s="142">
        <f t="shared" si="64"/>
        <v>54798795</v>
      </c>
      <c r="S356" s="143" t="s">
        <v>223</v>
      </c>
      <c r="T356" s="139">
        <f t="shared" si="67"/>
        <v>0</v>
      </c>
      <c r="U356" s="48" t="str">
        <f t="shared" si="65"/>
        <v>SUBDIRECCION DE GESTION CONTRACTUAL</v>
      </c>
      <c r="V356" s="132" t="str">
        <f t="shared" si="56"/>
        <v>CO-DC</v>
      </c>
      <c r="W356" s="48" t="str">
        <f t="shared" si="57"/>
        <v>Distrito Capital de Bogotá</v>
      </c>
      <c r="X356" s="144" t="s">
        <v>673</v>
      </c>
      <c r="Y356" s="132">
        <v>2427400</v>
      </c>
      <c r="Z356" s="190" t="s">
        <v>667</v>
      </c>
    </row>
    <row r="357" spans="1:85" s="10" customFormat="1" ht="12.75" customHeight="1" x14ac:dyDescent="0.25">
      <c r="A357" s="132" t="s">
        <v>107</v>
      </c>
      <c r="B357" s="132">
        <v>17</v>
      </c>
      <c r="C357" s="133" t="s">
        <v>111</v>
      </c>
      <c r="D357" s="133" t="s">
        <v>109</v>
      </c>
      <c r="E357" s="129"/>
      <c r="F357" s="129">
        <v>81548796</v>
      </c>
      <c r="G357" s="129"/>
      <c r="H357" s="134" t="s">
        <v>798</v>
      </c>
      <c r="I357" s="135" t="s">
        <v>453</v>
      </c>
      <c r="J357" s="150">
        <v>2</v>
      </c>
      <c r="K357" s="150">
        <v>3</v>
      </c>
      <c r="L357" s="150">
        <v>9</v>
      </c>
      <c r="M357" s="132">
        <f t="shared" si="62"/>
        <v>1</v>
      </c>
      <c r="N357" s="139" t="s">
        <v>36</v>
      </c>
      <c r="O357" s="140" t="str">
        <f>IF(ISBLANK(N357),"",VLOOKUP(N357,[16]Parámetros!$G$2:$H$23,2,FALSE))</f>
        <v xml:space="preserve">Contratación directa (con ofertas) </v>
      </c>
      <c r="P357" s="141">
        <f t="shared" si="66"/>
        <v>1</v>
      </c>
      <c r="Q357" s="142">
        <f t="shared" si="63"/>
        <v>81548796</v>
      </c>
      <c r="R357" s="142">
        <f t="shared" si="64"/>
        <v>81548796</v>
      </c>
      <c r="S357" s="143" t="s">
        <v>223</v>
      </c>
      <c r="T357" s="139">
        <f t="shared" si="67"/>
        <v>0</v>
      </c>
      <c r="U357" s="48" t="str">
        <f t="shared" si="65"/>
        <v>SUBDIRECCION DE GESTION CONTRACTUAL</v>
      </c>
      <c r="V357" s="132" t="str">
        <f t="shared" si="56"/>
        <v>CO-DC</v>
      </c>
      <c r="W357" s="48" t="str">
        <f t="shared" si="57"/>
        <v>Distrito Capital de Bogotá</v>
      </c>
      <c r="X357" s="144" t="s">
        <v>673</v>
      </c>
      <c r="Y357" s="132">
        <v>2427400</v>
      </c>
      <c r="Z357" s="190" t="s">
        <v>667</v>
      </c>
    </row>
    <row r="358" spans="1:85" s="10" customFormat="1" ht="12.75" customHeight="1" x14ac:dyDescent="0.25">
      <c r="A358" s="132" t="s">
        <v>107</v>
      </c>
      <c r="B358" s="132">
        <v>18</v>
      </c>
      <c r="C358" s="133" t="s">
        <v>111</v>
      </c>
      <c r="D358" s="133" t="s">
        <v>88</v>
      </c>
      <c r="E358" s="129"/>
      <c r="F358" s="129">
        <v>3625228068</v>
      </c>
      <c r="G358" s="129"/>
      <c r="H358" s="134" t="s">
        <v>798</v>
      </c>
      <c r="I358" s="135" t="s">
        <v>454</v>
      </c>
      <c r="J358" s="150">
        <v>2</v>
      </c>
      <c r="K358" s="150">
        <v>3</v>
      </c>
      <c r="L358" s="150">
        <v>9</v>
      </c>
      <c r="M358" s="132">
        <f t="shared" si="62"/>
        <v>1</v>
      </c>
      <c r="N358" s="139" t="s">
        <v>36</v>
      </c>
      <c r="O358" s="140" t="str">
        <f>IF(ISBLANK(N358),"",VLOOKUP(N358,[16]Parámetros!$G$2:$H$23,2,FALSE))</f>
        <v xml:space="preserve">Contratación directa (con ofertas) </v>
      </c>
      <c r="P358" s="141">
        <f t="shared" si="66"/>
        <v>1</v>
      </c>
      <c r="Q358" s="142">
        <f t="shared" si="63"/>
        <v>3625228068</v>
      </c>
      <c r="R358" s="142">
        <f t="shared" si="64"/>
        <v>3625228068</v>
      </c>
      <c r="S358" s="143" t="s">
        <v>223</v>
      </c>
      <c r="T358" s="139">
        <f t="shared" si="67"/>
        <v>0</v>
      </c>
      <c r="U358" s="48" t="str">
        <f t="shared" si="65"/>
        <v>SUBDIRECCION DE GESTION CONTRACTUAL</v>
      </c>
      <c r="V358" s="132" t="str">
        <f t="shared" si="56"/>
        <v>CO-DC</v>
      </c>
      <c r="W358" s="48" t="str">
        <f t="shared" si="57"/>
        <v>Distrito Capital de Bogotá</v>
      </c>
      <c r="X358" s="144" t="s">
        <v>673</v>
      </c>
      <c r="Y358" s="132">
        <v>2427400</v>
      </c>
      <c r="Z358" s="190" t="s">
        <v>667</v>
      </c>
    </row>
    <row r="359" spans="1:85" s="10" customFormat="1" ht="12.75" customHeight="1" x14ac:dyDescent="0.25">
      <c r="A359" s="132" t="s">
        <v>107</v>
      </c>
      <c r="B359" s="132">
        <v>19</v>
      </c>
      <c r="C359" s="133" t="s">
        <v>111</v>
      </c>
      <c r="D359" s="133" t="s">
        <v>109</v>
      </c>
      <c r="E359" s="129"/>
      <c r="F359" s="129">
        <v>707908984</v>
      </c>
      <c r="G359" s="129"/>
      <c r="H359" s="134" t="s">
        <v>798</v>
      </c>
      <c r="I359" s="135" t="s">
        <v>455</v>
      </c>
      <c r="J359" s="150">
        <v>2</v>
      </c>
      <c r="K359" s="150">
        <v>3</v>
      </c>
      <c r="L359" s="150">
        <v>9</v>
      </c>
      <c r="M359" s="132">
        <f t="shared" si="62"/>
        <v>1</v>
      </c>
      <c r="N359" s="139" t="s">
        <v>36</v>
      </c>
      <c r="O359" s="140" t="str">
        <f>IF(ISBLANK(N359),"",VLOOKUP(N359,[16]Parámetros!$G$2:$H$23,2,FALSE))</f>
        <v xml:space="preserve">Contratación directa (con ofertas) </v>
      </c>
      <c r="P359" s="141">
        <f t="shared" si="66"/>
        <v>1</v>
      </c>
      <c r="Q359" s="142">
        <f t="shared" si="63"/>
        <v>707908984</v>
      </c>
      <c r="R359" s="142">
        <f t="shared" si="64"/>
        <v>707908984</v>
      </c>
      <c r="S359" s="143" t="s">
        <v>223</v>
      </c>
      <c r="T359" s="139">
        <f t="shared" si="67"/>
        <v>0</v>
      </c>
      <c r="U359" s="48" t="str">
        <f t="shared" si="65"/>
        <v>SUBDIRECCION DE GESTION CONTRACTUAL</v>
      </c>
      <c r="V359" s="132" t="str">
        <f t="shared" si="56"/>
        <v>CO-DC</v>
      </c>
      <c r="W359" s="48" t="str">
        <f t="shared" si="57"/>
        <v>Distrito Capital de Bogotá</v>
      </c>
      <c r="X359" s="144" t="s">
        <v>673</v>
      </c>
      <c r="Y359" s="132">
        <v>2427400</v>
      </c>
      <c r="Z359" s="190" t="s">
        <v>667</v>
      </c>
    </row>
    <row r="360" spans="1:85" s="10" customFormat="1" ht="12.75" customHeight="1" x14ac:dyDescent="0.25">
      <c r="A360" s="132" t="s">
        <v>107</v>
      </c>
      <c r="B360" s="132">
        <v>20</v>
      </c>
      <c r="C360" s="133" t="s">
        <v>111</v>
      </c>
      <c r="D360" s="133" t="s">
        <v>109</v>
      </c>
      <c r="E360" s="129"/>
      <c r="F360" s="129">
        <v>239070300</v>
      </c>
      <c r="G360" s="129"/>
      <c r="H360" s="134" t="s">
        <v>798</v>
      </c>
      <c r="I360" s="135" t="s">
        <v>456</v>
      </c>
      <c r="J360" s="150">
        <v>2</v>
      </c>
      <c r="K360" s="150">
        <v>3</v>
      </c>
      <c r="L360" s="150">
        <v>9</v>
      </c>
      <c r="M360" s="132">
        <f t="shared" si="62"/>
        <v>1</v>
      </c>
      <c r="N360" s="139" t="s">
        <v>36</v>
      </c>
      <c r="O360" s="140" t="str">
        <f>IF(ISBLANK(N360),"",VLOOKUP(N360,[16]Parámetros!$G$2:$H$23,2,FALSE))</f>
        <v xml:space="preserve">Contratación directa (con ofertas) </v>
      </c>
      <c r="P360" s="141">
        <f t="shared" si="66"/>
        <v>1</v>
      </c>
      <c r="Q360" s="142">
        <f t="shared" si="63"/>
        <v>239070300</v>
      </c>
      <c r="R360" s="142">
        <f t="shared" si="64"/>
        <v>239070300</v>
      </c>
      <c r="S360" s="143" t="s">
        <v>223</v>
      </c>
      <c r="T360" s="139">
        <f t="shared" si="67"/>
        <v>0</v>
      </c>
      <c r="U360" s="48" t="str">
        <f t="shared" si="65"/>
        <v>SUBDIRECCION DE GESTION CONTRACTUAL</v>
      </c>
      <c r="V360" s="132" t="str">
        <f t="shared" si="56"/>
        <v>CO-DC</v>
      </c>
      <c r="W360" s="48" t="str">
        <f t="shared" si="57"/>
        <v>Distrito Capital de Bogotá</v>
      </c>
      <c r="X360" s="144" t="s">
        <v>673</v>
      </c>
      <c r="Y360" s="132">
        <v>2427400</v>
      </c>
      <c r="Z360" s="190" t="s">
        <v>667</v>
      </c>
    </row>
    <row r="361" spans="1:85" s="10" customFormat="1" ht="12.75" customHeight="1" x14ac:dyDescent="0.25">
      <c r="A361" s="132" t="s">
        <v>107</v>
      </c>
      <c r="B361" s="132">
        <v>21</v>
      </c>
      <c r="C361" s="133" t="s">
        <v>457</v>
      </c>
      <c r="D361" s="133" t="s">
        <v>109</v>
      </c>
      <c r="E361" s="129"/>
      <c r="F361" s="129">
        <v>377537308</v>
      </c>
      <c r="G361" s="129"/>
      <c r="H361" s="134" t="s">
        <v>798</v>
      </c>
      <c r="I361" s="135" t="s">
        <v>458</v>
      </c>
      <c r="J361" s="150">
        <v>2</v>
      </c>
      <c r="K361" s="150">
        <v>3</v>
      </c>
      <c r="L361" s="150">
        <v>9</v>
      </c>
      <c r="M361" s="132">
        <f t="shared" si="62"/>
        <v>1</v>
      </c>
      <c r="N361" s="139" t="s">
        <v>36</v>
      </c>
      <c r="O361" s="140" t="str">
        <f>IF(ISBLANK(N361),"",VLOOKUP(N361,[16]Parámetros!$G$2:$H$23,2,FALSE))</f>
        <v xml:space="preserve">Contratación directa (con ofertas) </v>
      </c>
      <c r="P361" s="141">
        <f t="shared" si="66"/>
        <v>1</v>
      </c>
      <c r="Q361" s="142">
        <f t="shared" si="63"/>
        <v>377537308</v>
      </c>
      <c r="R361" s="142">
        <f t="shared" si="64"/>
        <v>377537308</v>
      </c>
      <c r="S361" s="143" t="s">
        <v>223</v>
      </c>
      <c r="T361" s="139">
        <f t="shared" si="67"/>
        <v>0</v>
      </c>
      <c r="U361" s="48" t="str">
        <f t="shared" si="65"/>
        <v>SUBDIRECCION DE GESTION CONTRACTUAL</v>
      </c>
      <c r="V361" s="132" t="str">
        <f t="shared" si="56"/>
        <v>CO-DC</v>
      </c>
      <c r="W361" s="48" t="str">
        <f t="shared" si="57"/>
        <v>Distrito Capital de Bogotá</v>
      </c>
      <c r="X361" s="144" t="s">
        <v>673</v>
      </c>
      <c r="Y361" s="132">
        <v>2427400</v>
      </c>
      <c r="Z361" s="190" t="s">
        <v>667</v>
      </c>
    </row>
    <row r="362" spans="1:85" s="10" customFormat="1" ht="12.75" customHeight="1" x14ac:dyDescent="0.25">
      <c r="A362" s="132" t="s">
        <v>107</v>
      </c>
      <c r="B362" s="132">
        <v>22</v>
      </c>
      <c r="C362" s="133" t="s">
        <v>457</v>
      </c>
      <c r="D362" s="133" t="s">
        <v>109</v>
      </c>
      <c r="E362" s="129"/>
      <c r="F362" s="129">
        <v>57388638</v>
      </c>
      <c r="G362" s="129"/>
      <c r="H362" s="134" t="s">
        <v>798</v>
      </c>
      <c r="I362" s="135" t="s">
        <v>459</v>
      </c>
      <c r="J362" s="150">
        <v>2</v>
      </c>
      <c r="K362" s="150">
        <v>3</v>
      </c>
      <c r="L362" s="150">
        <v>9</v>
      </c>
      <c r="M362" s="132">
        <f t="shared" si="62"/>
        <v>1</v>
      </c>
      <c r="N362" s="139" t="s">
        <v>36</v>
      </c>
      <c r="O362" s="140" t="str">
        <f>IF(ISBLANK(N362),"",VLOOKUP(N362,[16]Parámetros!$G$2:$H$23,2,FALSE))</f>
        <v xml:space="preserve">Contratación directa (con ofertas) </v>
      </c>
      <c r="P362" s="141">
        <f t="shared" si="66"/>
        <v>1</v>
      </c>
      <c r="Q362" s="142">
        <f t="shared" si="63"/>
        <v>57388638</v>
      </c>
      <c r="R362" s="142">
        <f t="shared" si="64"/>
        <v>57388638</v>
      </c>
      <c r="S362" s="143" t="s">
        <v>223</v>
      </c>
      <c r="T362" s="139">
        <f t="shared" si="67"/>
        <v>0</v>
      </c>
      <c r="U362" s="48" t="str">
        <f t="shared" si="65"/>
        <v>SUBDIRECCION DE GESTION CONTRACTUAL</v>
      </c>
      <c r="V362" s="132" t="str">
        <f t="shared" ref="V362:V425" si="68">IF(ISBLANK(N362),"","CO-DC")</f>
        <v>CO-DC</v>
      </c>
      <c r="W362" s="48" t="str">
        <f t="shared" ref="W362:W425" si="69">IF(ISBLANK(N362),"","Distrito Capital de Bogotá")</f>
        <v>Distrito Capital de Bogotá</v>
      </c>
      <c r="X362" s="144" t="s">
        <v>673</v>
      </c>
      <c r="Y362" s="132">
        <v>2427400</v>
      </c>
      <c r="Z362" s="190" t="s">
        <v>667</v>
      </c>
    </row>
    <row r="363" spans="1:85" s="10" customFormat="1" ht="12.75" customHeight="1" x14ac:dyDescent="0.25">
      <c r="A363" s="132" t="s">
        <v>107</v>
      </c>
      <c r="B363" s="132">
        <v>23</v>
      </c>
      <c r="C363" s="133" t="s">
        <v>457</v>
      </c>
      <c r="D363" s="133" t="s">
        <v>109</v>
      </c>
      <c r="E363" s="129"/>
      <c r="F363" s="129">
        <v>132529770</v>
      </c>
      <c r="G363" s="129"/>
      <c r="H363" s="134" t="s">
        <v>798</v>
      </c>
      <c r="I363" s="135" t="s">
        <v>460</v>
      </c>
      <c r="J363" s="150">
        <v>2</v>
      </c>
      <c r="K363" s="150">
        <v>3</v>
      </c>
      <c r="L363" s="150">
        <v>9</v>
      </c>
      <c r="M363" s="132">
        <f t="shared" si="62"/>
        <v>1</v>
      </c>
      <c r="N363" s="139" t="s">
        <v>36</v>
      </c>
      <c r="O363" s="140" t="str">
        <f>IF(ISBLANK(N363),"",VLOOKUP(N363,[16]Parámetros!$G$2:$H$23,2,FALSE))</f>
        <v xml:space="preserve">Contratación directa (con ofertas) </v>
      </c>
      <c r="P363" s="141">
        <f t="shared" si="66"/>
        <v>1</v>
      </c>
      <c r="Q363" s="142">
        <f t="shared" si="63"/>
        <v>132529770</v>
      </c>
      <c r="R363" s="142">
        <f t="shared" si="64"/>
        <v>132529770</v>
      </c>
      <c r="S363" s="143" t="s">
        <v>223</v>
      </c>
      <c r="T363" s="139">
        <f t="shared" si="67"/>
        <v>0</v>
      </c>
      <c r="U363" s="48" t="str">
        <f t="shared" si="65"/>
        <v>SUBDIRECCION DE GESTION CONTRACTUAL</v>
      </c>
      <c r="V363" s="132" t="str">
        <f t="shared" si="68"/>
        <v>CO-DC</v>
      </c>
      <c r="W363" s="48" t="str">
        <f t="shared" si="69"/>
        <v>Distrito Capital de Bogotá</v>
      </c>
      <c r="X363" s="144" t="s">
        <v>673</v>
      </c>
      <c r="Y363" s="132">
        <v>2427400</v>
      </c>
      <c r="Z363" s="190" t="s">
        <v>667</v>
      </c>
    </row>
    <row r="364" spans="1:85" s="10" customFormat="1" ht="12.75" customHeight="1" x14ac:dyDescent="0.25">
      <c r="A364" s="132" t="s">
        <v>107</v>
      </c>
      <c r="B364" s="132">
        <v>24</v>
      </c>
      <c r="C364" s="133" t="s">
        <v>457</v>
      </c>
      <c r="D364" s="133" t="s">
        <v>88</v>
      </c>
      <c r="E364" s="129"/>
      <c r="F364" s="129">
        <v>300000000</v>
      </c>
      <c r="G364" s="129"/>
      <c r="H364" s="134" t="s">
        <v>798</v>
      </c>
      <c r="I364" s="135" t="s">
        <v>461</v>
      </c>
      <c r="J364" s="150">
        <v>2</v>
      </c>
      <c r="K364" s="150">
        <v>3</v>
      </c>
      <c r="L364" s="150">
        <v>9</v>
      </c>
      <c r="M364" s="132">
        <f t="shared" si="62"/>
        <v>1</v>
      </c>
      <c r="N364" s="139" t="s">
        <v>36</v>
      </c>
      <c r="O364" s="140" t="str">
        <f>IF(ISBLANK(N364),"",VLOOKUP(N364,[16]Parámetros!$G$2:$H$23,2,FALSE))</f>
        <v xml:space="preserve">Contratación directa (con ofertas) </v>
      </c>
      <c r="P364" s="141">
        <f t="shared" si="66"/>
        <v>1</v>
      </c>
      <c r="Q364" s="142">
        <f t="shared" si="63"/>
        <v>300000000</v>
      </c>
      <c r="R364" s="142">
        <f t="shared" si="64"/>
        <v>300000000</v>
      </c>
      <c r="S364" s="143" t="s">
        <v>223</v>
      </c>
      <c r="T364" s="139">
        <f t="shared" si="67"/>
        <v>0</v>
      </c>
      <c r="U364" s="48" t="str">
        <f t="shared" si="65"/>
        <v>SUBDIRECCION DE GESTION CONTRACTUAL</v>
      </c>
      <c r="V364" s="132" t="str">
        <f t="shared" si="68"/>
        <v>CO-DC</v>
      </c>
      <c r="W364" s="48" t="str">
        <f t="shared" si="69"/>
        <v>Distrito Capital de Bogotá</v>
      </c>
      <c r="X364" s="144" t="s">
        <v>673</v>
      </c>
      <c r="Y364" s="132">
        <v>2427400</v>
      </c>
      <c r="Z364" s="190" t="s">
        <v>667</v>
      </c>
    </row>
    <row r="365" spans="1:85" s="10" customFormat="1" ht="12.75" customHeight="1" x14ac:dyDescent="0.2">
      <c r="A365" s="191" t="s">
        <v>112</v>
      </c>
      <c r="B365" s="145">
        <v>1</v>
      </c>
      <c r="C365" s="192" t="s">
        <v>541</v>
      </c>
      <c r="D365" s="155" t="s">
        <v>496</v>
      </c>
      <c r="E365" s="156"/>
      <c r="F365" s="156">
        <v>1076707446</v>
      </c>
      <c r="G365" s="156"/>
      <c r="H365" s="155">
        <v>80111600</v>
      </c>
      <c r="I365" s="192" t="s">
        <v>542</v>
      </c>
      <c r="J365" s="145">
        <v>1</v>
      </c>
      <c r="K365" s="145">
        <v>1</v>
      </c>
      <c r="L365" s="145">
        <v>12</v>
      </c>
      <c r="M365" s="132">
        <f t="shared" si="62"/>
        <v>1</v>
      </c>
      <c r="N365" s="139" t="s">
        <v>216</v>
      </c>
      <c r="O365" s="140" t="str">
        <f>IF(ISBLANK(N365),"",VLOOKUP(N365,[17]Parámetros!$G$2:$H$23,2,FALSE))</f>
        <v>Contratación directa.</v>
      </c>
      <c r="P365" s="193">
        <f t="shared" si="66"/>
        <v>1</v>
      </c>
      <c r="Q365" s="142">
        <f t="shared" si="63"/>
        <v>1076707446</v>
      </c>
      <c r="R365" s="142">
        <f t="shared" si="64"/>
        <v>1076707446</v>
      </c>
      <c r="S365" s="194" t="s">
        <v>223</v>
      </c>
      <c r="T365" s="193">
        <f t="shared" si="67"/>
        <v>0</v>
      </c>
      <c r="U365" s="48" t="str">
        <f t="shared" si="65"/>
        <v>SUBDIRECCION DE GESTION CONTRACTUAL</v>
      </c>
      <c r="V365" s="193" t="str">
        <f t="shared" si="68"/>
        <v>CO-DC</v>
      </c>
      <c r="W365" s="193" t="str">
        <f t="shared" si="69"/>
        <v>Distrito Capital de Bogotá</v>
      </c>
      <c r="X365" s="155" t="s">
        <v>113</v>
      </c>
      <c r="Y365" s="145">
        <v>2427400</v>
      </c>
      <c r="Z365" s="195" t="s">
        <v>114</v>
      </c>
      <c r="AA365" s="196"/>
      <c r="AB365" s="196"/>
      <c r="AC365" s="196"/>
      <c r="AD365" s="196"/>
      <c r="AE365" s="196"/>
      <c r="AF365" s="196"/>
      <c r="AG365" s="196"/>
      <c r="AH365" s="196"/>
      <c r="AI365" s="196"/>
      <c r="AJ365" s="196"/>
      <c r="AK365" s="196"/>
      <c r="AL365" s="196"/>
      <c r="AM365" s="196"/>
      <c r="AN365" s="196"/>
      <c r="AO365" s="196"/>
      <c r="AP365" s="196"/>
      <c r="AQ365" s="196"/>
      <c r="AR365" s="196"/>
      <c r="AS365" s="196"/>
      <c r="AT365" s="196"/>
      <c r="AU365" s="153"/>
      <c r="AV365" s="153"/>
      <c r="AW365" s="153"/>
      <c r="AX365" s="153"/>
      <c r="AY365" s="153"/>
      <c r="AZ365" s="153"/>
      <c r="BA365" s="153"/>
      <c r="BB365" s="153"/>
      <c r="BC365" s="153"/>
      <c r="BD365" s="153"/>
      <c r="BE365" s="153"/>
      <c r="BF365" s="153"/>
      <c r="BG365" s="153"/>
      <c r="BH365" s="153"/>
      <c r="BI365" s="153"/>
      <c r="BJ365" s="153"/>
      <c r="BK365" s="153"/>
      <c r="BL365" s="153"/>
      <c r="BM365" s="153"/>
      <c r="BN365" s="153"/>
      <c r="BO365" s="153"/>
      <c r="BP365" s="153"/>
      <c r="BQ365" s="153"/>
      <c r="BR365" s="153"/>
      <c r="BS365" s="153"/>
      <c r="BT365" s="153"/>
      <c r="BU365" s="153"/>
      <c r="BV365" s="153"/>
      <c r="BW365" s="153"/>
      <c r="BX365" s="153"/>
      <c r="BY365" s="153"/>
      <c r="BZ365" s="153"/>
      <c r="CA365" s="153"/>
      <c r="CB365" s="153"/>
      <c r="CC365" s="153"/>
      <c r="CD365" s="153"/>
      <c r="CE365" s="153"/>
      <c r="CF365" s="153"/>
      <c r="CG365" s="153"/>
    </row>
    <row r="366" spans="1:85" s="10" customFormat="1" ht="12.75" customHeight="1" x14ac:dyDescent="0.2">
      <c r="A366" s="191" t="s">
        <v>112</v>
      </c>
      <c r="B366" s="145">
        <v>2</v>
      </c>
      <c r="C366" s="192" t="s">
        <v>543</v>
      </c>
      <c r="D366" s="155" t="s">
        <v>496</v>
      </c>
      <c r="E366" s="156"/>
      <c r="F366" s="156">
        <v>78585815</v>
      </c>
      <c r="G366" s="156"/>
      <c r="H366" s="155">
        <v>86101705</v>
      </c>
      <c r="I366" s="192" t="s">
        <v>544</v>
      </c>
      <c r="J366" s="145">
        <v>3</v>
      </c>
      <c r="K366" s="145">
        <v>3</v>
      </c>
      <c r="L366" s="145">
        <v>2</v>
      </c>
      <c r="M366" s="132">
        <f t="shared" si="62"/>
        <v>1</v>
      </c>
      <c r="N366" s="139" t="s">
        <v>328</v>
      </c>
      <c r="O366" s="140" t="str">
        <f>IF(ISBLANK(N366),"",VLOOKUP(N366,[17]Parámetros!$G$2:$H$23,2,FALSE))</f>
        <v>Selección abreviada menor cuantía</v>
      </c>
      <c r="P366" s="193">
        <f t="shared" si="66"/>
        <v>1</v>
      </c>
      <c r="Q366" s="142">
        <f t="shared" si="63"/>
        <v>78585815</v>
      </c>
      <c r="R366" s="142">
        <f t="shared" si="64"/>
        <v>78585815</v>
      </c>
      <c r="S366" s="194" t="s">
        <v>223</v>
      </c>
      <c r="T366" s="193">
        <f t="shared" si="67"/>
        <v>0</v>
      </c>
      <c r="U366" s="48" t="str">
        <f t="shared" si="65"/>
        <v>SUBDIRECCION DE GESTION CONTRACTUAL</v>
      </c>
      <c r="V366" s="193" t="str">
        <f t="shared" si="68"/>
        <v>CO-DC</v>
      </c>
      <c r="W366" s="193" t="str">
        <f t="shared" si="69"/>
        <v>Distrito Capital de Bogotá</v>
      </c>
      <c r="X366" s="155" t="s">
        <v>113</v>
      </c>
      <c r="Y366" s="145">
        <v>2427400</v>
      </c>
      <c r="Z366" s="195" t="s">
        <v>114</v>
      </c>
      <c r="AA366" s="196"/>
      <c r="AB366" s="196"/>
      <c r="AC366" s="196"/>
      <c r="AD366" s="196"/>
      <c r="AE366" s="196"/>
      <c r="AF366" s="196"/>
      <c r="AG366" s="196"/>
      <c r="AH366" s="196"/>
      <c r="AI366" s="196"/>
      <c r="AJ366" s="196"/>
      <c r="AK366" s="196"/>
      <c r="AL366" s="196"/>
      <c r="AM366" s="196"/>
      <c r="AN366" s="196"/>
      <c r="AO366" s="196"/>
      <c r="AP366" s="196"/>
      <c r="AQ366" s="196"/>
      <c r="AR366" s="196"/>
      <c r="AS366" s="196"/>
      <c r="AT366" s="196"/>
      <c r="AU366" s="153"/>
      <c r="AV366" s="153"/>
      <c r="AW366" s="153"/>
      <c r="AX366" s="153"/>
      <c r="AY366" s="153"/>
      <c r="AZ366" s="153"/>
      <c r="BA366" s="153"/>
      <c r="BB366" s="153"/>
      <c r="BC366" s="153"/>
      <c r="BD366" s="153"/>
      <c r="BE366" s="153"/>
      <c r="BF366" s="153"/>
      <c r="BG366" s="153"/>
      <c r="BH366" s="153"/>
      <c r="BI366" s="153"/>
      <c r="BJ366" s="153"/>
      <c r="BK366" s="153"/>
      <c r="BL366" s="153"/>
      <c r="BM366" s="153"/>
      <c r="BN366" s="153"/>
      <c r="BO366" s="153"/>
      <c r="BP366" s="153"/>
      <c r="BQ366" s="153"/>
      <c r="BR366" s="153"/>
      <c r="BS366" s="153"/>
      <c r="BT366" s="153"/>
      <c r="BU366" s="153"/>
      <c r="BV366" s="153"/>
      <c r="BW366" s="153"/>
      <c r="BX366" s="153"/>
      <c r="BY366" s="153"/>
      <c r="BZ366" s="153"/>
      <c r="CA366" s="153"/>
      <c r="CB366" s="153"/>
      <c r="CC366" s="153"/>
      <c r="CD366" s="153"/>
      <c r="CE366" s="153"/>
      <c r="CF366" s="153"/>
      <c r="CG366" s="153"/>
    </row>
    <row r="367" spans="1:85" s="10" customFormat="1" ht="12.75" customHeight="1" x14ac:dyDescent="0.2">
      <c r="A367" s="191" t="s">
        <v>112</v>
      </c>
      <c r="B367" s="145">
        <v>3</v>
      </c>
      <c r="C367" s="192" t="s">
        <v>545</v>
      </c>
      <c r="D367" s="155" t="s">
        <v>496</v>
      </c>
      <c r="E367" s="156"/>
      <c r="F367" s="156">
        <v>378325067</v>
      </c>
      <c r="G367" s="156"/>
      <c r="H367" s="155">
        <v>80111600</v>
      </c>
      <c r="I367" s="192" t="s">
        <v>542</v>
      </c>
      <c r="J367" s="145">
        <v>1</v>
      </c>
      <c r="K367" s="145">
        <v>1</v>
      </c>
      <c r="L367" s="145">
        <v>12</v>
      </c>
      <c r="M367" s="132">
        <f t="shared" si="62"/>
        <v>1</v>
      </c>
      <c r="N367" s="139" t="s">
        <v>216</v>
      </c>
      <c r="O367" s="140" t="str">
        <f>IF(ISBLANK(N367),"",VLOOKUP(N367,[17]Parámetros!$G$2:$H$23,2,FALSE))</f>
        <v>Contratación directa.</v>
      </c>
      <c r="P367" s="193">
        <f t="shared" si="66"/>
        <v>1</v>
      </c>
      <c r="Q367" s="142">
        <f t="shared" si="63"/>
        <v>378325067</v>
      </c>
      <c r="R367" s="142">
        <f t="shared" si="64"/>
        <v>378325067</v>
      </c>
      <c r="S367" s="194" t="s">
        <v>223</v>
      </c>
      <c r="T367" s="193">
        <f t="shared" si="67"/>
        <v>0</v>
      </c>
      <c r="U367" s="48" t="str">
        <f t="shared" si="65"/>
        <v>SUBDIRECCION DE GESTION CONTRACTUAL</v>
      </c>
      <c r="V367" s="193" t="str">
        <f t="shared" si="68"/>
        <v>CO-DC</v>
      </c>
      <c r="W367" s="193" t="str">
        <f t="shared" si="69"/>
        <v>Distrito Capital de Bogotá</v>
      </c>
      <c r="X367" s="155" t="s">
        <v>113</v>
      </c>
      <c r="Y367" s="145">
        <v>2427400</v>
      </c>
      <c r="Z367" s="195" t="s">
        <v>114</v>
      </c>
      <c r="AA367" s="196"/>
      <c r="AB367" s="196"/>
      <c r="AC367" s="196"/>
      <c r="AD367" s="196"/>
      <c r="AE367" s="196"/>
      <c r="AF367" s="196"/>
      <c r="AG367" s="196"/>
      <c r="AH367" s="196"/>
      <c r="AI367" s="196"/>
      <c r="AJ367" s="196"/>
      <c r="AK367" s="196"/>
      <c r="AL367" s="196"/>
      <c r="AM367" s="196"/>
      <c r="AN367" s="196"/>
      <c r="AO367" s="196"/>
      <c r="AP367" s="196"/>
      <c r="AQ367" s="196"/>
      <c r="AR367" s="196"/>
      <c r="AS367" s="196"/>
      <c r="AT367" s="196"/>
      <c r="AU367" s="153"/>
      <c r="AV367" s="153"/>
      <c r="AW367" s="153"/>
      <c r="AX367" s="153"/>
      <c r="AY367" s="153"/>
      <c r="AZ367" s="153"/>
      <c r="BA367" s="153"/>
      <c r="BB367" s="153"/>
      <c r="BC367" s="153"/>
      <c r="BD367" s="153"/>
      <c r="BE367" s="153"/>
      <c r="BF367" s="153"/>
      <c r="BG367" s="153"/>
      <c r="BH367" s="153"/>
      <c r="BI367" s="153"/>
      <c r="BJ367" s="153"/>
      <c r="BK367" s="153"/>
      <c r="BL367" s="153"/>
      <c r="BM367" s="153"/>
      <c r="BN367" s="153"/>
      <c r="BO367" s="153"/>
      <c r="BP367" s="153"/>
      <c r="BQ367" s="153"/>
      <c r="BR367" s="153"/>
      <c r="BS367" s="153"/>
      <c r="BT367" s="153"/>
      <c r="BU367" s="153"/>
      <c r="BV367" s="153"/>
      <c r="BW367" s="153"/>
      <c r="BX367" s="153"/>
      <c r="BY367" s="153"/>
      <c r="BZ367" s="153"/>
      <c r="CA367" s="153"/>
      <c r="CB367" s="153"/>
      <c r="CC367" s="153"/>
      <c r="CD367" s="153"/>
      <c r="CE367" s="153"/>
      <c r="CF367" s="153"/>
      <c r="CG367" s="153"/>
    </row>
    <row r="368" spans="1:85" s="10" customFormat="1" ht="12.75" customHeight="1" x14ac:dyDescent="0.2">
      <c r="A368" s="191" t="s">
        <v>112</v>
      </c>
      <c r="B368" s="145">
        <v>4</v>
      </c>
      <c r="C368" s="192" t="s">
        <v>115</v>
      </c>
      <c r="D368" s="155" t="s">
        <v>81</v>
      </c>
      <c r="E368" s="156"/>
      <c r="F368" s="156">
        <v>89953305</v>
      </c>
      <c r="G368" s="156"/>
      <c r="H368" s="155">
        <v>80111600</v>
      </c>
      <c r="I368" s="192" t="s">
        <v>542</v>
      </c>
      <c r="J368" s="145">
        <v>1</v>
      </c>
      <c r="K368" s="145">
        <v>1</v>
      </c>
      <c r="L368" s="145">
        <v>12</v>
      </c>
      <c r="M368" s="132">
        <f t="shared" si="62"/>
        <v>1</v>
      </c>
      <c r="N368" s="139" t="s">
        <v>216</v>
      </c>
      <c r="O368" s="140" t="str">
        <f>IF(ISBLANK(N368),"",VLOOKUP(N368,[17]Parámetros!$G$2:$H$23,2,FALSE))</f>
        <v>Contratación directa.</v>
      </c>
      <c r="P368" s="193">
        <f t="shared" si="66"/>
        <v>1</v>
      </c>
      <c r="Q368" s="142">
        <f t="shared" si="63"/>
        <v>89953305</v>
      </c>
      <c r="R368" s="142">
        <f t="shared" si="64"/>
        <v>89953305</v>
      </c>
      <c r="S368" s="194" t="s">
        <v>223</v>
      </c>
      <c r="T368" s="193">
        <f t="shared" si="67"/>
        <v>0</v>
      </c>
      <c r="U368" s="48" t="str">
        <f t="shared" si="65"/>
        <v>SUBDIRECCION DE GESTION CONTRACTUAL</v>
      </c>
      <c r="V368" s="193" t="str">
        <f t="shared" si="68"/>
        <v>CO-DC</v>
      </c>
      <c r="W368" s="193" t="str">
        <f t="shared" si="69"/>
        <v>Distrito Capital de Bogotá</v>
      </c>
      <c r="X368" s="155" t="s">
        <v>113</v>
      </c>
      <c r="Y368" s="145">
        <v>2427400</v>
      </c>
      <c r="Z368" s="195" t="s">
        <v>114</v>
      </c>
      <c r="AA368" s="196"/>
      <c r="AB368" s="196"/>
      <c r="AC368" s="196"/>
      <c r="AD368" s="196"/>
      <c r="AE368" s="196"/>
      <c r="AF368" s="196"/>
      <c r="AG368" s="196"/>
      <c r="AH368" s="196"/>
      <c r="AI368" s="196"/>
      <c r="AJ368" s="196"/>
      <c r="AK368" s="196"/>
      <c r="AL368" s="196"/>
      <c r="AM368" s="196"/>
      <c r="AN368" s="196"/>
      <c r="AO368" s="196"/>
      <c r="AP368" s="196"/>
      <c r="AQ368" s="196"/>
      <c r="AR368" s="196"/>
      <c r="AS368" s="196"/>
      <c r="AT368" s="196"/>
      <c r="AU368" s="153"/>
      <c r="AV368" s="153"/>
      <c r="AW368" s="153"/>
      <c r="AX368" s="153"/>
      <c r="AY368" s="153"/>
      <c r="AZ368" s="153"/>
      <c r="BA368" s="153"/>
      <c r="BB368" s="153"/>
      <c r="BC368" s="153"/>
      <c r="BD368" s="153"/>
      <c r="BE368" s="153"/>
      <c r="BF368" s="153"/>
      <c r="BG368" s="153"/>
      <c r="BH368" s="153"/>
      <c r="BI368" s="153"/>
      <c r="BJ368" s="153"/>
      <c r="BK368" s="153"/>
      <c r="BL368" s="153"/>
      <c r="BM368" s="153"/>
      <c r="BN368" s="153"/>
      <c r="BO368" s="153"/>
      <c r="BP368" s="153"/>
      <c r="BQ368" s="153"/>
      <c r="BR368" s="153"/>
      <c r="BS368" s="153"/>
      <c r="BT368" s="153"/>
      <c r="BU368" s="153"/>
      <c r="BV368" s="153"/>
      <c r="BW368" s="153"/>
      <c r="BX368" s="153"/>
      <c r="BY368" s="153"/>
      <c r="BZ368" s="153"/>
      <c r="CA368" s="153"/>
      <c r="CB368" s="153"/>
      <c r="CC368" s="153"/>
      <c r="CD368" s="153"/>
      <c r="CE368" s="153"/>
      <c r="CF368" s="153"/>
      <c r="CG368" s="153"/>
    </row>
    <row r="369" spans="1:85" s="10" customFormat="1" ht="12.75" customHeight="1" x14ac:dyDescent="0.2">
      <c r="A369" s="191" t="s">
        <v>112</v>
      </c>
      <c r="B369" s="145">
        <v>5</v>
      </c>
      <c r="C369" s="192" t="s">
        <v>546</v>
      </c>
      <c r="D369" s="155" t="s">
        <v>496</v>
      </c>
      <c r="E369" s="156"/>
      <c r="F369" s="156">
        <v>966381672</v>
      </c>
      <c r="G369" s="156"/>
      <c r="H369" s="155">
        <v>80111600</v>
      </c>
      <c r="I369" s="192" t="s">
        <v>542</v>
      </c>
      <c r="J369" s="145">
        <v>1</v>
      </c>
      <c r="K369" s="145">
        <v>1</v>
      </c>
      <c r="L369" s="145">
        <v>12</v>
      </c>
      <c r="M369" s="132">
        <f t="shared" si="62"/>
        <v>1</v>
      </c>
      <c r="N369" s="139" t="s">
        <v>216</v>
      </c>
      <c r="O369" s="140" t="str">
        <f>IF(ISBLANK(N369),"",VLOOKUP(N369,[17]Parámetros!$G$2:$H$23,2,FALSE))</f>
        <v>Contratación directa.</v>
      </c>
      <c r="P369" s="193">
        <f t="shared" si="66"/>
        <v>1</v>
      </c>
      <c r="Q369" s="142">
        <f t="shared" si="63"/>
        <v>966381672</v>
      </c>
      <c r="R369" s="142">
        <f t="shared" si="64"/>
        <v>966381672</v>
      </c>
      <c r="S369" s="194" t="s">
        <v>223</v>
      </c>
      <c r="T369" s="193">
        <f t="shared" si="67"/>
        <v>0</v>
      </c>
      <c r="U369" s="48" t="str">
        <f t="shared" si="65"/>
        <v>SUBDIRECCION DE GESTION CONTRACTUAL</v>
      </c>
      <c r="V369" s="193" t="str">
        <f t="shared" si="68"/>
        <v>CO-DC</v>
      </c>
      <c r="W369" s="193" t="str">
        <f t="shared" si="69"/>
        <v>Distrito Capital de Bogotá</v>
      </c>
      <c r="X369" s="155" t="s">
        <v>113</v>
      </c>
      <c r="Y369" s="145">
        <v>2427400</v>
      </c>
      <c r="Z369" s="195" t="s">
        <v>114</v>
      </c>
      <c r="AA369" s="196"/>
      <c r="AB369" s="196"/>
      <c r="AC369" s="196"/>
      <c r="AD369" s="196"/>
      <c r="AE369" s="196"/>
      <c r="AF369" s="196"/>
      <c r="AG369" s="196"/>
      <c r="AH369" s="196"/>
      <c r="AI369" s="196"/>
      <c r="AJ369" s="196"/>
      <c r="AK369" s="196"/>
      <c r="AL369" s="196"/>
      <c r="AM369" s="196"/>
      <c r="AN369" s="196"/>
      <c r="AO369" s="196"/>
      <c r="AP369" s="196"/>
      <c r="AQ369" s="196"/>
      <c r="AR369" s="196"/>
      <c r="AS369" s="196"/>
      <c r="AT369" s="196"/>
      <c r="AU369" s="153"/>
      <c r="AV369" s="153"/>
      <c r="AW369" s="153"/>
      <c r="AX369" s="153"/>
      <c r="AY369" s="153"/>
      <c r="AZ369" s="153"/>
      <c r="BA369" s="153"/>
      <c r="BB369" s="153"/>
      <c r="BC369" s="153"/>
      <c r="BD369" s="153"/>
      <c r="BE369" s="153"/>
      <c r="BF369" s="153"/>
      <c r="BG369" s="153"/>
      <c r="BH369" s="153"/>
      <c r="BI369" s="153"/>
      <c r="BJ369" s="153"/>
      <c r="BK369" s="153"/>
      <c r="BL369" s="153"/>
      <c r="BM369" s="153"/>
      <c r="BN369" s="153"/>
      <c r="BO369" s="153"/>
      <c r="BP369" s="153"/>
      <c r="BQ369" s="153"/>
      <c r="BR369" s="153"/>
      <c r="BS369" s="153"/>
      <c r="BT369" s="153"/>
      <c r="BU369" s="153"/>
      <c r="BV369" s="153"/>
      <c r="BW369" s="153"/>
      <c r="BX369" s="153"/>
      <c r="BY369" s="153"/>
      <c r="BZ369" s="153"/>
      <c r="CA369" s="153"/>
      <c r="CB369" s="153"/>
      <c r="CC369" s="153"/>
      <c r="CD369" s="153"/>
      <c r="CE369" s="153"/>
      <c r="CF369" s="153"/>
      <c r="CG369" s="153"/>
    </row>
    <row r="370" spans="1:85" s="10" customFormat="1" ht="12.75" customHeight="1" x14ac:dyDescent="0.2">
      <c r="A370" s="191" t="s">
        <v>112</v>
      </c>
      <c r="B370" s="145">
        <v>6</v>
      </c>
      <c r="C370" s="192" t="s">
        <v>547</v>
      </c>
      <c r="D370" s="155" t="s">
        <v>548</v>
      </c>
      <c r="E370" s="156"/>
      <c r="F370" s="156">
        <f>3350010673-15000000-340000000-50000000</f>
        <v>2945010673</v>
      </c>
      <c r="G370" s="156"/>
      <c r="H370" s="155">
        <v>80111600</v>
      </c>
      <c r="I370" s="192" t="s">
        <v>542</v>
      </c>
      <c r="J370" s="145">
        <v>1</v>
      </c>
      <c r="K370" s="145">
        <v>1</v>
      </c>
      <c r="L370" s="145">
        <v>12</v>
      </c>
      <c r="M370" s="132">
        <f t="shared" si="62"/>
        <v>1</v>
      </c>
      <c r="N370" s="139" t="s">
        <v>216</v>
      </c>
      <c r="O370" s="140" t="str">
        <f>IF(ISBLANK(N370),"",VLOOKUP(N370,[17]Parámetros!$G$2:$H$23,2,FALSE))</f>
        <v>Contratación directa.</v>
      </c>
      <c r="P370" s="193">
        <f t="shared" si="66"/>
        <v>1</v>
      </c>
      <c r="Q370" s="142">
        <f t="shared" si="63"/>
        <v>2945010673</v>
      </c>
      <c r="R370" s="142">
        <f t="shared" si="64"/>
        <v>2945010673</v>
      </c>
      <c r="S370" s="194" t="s">
        <v>223</v>
      </c>
      <c r="T370" s="193">
        <f t="shared" si="67"/>
        <v>0</v>
      </c>
      <c r="U370" s="48" t="str">
        <f t="shared" si="65"/>
        <v>SUBDIRECCION DE GESTION CONTRACTUAL</v>
      </c>
      <c r="V370" s="193" t="str">
        <f t="shared" si="68"/>
        <v>CO-DC</v>
      </c>
      <c r="W370" s="193" t="str">
        <f t="shared" si="69"/>
        <v>Distrito Capital de Bogotá</v>
      </c>
      <c r="X370" s="155" t="s">
        <v>113</v>
      </c>
      <c r="Y370" s="145">
        <v>2427400</v>
      </c>
      <c r="Z370" s="195" t="s">
        <v>114</v>
      </c>
      <c r="AA370" s="196"/>
      <c r="AB370" s="196"/>
      <c r="AC370" s="196"/>
      <c r="AD370" s="196"/>
      <c r="AE370" s="196"/>
      <c r="AF370" s="196"/>
      <c r="AG370" s="196"/>
      <c r="AH370" s="196"/>
      <c r="AI370" s="196"/>
      <c r="AJ370" s="196"/>
      <c r="AK370" s="196"/>
      <c r="AL370" s="196"/>
      <c r="AM370" s="196"/>
      <c r="AN370" s="196"/>
      <c r="AO370" s="196"/>
      <c r="AP370" s="196"/>
      <c r="AQ370" s="196"/>
      <c r="AR370" s="196"/>
      <c r="AS370" s="196"/>
      <c r="AT370" s="196"/>
      <c r="AU370" s="153"/>
      <c r="AV370" s="153"/>
      <c r="AW370" s="153"/>
      <c r="AX370" s="153"/>
      <c r="AY370" s="153"/>
      <c r="AZ370" s="153"/>
      <c r="BA370" s="153"/>
      <c r="BB370" s="153"/>
      <c r="BC370" s="153"/>
      <c r="BD370" s="153"/>
      <c r="BE370" s="153"/>
      <c r="BF370" s="153"/>
      <c r="BG370" s="153"/>
      <c r="BH370" s="153"/>
      <c r="BI370" s="153"/>
      <c r="BJ370" s="153"/>
      <c r="BK370" s="153"/>
      <c r="BL370" s="153"/>
      <c r="BM370" s="153"/>
      <c r="BN370" s="153"/>
      <c r="BO370" s="153"/>
      <c r="BP370" s="153"/>
      <c r="BQ370" s="153"/>
      <c r="BR370" s="153"/>
      <c r="BS370" s="153"/>
      <c r="BT370" s="153"/>
      <c r="BU370" s="153"/>
      <c r="BV370" s="153"/>
      <c r="BW370" s="153"/>
      <c r="BX370" s="153"/>
      <c r="BY370" s="153"/>
      <c r="BZ370" s="153"/>
      <c r="CA370" s="153"/>
      <c r="CB370" s="153"/>
      <c r="CC370" s="153"/>
      <c r="CD370" s="153"/>
      <c r="CE370" s="153"/>
      <c r="CF370" s="153"/>
      <c r="CG370" s="153"/>
    </row>
    <row r="371" spans="1:85" s="10" customFormat="1" ht="12.75" customHeight="1" x14ac:dyDescent="0.2">
      <c r="A371" s="191" t="s">
        <v>112</v>
      </c>
      <c r="B371" s="145">
        <v>7</v>
      </c>
      <c r="C371" s="192" t="s">
        <v>547</v>
      </c>
      <c r="D371" s="155" t="s">
        <v>548</v>
      </c>
      <c r="E371" s="156"/>
      <c r="F371" s="156">
        <v>100000000</v>
      </c>
      <c r="G371" s="156"/>
      <c r="H371" s="155" t="s">
        <v>778</v>
      </c>
      <c r="I371" s="192" t="s">
        <v>549</v>
      </c>
      <c r="J371" s="145">
        <v>3</v>
      </c>
      <c r="K371" s="145">
        <v>3</v>
      </c>
      <c r="L371" s="145">
        <v>3</v>
      </c>
      <c r="M371" s="132">
        <f t="shared" si="62"/>
        <v>1</v>
      </c>
      <c r="N371" s="139" t="s">
        <v>36</v>
      </c>
      <c r="O371" s="140" t="str">
        <f>IF(ISBLANK(N371),"",VLOOKUP(N371,[17]Parámetros!$G$2:$H$23,2,FALSE))</f>
        <v xml:space="preserve">Contratación directa (con ofertas) </v>
      </c>
      <c r="P371" s="193">
        <f t="shared" si="66"/>
        <v>1</v>
      </c>
      <c r="Q371" s="142">
        <f t="shared" si="63"/>
        <v>100000000</v>
      </c>
      <c r="R371" s="142">
        <f t="shared" si="64"/>
        <v>100000000</v>
      </c>
      <c r="S371" s="194" t="s">
        <v>223</v>
      </c>
      <c r="T371" s="193">
        <f t="shared" si="67"/>
        <v>0</v>
      </c>
      <c r="U371" s="48" t="str">
        <f t="shared" si="65"/>
        <v>SUBDIRECCION DE GESTION CONTRACTUAL</v>
      </c>
      <c r="V371" s="193" t="str">
        <f t="shared" si="68"/>
        <v>CO-DC</v>
      </c>
      <c r="W371" s="193" t="str">
        <f t="shared" si="69"/>
        <v>Distrito Capital de Bogotá</v>
      </c>
      <c r="X371" s="155" t="s">
        <v>113</v>
      </c>
      <c r="Y371" s="145">
        <v>2427400</v>
      </c>
      <c r="Z371" s="195" t="s">
        <v>114</v>
      </c>
      <c r="AA371" s="196"/>
      <c r="AB371" s="196"/>
      <c r="AC371" s="196"/>
      <c r="AD371" s="196"/>
      <c r="AE371" s="196"/>
      <c r="AF371" s="196"/>
      <c r="AG371" s="196"/>
      <c r="AH371" s="196"/>
      <c r="AI371" s="196"/>
      <c r="AJ371" s="196"/>
      <c r="AK371" s="196"/>
      <c r="AL371" s="196"/>
      <c r="AM371" s="196"/>
      <c r="AN371" s="196"/>
      <c r="AO371" s="196"/>
      <c r="AP371" s="196"/>
      <c r="AQ371" s="196"/>
      <c r="AR371" s="196"/>
      <c r="AS371" s="196"/>
      <c r="AT371" s="196"/>
      <c r="AU371" s="153"/>
      <c r="AV371" s="153"/>
      <c r="AW371" s="153"/>
      <c r="AX371" s="153"/>
      <c r="AY371" s="153"/>
      <c r="AZ371" s="153"/>
      <c r="BA371" s="153"/>
      <c r="BB371" s="153"/>
      <c r="BC371" s="153"/>
      <c r="BD371" s="153"/>
      <c r="BE371" s="153"/>
      <c r="BF371" s="153"/>
      <c r="BG371" s="153"/>
      <c r="BH371" s="153"/>
      <c r="BI371" s="153"/>
      <c r="BJ371" s="153"/>
      <c r="BK371" s="153"/>
      <c r="BL371" s="153"/>
      <c r="BM371" s="153"/>
      <c r="BN371" s="153"/>
      <c r="BO371" s="153"/>
      <c r="BP371" s="153"/>
      <c r="BQ371" s="153"/>
      <c r="BR371" s="153"/>
      <c r="BS371" s="153"/>
      <c r="BT371" s="153"/>
      <c r="BU371" s="153"/>
      <c r="BV371" s="153"/>
      <c r="BW371" s="153"/>
      <c r="BX371" s="153"/>
      <c r="BY371" s="153"/>
      <c r="BZ371" s="153"/>
      <c r="CA371" s="153"/>
      <c r="CB371" s="153"/>
      <c r="CC371" s="153"/>
      <c r="CD371" s="153"/>
      <c r="CE371" s="153"/>
      <c r="CF371" s="153"/>
      <c r="CG371" s="153"/>
    </row>
    <row r="372" spans="1:85" s="10" customFormat="1" ht="12.75" customHeight="1" x14ac:dyDescent="0.2">
      <c r="A372" s="191" t="s">
        <v>112</v>
      </c>
      <c r="B372" s="145">
        <v>8</v>
      </c>
      <c r="C372" s="192" t="s">
        <v>547</v>
      </c>
      <c r="D372" s="155" t="s">
        <v>548</v>
      </c>
      <c r="E372" s="156"/>
      <c r="F372" s="156">
        <v>49989327</v>
      </c>
      <c r="G372" s="156"/>
      <c r="H372" s="155" t="s">
        <v>782</v>
      </c>
      <c r="I372" s="192" t="s">
        <v>550</v>
      </c>
      <c r="J372" s="145">
        <v>3</v>
      </c>
      <c r="K372" s="145">
        <v>3</v>
      </c>
      <c r="L372" s="145">
        <v>3</v>
      </c>
      <c r="M372" s="132">
        <f t="shared" si="62"/>
        <v>1</v>
      </c>
      <c r="N372" s="139" t="s">
        <v>48</v>
      </c>
      <c r="O372" s="140" t="str">
        <f>IF(ISBLANK(N372),"",VLOOKUP(N372,[17]Parámetros!$G$2:$H$23,2,FALSE))</f>
        <v>Mínima cuantía</v>
      </c>
      <c r="P372" s="193">
        <f t="shared" si="66"/>
        <v>1</v>
      </c>
      <c r="Q372" s="142">
        <f t="shared" si="63"/>
        <v>49989327</v>
      </c>
      <c r="R372" s="142">
        <f t="shared" si="64"/>
        <v>49989327</v>
      </c>
      <c r="S372" s="194" t="s">
        <v>223</v>
      </c>
      <c r="T372" s="193">
        <f t="shared" si="67"/>
        <v>0</v>
      </c>
      <c r="U372" s="48" t="str">
        <f t="shared" si="65"/>
        <v>SUBDIRECCION DE GESTION CONTRACTUAL</v>
      </c>
      <c r="V372" s="193" t="str">
        <f t="shared" si="68"/>
        <v>CO-DC</v>
      </c>
      <c r="W372" s="193" t="str">
        <f t="shared" si="69"/>
        <v>Distrito Capital de Bogotá</v>
      </c>
      <c r="X372" s="155" t="s">
        <v>113</v>
      </c>
      <c r="Y372" s="145">
        <v>2427400</v>
      </c>
      <c r="Z372" s="195" t="s">
        <v>114</v>
      </c>
      <c r="AA372" s="196"/>
      <c r="AB372" s="196"/>
      <c r="AC372" s="196"/>
      <c r="AD372" s="196"/>
      <c r="AE372" s="196"/>
      <c r="AF372" s="196"/>
      <c r="AG372" s="196"/>
      <c r="AH372" s="196"/>
      <c r="AI372" s="196"/>
      <c r="AJ372" s="196"/>
      <c r="AK372" s="196"/>
      <c r="AL372" s="196"/>
      <c r="AM372" s="196"/>
      <c r="AN372" s="196"/>
      <c r="AO372" s="196"/>
      <c r="AP372" s="196"/>
      <c r="AQ372" s="196"/>
      <c r="AR372" s="196"/>
      <c r="AS372" s="196"/>
      <c r="AT372" s="196"/>
      <c r="AU372" s="153"/>
      <c r="AV372" s="153"/>
      <c r="AW372" s="153"/>
      <c r="AX372" s="153"/>
      <c r="AY372" s="153"/>
      <c r="AZ372" s="153"/>
      <c r="BA372" s="153"/>
      <c r="BB372" s="153"/>
      <c r="BC372" s="153"/>
      <c r="BD372" s="153"/>
      <c r="BE372" s="153"/>
      <c r="BF372" s="153"/>
      <c r="BG372" s="153"/>
      <c r="BH372" s="153"/>
      <c r="BI372" s="153"/>
      <c r="BJ372" s="153"/>
      <c r="BK372" s="153"/>
      <c r="BL372" s="153"/>
      <c r="BM372" s="153"/>
      <c r="BN372" s="153"/>
      <c r="BO372" s="153"/>
      <c r="BP372" s="153"/>
      <c r="BQ372" s="153"/>
      <c r="BR372" s="153"/>
      <c r="BS372" s="153"/>
      <c r="BT372" s="153"/>
      <c r="BU372" s="153"/>
      <c r="BV372" s="153"/>
      <c r="BW372" s="153"/>
      <c r="BX372" s="153"/>
      <c r="BY372" s="153"/>
      <c r="BZ372" s="153"/>
      <c r="CA372" s="153"/>
      <c r="CB372" s="153"/>
      <c r="CC372" s="153"/>
      <c r="CD372" s="153"/>
      <c r="CE372" s="153"/>
      <c r="CF372" s="153"/>
      <c r="CG372" s="153"/>
    </row>
    <row r="373" spans="1:85" s="10" customFormat="1" ht="12.75" customHeight="1" x14ac:dyDescent="0.2">
      <c r="A373" s="191" t="s">
        <v>112</v>
      </c>
      <c r="B373" s="145">
        <v>9</v>
      </c>
      <c r="C373" s="192" t="s">
        <v>547</v>
      </c>
      <c r="D373" s="155" t="s">
        <v>548</v>
      </c>
      <c r="E373" s="156"/>
      <c r="F373" s="156">
        <v>15000000</v>
      </c>
      <c r="G373" s="156"/>
      <c r="H373" s="134" t="s">
        <v>51</v>
      </c>
      <c r="I373" s="192" t="s">
        <v>551</v>
      </c>
      <c r="J373" s="136">
        <v>4</v>
      </c>
      <c r="K373" s="137">
        <v>6</v>
      </c>
      <c r="L373" s="138">
        <v>1</v>
      </c>
      <c r="M373" s="132">
        <f t="shared" si="62"/>
        <v>1</v>
      </c>
      <c r="N373" s="139" t="s">
        <v>43</v>
      </c>
      <c r="O373" s="140" t="str">
        <f>IF(ISBLANK(N373),"",VLOOKUP(N373,[17]Parámetros!$G$2:$H$23,2,FALSE))</f>
        <v>Selección abreviada subasta inversa</v>
      </c>
      <c r="P373" s="193">
        <f t="shared" si="66"/>
        <v>1</v>
      </c>
      <c r="Q373" s="142">
        <f t="shared" si="63"/>
        <v>15000000</v>
      </c>
      <c r="R373" s="142">
        <f t="shared" si="64"/>
        <v>15000000</v>
      </c>
      <c r="S373" s="194" t="s">
        <v>223</v>
      </c>
      <c r="T373" s="193">
        <f t="shared" si="67"/>
        <v>0</v>
      </c>
      <c r="U373" s="48" t="str">
        <f t="shared" si="65"/>
        <v>SUBDIRECCION DE GESTION CONTRACTUAL</v>
      </c>
      <c r="V373" s="132" t="str">
        <f t="shared" si="68"/>
        <v>CO-DC</v>
      </c>
      <c r="W373" s="48" t="str">
        <f t="shared" si="69"/>
        <v>Distrito Capital de Bogotá</v>
      </c>
      <c r="X373" s="144" t="s">
        <v>73</v>
      </c>
      <c r="Y373" s="132">
        <v>2427400</v>
      </c>
      <c r="Z373" s="144" t="s">
        <v>74</v>
      </c>
      <c r="AA373" s="196"/>
      <c r="AB373" s="196"/>
      <c r="AC373" s="196"/>
      <c r="AD373" s="196"/>
      <c r="AE373" s="196"/>
      <c r="AF373" s="196"/>
      <c r="AG373" s="196"/>
      <c r="AH373" s="196"/>
      <c r="AI373" s="196"/>
      <c r="AJ373" s="196"/>
      <c r="AK373" s="196"/>
      <c r="AL373" s="196"/>
      <c r="AM373" s="196"/>
      <c r="AN373" s="196"/>
      <c r="AO373" s="196"/>
      <c r="AP373" s="196"/>
      <c r="AQ373" s="196"/>
      <c r="AR373" s="196"/>
      <c r="AS373" s="196"/>
      <c r="AT373" s="196"/>
      <c r="AU373" s="153"/>
      <c r="AV373" s="153"/>
      <c r="AW373" s="153"/>
      <c r="AX373" s="153"/>
      <c r="AY373" s="153"/>
      <c r="AZ373" s="153"/>
      <c r="BA373" s="153"/>
      <c r="BB373" s="153"/>
      <c r="BC373" s="153"/>
      <c r="BD373" s="153"/>
      <c r="BE373" s="153"/>
      <c r="BF373" s="153"/>
      <c r="BG373" s="153"/>
      <c r="BH373" s="153"/>
      <c r="BI373" s="153"/>
      <c r="BJ373" s="153"/>
      <c r="BK373" s="153"/>
      <c r="BL373" s="153"/>
      <c r="BM373" s="153"/>
      <c r="BN373" s="153"/>
      <c r="BO373" s="153"/>
      <c r="BP373" s="153"/>
      <c r="BQ373" s="153"/>
      <c r="BR373" s="153"/>
      <c r="BS373" s="153"/>
      <c r="BT373" s="153"/>
      <c r="BU373" s="153"/>
      <c r="BV373" s="153"/>
      <c r="BW373" s="153"/>
      <c r="BX373" s="153"/>
      <c r="BY373" s="153"/>
      <c r="BZ373" s="153"/>
      <c r="CA373" s="153"/>
      <c r="CB373" s="153"/>
      <c r="CC373" s="153"/>
      <c r="CD373" s="153"/>
      <c r="CE373" s="153"/>
      <c r="CF373" s="153"/>
      <c r="CG373" s="153"/>
    </row>
    <row r="374" spans="1:85" s="358" customFormat="1" ht="12.75" customHeight="1" x14ac:dyDescent="0.2">
      <c r="A374" s="357" t="s">
        <v>112</v>
      </c>
      <c r="B374" s="338">
        <v>10</v>
      </c>
      <c r="C374" s="339" t="s">
        <v>547</v>
      </c>
      <c r="D374" s="340" t="s">
        <v>548</v>
      </c>
      <c r="E374" s="341"/>
      <c r="F374" s="341">
        <v>50000000</v>
      </c>
      <c r="G374" s="341"/>
      <c r="H374" s="354" t="s">
        <v>795</v>
      </c>
      <c r="I374" s="339" t="s">
        <v>552</v>
      </c>
      <c r="J374" s="363">
        <v>2</v>
      </c>
      <c r="K374" s="363">
        <v>3</v>
      </c>
      <c r="L374" s="363">
        <v>9</v>
      </c>
      <c r="M374" s="342">
        <f t="shared" si="62"/>
        <v>1</v>
      </c>
      <c r="N374" s="343" t="s">
        <v>233</v>
      </c>
      <c r="O374" s="344" t="str">
        <f>IF(ISBLANK(N374),"",VLOOKUP(N374,[17]Parámetros!$G$2:$H$23,2,FALSE))</f>
        <v>Licitación pública</v>
      </c>
      <c r="P374" s="345">
        <f t="shared" si="66"/>
        <v>1</v>
      </c>
      <c r="Q374" s="346">
        <f t="shared" si="63"/>
        <v>50000000</v>
      </c>
      <c r="R374" s="346">
        <f t="shared" si="64"/>
        <v>50000000</v>
      </c>
      <c r="S374" s="347" t="s">
        <v>223</v>
      </c>
      <c r="T374" s="345">
        <f t="shared" si="67"/>
        <v>0</v>
      </c>
      <c r="U374" s="348" t="str">
        <f t="shared" si="65"/>
        <v>SUBDIRECCION DE GESTION CONTRACTUAL</v>
      </c>
      <c r="V374" s="345" t="str">
        <f t="shared" si="68"/>
        <v>CO-DC</v>
      </c>
      <c r="W374" s="345" t="str">
        <f t="shared" si="69"/>
        <v>Distrito Capital de Bogotá</v>
      </c>
      <c r="X374" s="340" t="s">
        <v>113</v>
      </c>
      <c r="Y374" s="338">
        <v>2427400</v>
      </c>
      <c r="Z374" s="375" t="s">
        <v>114</v>
      </c>
      <c r="AA374" s="350"/>
      <c r="AB374" s="350"/>
      <c r="AC374" s="350"/>
      <c r="AD374" s="350"/>
      <c r="AE374" s="350"/>
      <c r="AF374" s="350"/>
      <c r="AG374" s="350"/>
      <c r="AH374" s="350"/>
      <c r="AI374" s="350"/>
      <c r="AJ374" s="350"/>
      <c r="AK374" s="350"/>
      <c r="AL374" s="350"/>
      <c r="AM374" s="350"/>
      <c r="AN374" s="350"/>
      <c r="AO374" s="350"/>
      <c r="AP374" s="350"/>
      <c r="AQ374" s="350"/>
      <c r="AR374" s="350"/>
      <c r="AS374" s="350"/>
      <c r="AT374" s="350"/>
      <c r="AU374" s="351"/>
      <c r="AV374" s="351"/>
      <c r="AW374" s="351"/>
      <c r="AX374" s="351"/>
      <c r="AY374" s="351"/>
      <c r="AZ374" s="351"/>
      <c r="BA374" s="351"/>
      <c r="BB374" s="351"/>
      <c r="BC374" s="351"/>
      <c r="BD374" s="351"/>
      <c r="BE374" s="351"/>
      <c r="BF374" s="351"/>
      <c r="BG374" s="351"/>
      <c r="BH374" s="351"/>
      <c r="BI374" s="351"/>
      <c r="BJ374" s="351"/>
      <c r="BK374" s="351"/>
      <c r="BL374" s="351"/>
      <c r="BM374" s="351"/>
      <c r="BN374" s="351"/>
      <c r="BO374" s="351"/>
      <c r="BP374" s="351"/>
      <c r="BQ374" s="351"/>
      <c r="BR374" s="351"/>
      <c r="BS374" s="351"/>
      <c r="BT374" s="351"/>
      <c r="BU374" s="351"/>
      <c r="BV374" s="351"/>
      <c r="BW374" s="351"/>
      <c r="BX374" s="351"/>
      <c r="BY374" s="351"/>
      <c r="BZ374" s="351"/>
      <c r="CA374" s="351"/>
      <c r="CB374" s="351"/>
      <c r="CC374" s="351"/>
      <c r="CD374" s="351"/>
      <c r="CE374" s="351"/>
      <c r="CF374" s="351"/>
      <c r="CG374" s="351"/>
    </row>
    <row r="375" spans="1:85" s="10" customFormat="1" ht="12.75" customHeight="1" x14ac:dyDescent="0.2">
      <c r="A375" s="132" t="s">
        <v>112</v>
      </c>
      <c r="B375" s="132">
        <v>11</v>
      </c>
      <c r="C375" s="133" t="s">
        <v>547</v>
      </c>
      <c r="D375" s="133" t="s">
        <v>548</v>
      </c>
      <c r="E375" s="129"/>
      <c r="F375" s="129">
        <v>50000000</v>
      </c>
      <c r="G375" s="129"/>
      <c r="H375" s="134" t="s">
        <v>239</v>
      </c>
      <c r="I375" s="135" t="s">
        <v>553</v>
      </c>
      <c r="J375" s="150">
        <v>2</v>
      </c>
      <c r="K375" s="150">
        <v>3</v>
      </c>
      <c r="L375" s="150">
        <v>4</v>
      </c>
      <c r="M375" s="132">
        <f t="shared" si="62"/>
        <v>1</v>
      </c>
      <c r="N375" s="139" t="s">
        <v>43</v>
      </c>
      <c r="O375" s="140" t="str">
        <f>IF(ISBLANK(N375),"",VLOOKUP(N375,[17]Parámetros!$G$2:$H$23,2,FALSE))</f>
        <v>Selección abreviada subasta inversa</v>
      </c>
      <c r="P375" s="141">
        <f t="shared" si="66"/>
        <v>1</v>
      </c>
      <c r="Q375" s="142">
        <f t="shared" si="63"/>
        <v>50000000</v>
      </c>
      <c r="R375" s="142">
        <f t="shared" si="64"/>
        <v>50000000</v>
      </c>
      <c r="S375" s="143" t="s">
        <v>223</v>
      </c>
      <c r="T375" s="139">
        <f t="shared" si="67"/>
        <v>0</v>
      </c>
      <c r="U375" s="48" t="str">
        <f t="shared" si="65"/>
        <v>SUBDIRECCION DE GESTION CONTRACTUAL</v>
      </c>
      <c r="V375" s="132" t="str">
        <f t="shared" si="68"/>
        <v>CO-DC</v>
      </c>
      <c r="W375" s="48" t="str">
        <f t="shared" si="69"/>
        <v>Distrito Capital de Bogotá</v>
      </c>
      <c r="X375" s="144" t="s">
        <v>331</v>
      </c>
      <c r="Y375" s="132">
        <v>2427400</v>
      </c>
      <c r="Z375" s="144" t="s">
        <v>94</v>
      </c>
    </row>
    <row r="376" spans="1:85" s="10" customFormat="1" ht="12.75" customHeight="1" x14ac:dyDescent="0.2">
      <c r="A376" s="191" t="s">
        <v>112</v>
      </c>
      <c r="B376" s="145">
        <v>12</v>
      </c>
      <c r="C376" s="192" t="s">
        <v>547</v>
      </c>
      <c r="D376" s="155" t="s">
        <v>548</v>
      </c>
      <c r="E376" s="156"/>
      <c r="F376" s="156">
        <v>290000000</v>
      </c>
      <c r="G376" s="156"/>
      <c r="H376" s="134" t="s">
        <v>795</v>
      </c>
      <c r="I376" s="192" t="s">
        <v>552</v>
      </c>
      <c r="J376" s="136">
        <v>2</v>
      </c>
      <c r="K376" s="137">
        <v>3</v>
      </c>
      <c r="L376" s="138">
        <v>9</v>
      </c>
      <c r="M376" s="132">
        <f t="shared" si="62"/>
        <v>1</v>
      </c>
      <c r="N376" s="139" t="s">
        <v>233</v>
      </c>
      <c r="O376" s="140" t="str">
        <f>IF(ISBLANK(N376),"",VLOOKUP(N376,[17]Parámetros!$G$2:$H$23,2,FALSE))</f>
        <v>Licitación pública</v>
      </c>
      <c r="P376" s="193">
        <f t="shared" si="66"/>
        <v>1</v>
      </c>
      <c r="Q376" s="142">
        <f t="shared" si="63"/>
        <v>290000000</v>
      </c>
      <c r="R376" s="142">
        <f t="shared" si="64"/>
        <v>290000000</v>
      </c>
      <c r="S376" s="194" t="s">
        <v>223</v>
      </c>
      <c r="T376" s="193">
        <f t="shared" si="67"/>
        <v>0</v>
      </c>
      <c r="U376" s="48" t="str">
        <f t="shared" si="65"/>
        <v>SUBDIRECCION DE GESTION CONTRACTUAL</v>
      </c>
      <c r="V376" s="193" t="str">
        <f t="shared" si="68"/>
        <v>CO-DC</v>
      </c>
      <c r="W376" s="193" t="str">
        <f t="shared" si="69"/>
        <v>Distrito Capital de Bogotá</v>
      </c>
      <c r="X376" s="155" t="s">
        <v>113</v>
      </c>
      <c r="Y376" s="145">
        <v>2427400</v>
      </c>
      <c r="Z376" s="195" t="s">
        <v>114</v>
      </c>
      <c r="AA376" s="196"/>
      <c r="AB376" s="196"/>
      <c r="AC376" s="196"/>
      <c r="AD376" s="196"/>
      <c r="AE376" s="196"/>
      <c r="AF376" s="196"/>
      <c r="AG376" s="196"/>
      <c r="AH376" s="196"/>
      <c r="AI376" s="196"/>
      <c r="AJ376" s="196"/>
      <c r="AK376" s="196"/>
      <c r="AL376" s="196"/>
      <c r="AM376" s="196"/>
      <c r="AN376" s="196"/>
      <c r="AO376" s="196"/>
      <c r="AP376" s="196"/>
      <c r="AQ376" s="196"/>
      <c r="AR376" s="196"/>
      <c r="AS376" s="196"/>
      <c r="AT376" s="196"/>
      <c r="AU376" s="153"/>
      <c r="AV376" s="153"/>
      <c r="AW376" s="153"/>
      <c r="AX376" s="153"/>
      <c r="AY376" s="153"/>
      <c r="AZ376" s="153"/>
      <c r="BA376" s="153"/>
      <c r="BB376" s="153"/>
      <c r="BC376" s="153"/>
      <c r="BD376" s="153"/>
      <c r="BE376" s="153"/>
      <c r="BF376" s="153"/>
      <c r="BG376" s="153"/>
      <c r="BH376" s="153"/>
      <c r="BI376" s="153"/>
      <c r="BJ376" s="153"/>
      <c r="BK376" s="153"/>
      <c r="BL376" s="153"/>
      <c r="BM376" s="153"/>
      <c r="BN376" s="153"/>
      <c r="BO376" s="153"/>
      <c r="BP376" s="153"/>
      <c r="BQ376" s="153"/>
      <c r="BR376" s="153"/>
      <c r="BS376" s="153"/>
      <c r="BT376" s="153"/>
      <c r="BU376" s="153"/>
      <c r="BV376" s="153"/>
      <c r="BW376" s="153"/>
      <c r="BX376" s="153"/>
      <c r="BY376" s="153"/>
      <c r="BZ376" s="153"/>
      <c r="CA376" s="153"/>
      <c r="CB376" s="153"/>
      <c r="CC376" s="153"/>
      <c r="CD376" s="153"/>
      <c r="CE376" s="153"/>
      <c r="CF376" s="153"/>
      <c r="CG376" s="153"/>
    </row>
    <row r="377" spans="1:85" s="10" customFormat="1" ht="12.75" customHeight="1" x14ac:dyDescent="0.2">
      <c r="A377" s="132" t="s">
        <v>117</v>
      </c>
      <c r="B377" s="132">
        <v>1</v>
      </c>
      <c r="C377" s="133" t="s">
        <v>615</v>
      </c>
      <c r="D377" s="133" t="s">
        <v>462</v>
      </c>
      <c r="E377" s="129"/>
      <c r="F377" s="129">
        <v>1416666667</v>
      </c>
      <c r="G377" s="129"/>
      <c r="H377" s="134">
        <v>80111600</v>
      </c>
      <c r="I377" s="135" t="s">
        <v>463</v>
      </c>
      <c r="J377" s="150">
        <v>1</v>
      </c>
      <c r="K377" s="150">
        <v>1</v>
      </c>
      <c r="L377" s="150">
        <v>12</v>
      </c>
      <c r="M377" s="132">
        <f t="shared" si="62"/>
        <v>1</v>
      </c>
      <c r="N377" s="139" t="s">
        <v>216</v>
      </c>
      <c r="O377" s="140" t="str">
        <f>IF(ISBLANK(N377),"",VLOOKUP(N377,[18]Parámetros!$G$2:$H$23,2,FALSE))</f>
        <v>Contratación directa.</v>
      </c>
      <c r="P377" s="141">
        <f t="shared" si="66"/>
        <v>1</v>
      </c>
      <c r="Q377" s="142">
        <f t="shared" si="63"/>
        <v>1416666667</v>
      </c>
      <c r="R377" s="142">
        <f t="shared" si="64"/>
        <v>1416666667</v>
      </c>
      <c r="S377" s="143" t="s">
        <v>223</v>
      </c>
      <c r="T377" s="139">
        <f t="shared" si="67"/>
        <v>0</v>
      </c>
      <c r="U377" s="48" t="str">
        <f t="shared" si="65"/>
        <v>SUBDIRECCION DE GESTION CONTRACTUAL</v>
      </c>
      <c r="V377" s="132" t="str">
        <f t="shared" si="68"/>
        <v>CO-DC</v>
      </c>
      <c r="W377" s="48" t="str">
        <f t="shared" si="69"/>
        <v>Distrito Capital de Bogotá</v>
      </c>
      <c r="X377" s="144" t="s">
        <v>331</v>
      </c>
      <c r="Y377" s="132">
        <v>2427400</v>
      </c>
      <c r="Z377" s="144" t="s">
        <v>94</v>
      </c>
    </row>
    <row r="378" spans="1:85" s="10" customFormat="1" ht="12.75" customHeight="1" x14ac:dyDescent="0.2">
      <c r="A378" s="132" t="s">
        <v>117</v>
      </c>
      <c r="B378" s="132">
        <v>2</v>
      </c>
      <c r="C378" s="133" t="s">
        <v>118</v>
      </c>
      <c r="D378" s="133" t="s">
        <v>462</v>
      </c>
      <c r="E378" s="129"/>
      <c r="F378" s="129">
        <v>1375206666</v>
      </c>
      <c r="G378" s="129"/>
      <c r="H378" s="134">
        <v>80111600</v>
      </c>
      <c r="I378" s="135" t="s">
        <v>463</v>
      </c>
      <c r="J378" s="150">
        <v>1</v>
      </c>
      <c r="K378" s="150">
        <v>1</v>
      </c>
      <c r="L378" s="150">
        <v>12</v>
      </c>
      <c r="M378" s="132">
        <f t="shared" si="62"/>
        <v>1</v>
      </c>
      <c r="N378" s="139" t="s">
        <v>216</v>
      </c>
      <c r="O378" s="140" t="str">
        <f>IF(ISBLANK(N378),"",VLOOKUP(N378,[18]Parámetros!$G$2:$H$23,2,FALSE))</f>
        <v>Contratación directa.</v>
      </c>
      <c r="P378" s="141">
        <f t="shared" si="66"/>
        <v>1</v>
      </c>
      <c r="Q378" s="142">
        <f t="shared" si="63"/>
        <v>1375206666</v>
      </c>
      <c r="R378" s="142">
        <f t="shared" si="64"/>
        <v>1375206666</v>
      </c>
      <c r="S378" s="143" t="s">
        <v>223</v>
      </c>
      <c r="T378" s="139">
        <f t="shared" si="67"/>
        <v>0</v>
      </c>
      <c r="U378" s="48" t="str">
        <f t="shared" si="65"/>
        <v>SUBDIRECCION DE GESTION CONTRACTUAL</v>
      </c>
      <c r="V378" s="132" t="str">
        <f t="shared" si="68"/>
        <v>CO-DC</v>
      </c>
      <c r="W378" s="48" t="str">
        <f t="shared" si="69"/>
        <v>Distrito Capital de Bogotá</v>
      </c>
      <c r="X378" s="144" t="s">
        <v>331</v>
      </c>
      <c r="Y378" s="132">
        <v>2427400</v>
      </c>
      <c r="Z378" s="144" t="s">
        <v>94</v>
      </c>
    </row>
    <row r="379" spans="1:85" s="153" customFormat="1" ht="13.9" customHeight="1" x14ac:dyDescent="0.2">
      <c r="A379" s="132" t="s">
        <v>117</v>
      </c>
      <c r="B379" s="132">
        <v>3</v>
      </c>
      <c r="C379" s="133" t="s">
        <v>118</v>
      </c>
      <c r="D379" s="133" t="s">
        <v>462</v>
      </c>
      <c r="E379" s="129"/>
      <c r="F379" s="129">
        <v>2623583333</v>
      </c>
      <c r="G379" s="129"/>
      <c r="H379" s="134" t="s">
        <v>464</v>
      </c>
      <c r="I379" s="135" t="s">
        <v>465</v>
      </c>
      <c r="J379" s="150">
        <v>2</v>
      </c>
      <c r="K379" s="150">
        <v>4</v>
      </c>
      <c r="L379" s="150">
        <v>6</v>
      </c>
      <c r="M379" s="132">
        <f t="shared" si="62"/>
        <v>1</v>
      </c>
      <c r="N379" s="139" t="s">
        <v>233</v>
      </c>
      <c r="O379" s="140" t="str">
        <f>IF(ISBLANK(N379),"",VLOOKUP(N379,[18]Parámetros!$G$2:$H$23,2,FALSE))</f>
        <v>Licitación pública</v>
      </c>
      <c r="P379" s="141">
        <f t="shared" si="66"/>
        <v>1</v>
      </c>
      <c r="Q379" s="142">
        <f t="shared" si="63"/>
        <v>2623583333</v>
      </c>
      <c r="R379" s="142">
        <f t="shared" si="64"/>
        <v>2623583333</v>
      </c>
      <c r="S379" s="143" t="s">
        <v>223</v>
      </c>
      <c r="T379" s="139">
        <f t="shared" si="67"/>
        <v>0</v>
      </c>
      <c r="U379" s="48" t="str">
        <f t="shared" si="65"/>
        <v>SUBDIRECCION DE GESTION CONTRACTUAL</v>
      </c>
      <c r="V379" s="132" t="str">
        <f t="shared" si="68"/>
        <v>CO-DC</v>
      </c>
      <c r="W379" s="48" t="str">
        <f t="shared" si="69"/>
        <v>Distrito Capital de Bogotá</v>
      </c>
      <c r="X379" s="144" t="s">
        <v>331</v>
      </c>
      <c r="Y379" s="132">
        <v>2427400</v>
      </c>
      <c r="Z379" s="144" t="s">
        <v>94</v>
      </c>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c r="BF379" s="10"/>
      <c r="BG379" s="10"/>
      <c r="BH379" s="10"/>
      <c r="BI379" s="10"/>
      <c r="BJ379" s="10"/>
      <c r="BK379" s="10"/>
      <c r="BL379" s="10"/>
      <c r="BM379" s="10"/>
      <c r="BN379" s="10"/>
      <c r="BO379" s="10"/>
      <c r="BP379" s="10"/>
      <c r="BQ379" s="10"/>
      <c r="BR379" s="10"/>
      <c r="BS379" s="10"/>
      <c r="BT379" s="10"/>
      <c r="BU379" s="10"/>
      <c r="BV379" s="10"/>
      <c r="BW379" s="10"/>
      <c r="BX379" s="10"/>
      <c r="BY379" s="10"/>
      <c r="BZ379" s="10"/>
      <c r="CA379" s="10"/>
      <c r="CB379" s="10"/>
      <c r="CC379" s="10"/>
      <c r="CD379" s="10"/>
      <c r="CE379" s="10"/>
      <c r="CF379" s="10"/>
      <c r="CG379" s="10"/>
    </row>
    <row r="380" spans="1:85" s="10" customFormat="1" ht="12.75" customHeight="1" x14ac:dyDescent="0.2">
      <c r="A380" s="132" t="s">
        <v>117</v>
      </c>
      <c r="B380" s="132">
        <v>4</v>
      </c>
      <c r="C380" s="133" t="s">
        <v>118</v>
      </c>
      <c r="D380" s="133" t="s">
        <v>462</v>
      </c>
      <c r="E380" s="129"/>
      <c r="F380" s="129">
        <v>225000000</v>
      </c>
      <c r="G380" s="129"/>
      <c r="H380" s="134" t="s">
        <v>119</v>
      </c>
      <c r="I380" s="135" t="s">
        <v>466</v>
      </c>
      <c r="J380" s="150">
        <v>1</v>
      </c>
      <c r="K380" s="150">
        <v>2</v>
      </c>
      <c r="L380" s="150">
        <v>2</v>
      </c>
      <c r="M380" s="132">
        <f t="shared" si="62"/>
        <v>1</v>
      </c>
      <c r="N380" s="139" t="s">
        <v>43</v>
      </c>
      <c r="O380" s="140" t="str">
        <f>IF(ISBLANK(N380),"",VLOOKUP(N380,[18]Parámetros!$G$2:$H$23,2,FALSE))</f>
        <v>Selección abreviada subasta inversa</v>
      </c>
      <c r="P380" s="141">
        <f t="shared" si="66"/>
        <v>1</v>
      </c>
      <c r="Q380" s="142">
        <f t="shared" si="63"/>
        <v>225000000</v>
      </c>
      <c r="R380" s="142">
        <f t="shared" si="64"/>
        <v>225000000</v>
      </c>
      <c r="S380" s="143" t="s">
        <v>223</v>
      </c>
      <c r="T380" s="139">
        <f t="shared" si="67"/>
        <v>0</v>
      </c>
      <c r="U380" s="48" t="str">
        <f t="shared" si="65"/>
        <v>SUBDIRECCION DE GESTION CONTRACTUAL</v>
      </c>
      <c r="V380" s="132" t="str">
        <f t="shared" si="68"/>
        <v>CO-DC</v>
      </c>
      <c r="W380" s="48" t="str">
        <f t="shared" si="69"/>
        <v>Distrito Capital de Bogotá</v>
      </c>
      <c r="X380" s="144" t="s">
        <v>331</v>
      </c>
      <c r="Y380" s="132">
        <v>2427400</v>
      </c>
      <c r="Z380" s="144" t="s">
        <v>94</v>
      </c>
    </row>
    <row r="381" spans="1:85" s="10" customFormat="1" ht="12.75" customHeight="1" x14ac:dyDescent="0.2">
      <c r="A381" s="132" t="s">
        <v>117</v>
      </c>
      <c r="B381" s="132">
        <v>5</v>
      </c>
      <c r="C381" s="133" t="s">
        <v>118</v>
      </c>
      <c r="D381" s="133" t="s">
        <v>462</v>
      </c>
      <c r="E381" s="129"/>
      <c r="F381" s="129">
        <v>250000000</v>
      </c>
      <c r="G381" s="129"/>
      <c r="H381" s="134" t="s">
        <v>467</v>
      </c>
      <c r="I381" s="135" t="s">
        <v>468</v>
      </c>
      <c r="J381" s="150">
        <v>1</v>
      </c>
      <c r="K381" s="150">
        <v>2</v>
      </c>
      <c r="L381" s="150">
        <v>2</v>
      </c>
      <c r="M381" s="132">
        <f t="shared" si="62"/>
        <v>1</v>
      </c>
      <c r="N381" s="139" t="s">
        <v>43</v>
      </c>
      <c r="O381" s="140" t="str">
        <f>IF(ISBLANK(N381),"",VLOOKUP(N381,[18]Parámetros!$G$2:$H$23,2,FALSE))</f>
        <v>Selección abreviada subasta inversa</v>
      </c>
      <c r="P381" s="141">
        <f t="shared" si="66"/>
        <v>1</v>
      </c>
      <c r="Q381" s="142">
        <f t="shared" si="63"/>
        <v>250000000</v>
      </c>
      <c r="R381" s="142">
        <f t="shared" si="64"/>
        <v>250000000</v>
      </c>
      <c r="S381" s="143" t="s">
        <v>223</v>
      </c>
      <c r="T381" s="139">
        <f t="shared" si="67"/>
        <v>0</v>
      </c>
      <c r="U381" s="48" t="str">
        <f t="shared" si="65"/>
        <v>SUBDIRECCION DE GESTION CONTRACTUAL</v>
      </c>
      <c r="V381" s="132" t="str">
        <f t="shared" si="68"/>
        <v>CO-DC</v>
      </c>
      <c r="W381" s="48" t="str">
        <f t="shared" si="69"/>
        <v>Distrito Capital de Bogotá</v>
      </c>
      <c r="X381" s="144" t="s">
        <v>331</v>
      </c>
      <c r="Y381" s="132">
        <v>2427400</v>
      </c>
      <c r="Z381" s="144" t="s">
        <v>94</v>
      </c>
    </row>
    <row r="382" spans="1:85" s="10" customFormat="1" ht="12.75" customHeight="1" x14ac:dyDescent="0.2">
      <c r="A382" s="132" t="s">
        <v>117</v>
      </c>
      <c r="B382" s="132">
        <v>6</v>
      </c>
      <c r="C382" s="133" t="s">
        <v>615</v>
      </c>
      <c r="D382" s="133" t="s">
        <v>462</v>
      </c>
      <c r="E382" s="129"/>
      <c r="F382" s="129">
        <v>1297767202</v>
      </c>
      <c r="G382" s="129"/>
      <c r="H382" s="134" t="s">
        <v>469</v>
      </c>
      <c r="I382" s="135" t="s">
        <v>470</v>
      </c>
      <c r="J382" s="150">
        <v>2</v>
      </c>
      <c r="K382" s="150">
        <v>4</v>
      </c>
      <c r="L382" s="150">
        <v>7</v>
      </c>
      <c r="M382" s="132">
        <f t="shared" si="62"/>
        <v>1</v>
      </c>
      <c r="N382" s="139" t="s">
        <v>233</v>
      </c>
      <c r="O382" s="140" t="str">
        <f>IF(ISBLANK(N382),"",VLOOKUP(N382,[18]Parámetros!$G$2:$H$23,2,FALSE))</f>
        <v>Licitación pública</v>
      </c>
      <c r="P382" s="141">
        <f t="shared" si="66"/>
        <v>1</v>
      </c>
      <c r="Q382" s="142">
        <f t="shared" si="63"/>
        <v>1297767202</v>
      </c>
      <c r="R382" s="142">
        <f t="shared" si="64"/>
        <v>1297767202</v>
      </c>
      <c r="S382" s="143" t="s">
        <v>223</v>
      </c>
      <c r="T382" s="139">
        <f t="shared" si="67"/>
        <v>0</v>
      </c>
      <c r="U382" s="48" t="str">
        <f t="shared" si="65"/>
        <v>SUBDIRECCION DE GESTION CONTRACTUAL</v>
      </c>
      <c r="V382" s="132" t="str">
        <f t="shared" si="68"/>
        <v>CO-DC</v>
      </c>
      <c r="W382" s="48" t="str">
        <f t="shared" si="69"/>
        <v>Distrito Capital de Bogotá</v>
      </c>
      <c r="X382" s="144" t="s">
        <v>331</v>
      </c>
      <c r="Y382" s="132">
        <v>2427400</v>
      </c>
      <c r="Z382" s="144" t="s">
        <v>94</v>
      </c>
    </row>
    <row r="383" spans="1:85" s="10" customFormat="1" ht="12.75" customHeight="1" x14ac:dyDescent="0.2">
      <c r="A383" s="132" t="s">
        <v>117</v>
      </c>
      <c r="B383" s="132">
        <v>7</v>
      </c>
      <c r="C383" s="133" t="s">
        <v>118</v>
      </c>
      <c r="D383" s="133" t="s">
        <v>462</v>
      </c>
      <c r="E383" s="129"/>
      <c r="F383" s="129">
        <v>80000000</v>
      </c>
      <c r="G383" s="129"/>
      <c r="H383" s="134" t="s">
        <v>121</v>
      </c>
      <c r="I383" s="135" t="s">
        <v>471</v>
      </c>
      <c r="J383" s="150">
        <v>8</v>
      </c>
      <c r="K383" s="150">
        <v>8</v>
      </c>
      <c r="L383" s="150">
        <v>2</v>
      </c>
      <c r="M383" s="132">
        <f t="shared" si="62"/>
        <v>1</v>
      </c>
      <c r="N383" s="139" t="s">
        <v>53</v>
      </c>
      <c r="O383" s="140" t="str">
        <f>IF(ISBLANK(N383),"",VLOOKUP(N383,[18]Parámetros!$G$2:$H$23,2,FALSE))</f>
        <v>Seléccion abreviada - acuerdo marco</v>
      </c>
      <c r="P383" s="141">
        <f t="shared" si="66"/>
        <v>1</v>
      </c>
      <c r="Q383" s="142">
        <f t="shared" si="63"/>
        <v>80000000</v>
      </c>
      <c r="R383" s="142">
        <f t="shared" si="64"/>
        <v>80000000</v>
      </c>
      <c r="S383" s="143" t="s">
        <v>223</v>
      </c>
      <c r="T383" s="139">
        <f t="shared" si="67"/>
        <v>0</v>
      </c>
      <c r="U383" s="48" t="str">
        <f t="shared" si="65"/>
        <v>SUBDIRECCION DE GESTION CONTRACTUAL</v>
      </c>
      <c r="V383" s="132" t="str">
        <f t="shared" si="68"/>
        <v>CO-DC</v>
      </c>
      <c r="W383" s="48" t="str">
        <f t="shared" si="69"/>
        <v>Distrito Capital de Bogotá</v>
      </c>
      <c r="X383" s="144" t="s">
        <v>331</v>
      </c>
      <c r="Y383" s="132">
        <v>2427400</v>
      </c>
      <c r="Z383" s="144" t="s">
        <v>94</v>
      </c>
    </row>
    <row r="384" spans="1:85" s="10" customFormat="1" ht="12.75" customHeight="1" x14ac:dyDescent="0.2">
      <c r="A384" s="132" t="s">
        <v>117</v>
      </c>
      <c r="B384" s="132">
        <v>8</v>
      </c>
      <c r="C384" s="133" t="s">
        <v>118</v>
      </c>
      <c r="D384" s="133" t="s">
        <v>462</v>
      </c>
      <c r="E384" s="129"/>
      <c r="F384" s="129">
        <v>350000000</v>
      </c>
      <c r="G384" s="129"/>
      <c r="H384" s="134" t="s">
        <v>472</v>
      </c>
      <c r="I384" s="135" t="s">
        <v>473</v>
      </c>
      <c r="J384" s="150">
        <v>3</v>
      </c>
      <c r="K384" s="150">
        <v>4</v>
      </c>
      <c r="L384" s="150">
        <v>2</v>
      </c>
      <c r="M384" s="132">
        <f t="shared" si="62"/>
        <v>1</v>
      </c>
      <c r="N384" s="139" t="s">
        <v>43</v>
      </c>
      <c r="O384" s="140" t="str">
        <f>IF(ISBLANK(N384),"",VLOOKUP(N384,[18]Parámetros!$G$2:$H$23,2,FALSE))</f>
        <v>Selección abreviada subasta inversa</v>
      </c>
      <c r="P384" s="141">
        <f t="shared" si="66"/>
        <v>1</v>
      </c>
      <c r="Q384" s="142">
        <f t="shared" si="63"/>
        <v>350000000</v>
      </c>
      <c r="R384" s="142">
        <f t="shared" si="64"/>
        <v>350000000</v>
      </c>
      <c r="S384" s="143" t="s">
        <v>223</v>
      </c>
      <c r="T384" s="139">
        <f t="shared" si="67"/>
        <v>0</v>
      </c>
      <c r="U384" s="48" t="str">
        <f t="shared" si="65"/>
        <v>SUBDIRECCION DE GESTION CONTRACTUAL</v>
      </c>
      <c r="V384" s="132" t="str">
        <f t="shared" si="68"/>
        <v>CO-DC</v>
      </c>
      <c r="W384" s="48" t="str">
        <f t="shared" si="69"/>
        <v>Distrito Capital de Bogotá</v>
      </c>
      <c r="X384" s="144" t="s">
        <v>331</v>
      </c>
      <c r="Y384" s="132">
        <v>2427400</v>
      </c>
      <c r="Z384" s="144" t="s">
        <v>94</v>
      </c>
    </row>
    <row r="385" spans="1:85" s="10" customFormat="1" ht="12.75" customHeight="1" x14ac:dyDescent="0.2">
      <c r="A385" s="132" t="s">
        <v>117</v>
      </c>
      <c r="B385" s="132">
        <v>9</v>
      </c>
      <c r="C385" s="133" t="s">
        <v>118</v>
      </c>
      <c r="D385" s="133" t="s">
        <v>462</v>
      </c>
      <c r="E385" s="129"/>
      <c r="F385" s="129">
        <v>1600000000</v>
      </c>
      <c r="G385" s="129"/>
      <c r="H385" s="134" t="s">
        <v>249</v>
      </c>
      <c r="I385" s="135" t="s">
        <v>474</v>
      </c>
      <c r="J385" s="150">
        <v>3</v>
      </c>
      <c r="K385" s="150">
        <v>4</v>
      </c>
      <c r="L385" s="150">
        <v>8</v>
      </c>
      <c r="M385" s="132">
        <f t="shared" si="62"/>
        <v>1</v>
      </c>
      <c r="N385" s="139" t="s">
        <v>53</v>
      </c>
      <c r="O385" s="140" t="str">
        <f>IF(ISBLANK(N385),"",VLOOKUP(N385,[18]Parámetros!$G$2:$H$23,2,FALSE))</f>
        <v>Seléccion abreviada - acuerdo marco</v>
      </c>
      <c r="P385" s="141">
        <f t="shared" si="66"/>
        <v>1</v>
      </c>
      <c r="Q385" s="142">
        <f t="shared" si="63"/>
        <v>1600000000</v>
      </c>
      <c r="R385" s="142">
        <f t="shared" si="64"/>
        <v>1600000000</v>
      </c>
      <c r="S385" s="143" t="s">
        <v>223</v>
      </c>
      <c r="T385" s="139">
        <f t="shared" si="67"/>
        <v>0</v>
      </c>
      <c r="U385" s="48" t="str">
        <f t="shared" si="65"/>
        <v>SUBDIRECCION DE GESTION CONTRACTUAL</v>
      </c>
      <c r="V385" s="132" t="str">
        <f t="shared" si="68"/>
        <v>CO-DC</v>
      </c>
      <c r="W385" s="48" t="str">
        <f t="shared" si="69"/>
        <v>Distrito Capital de Bogotá</v>
      </c>
      <c r="X385" s="144" t="s">
        <v>331</v>
      </c>
      <c r="Y385" s="132">
        <v>2427400</v>
      </c>
      <c r="Z385" s="144" t="s">
        <v>94</v>
      </c>
    </row>
    <row r="386" spans="1:85" s="153" customFormat="1" ht="13.9" customHeight="1" x14ac:dyDescent="0.2">
      <c r="A386" s="132" t="s">
        <v>117</v>
      </c>
      <c r="B386" s="132">
        <v>10</v>
      </c>
      <c r="C386" s="133" t="s">
        <v>118</v>
      </c>
      <c r="D386" s="133" t="s">
        <v>462</v>
      </c>
      <c r="E386" s="129"/>
      <c r="F386" s="129">
        <v>700000000</v>
      </c>
      <c r="G386" s="129"/>
      <c r="H386" s="134" t="s">
        <v>475</v>
      </c>
      <c r="I386" s="135" t="s">
        <v>476</v>
      </c>
      <c r="J386" s="150">
        <v>2</v>
      </c>
      <c r="K386" s="150">
        <v>4</v>
      </c>
      <c r="L386" s="150">
        <v>7</v>
      </c>
      <c r="M386" s="132">
        <f t="shared" si="62"/>
        <v>1</v>
      </c>
      <c r="N386" s="139" t="s">
        <v>477</v>
      </c>
      <c r="O386" s="140" t="str">
        <f>IF(ISBLANK(N386),"",VLOOKUP(N386,[18]Parámetros!$G$2:$H$23,2,FALSE))</f>
        <v>Concurso de méritos abierto</v>
      </c>
      <c r="P386" s="141">
        <f t="shared" ref="P386:P417" si="70">IF(ISBLANK(N386),"",1)</f>
        <v>1</v>
      </c>
      <c r="Q386" s="142">
        <f t="shared" si="63"/>
        <v>700000000</v>
      </c>
      <c r="R386" s="142">
        <f t="shared" si="64"/>
        <v>700000000</v>
      </c>
      <c r="S386" s="143" t="s">
        <v>223</v>
      </c>
      <c r="T386" s="139">
        <f t="shared" ref="T386:T417" si="71">IF(ISBLANK(S386),"",IF(VALUE(S386)=0,0,IF(VALUE(S386)=1,3,"")))</f>
        <v>0</v>
      </c>
      <c r="U386" s="48" t="str">
        <f t="shared" si="65"/>
        <v>SUBDIRECCION DE GESTION CONTRACTUAL</v>
      </c>
      <c r="V386" s="132" t="str">
        <f t="shared" si="68"/>
        <v>CO-DC</v>
      </c>
      <c r="W386" s="48" t="str">
        <f t="shared" si="69"/>
        <v>Distrito Capital de Bogotá</v>
      </c>
      <c r="X386" s="144" t="s">
        <v>331</v>
      </c>
      <c r="Y386" s="132">
        <v>2427400</v>
      </c>
      <c r="Z386" s="144" t="s">
        <v>94</v>
      </c>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c r="BF386" s="10"/>
      <c r="BG386" s="10"/>
      <c r="BH386" s="10"/>
      <c r="BI386" s="10"/>
      <c r="BJ386" s="10"/>
      <c r="BK386" s="10"/>
      <c r="BL386" s="10"/>
      <c r="BM386" s="10"/>
      <c r="BN386" s="10"/>
      <c r="BO386" s="10"/>
      <c r="BP386" s="10"/>
      <c r="BQ386" s="10"/>
      <c r="BR386" s="10"/>
      <c r="BS386" s="10"/>
      <c r="BT386" s="10"/>
      <c r="BU386" s="10"/>
      <c r="BV386" s="10"/>
      <c r="BW386" s="10"/>
      <c r="BX386" s="10"/>
      <c r="BY386" s="10"/>
      <c r="BZ386" s="10"/>
      <c r="CA386" s="10"/>
      <c r="CB386" s="10"/>
      <c r="CC386" s="10"/>
      <c r="CD386" s="10"/>
      <c r="CE386" s="10"/>
      <c r="CF386" s="10"/>
      <c r="CG386" s="10"/>
    </row>
    <row r="387" spans="1:85" s="153" customFormat="1" ht="13.9" customHeight="1" x14ac:dyDescent="0.2">
      <c r="A387" s="132" t="s">
        <v>117</v>
      </c>
      <c r="B387" s="132">
        <v>11</v>
      </c>
      <c r="C387" s="133" t="s">
        <v>118</v>
      </c>
      <c r="D387" s="133" t="s">
        <v>462</v>
      </c>
      <c r="E387" s="129"/>
      <c r="F387" s="129">
        <v>150000000</v>
      </c>
      <c r="G387" s="129"/>
      <c r="H387" s="134" t="s">
        <v>664</v>
      </c>
      <c r="I387" s="135" t="s">
        <v>478</v>
      </c>
      <c r="J387" s="150">
        <v>2</v>
      </c>
      <c r="K387" s="150">
        <v>4</v>
      </c>
      <c r="L387" s="150">
        <v>4</v>
      </c>
      <c r="M387" s="132">
        <f t="shared" si="62"/>
        <v>1</v>
      </c>
      <c r="N387" s="139" t="s">
        <v>477</v>
      </c>
      <c r="O387" s="140" t="str">
        <f>IF(ISBLANK(N387),"",VLOOKUP(N387,[18]Parámetros!$G$2:$H$23,2,FALSE))</f>
        <v>Concurso de méritos abierto</v>
      </c>
      <c r="P387" s="141">
        <f t="shared" si="70"/>
        <v>1</v>
      </c>
      <c r="Q387" s="142">
        <f t="shared" si="63"/>
        <v>150000000</v>
      </c>
      <c r="R387" s="142">
        <f t="shared" si="64"/>
        <v>150000000</v>
      </c>
      <c r="S387" s="143" t="s">
        <v>223</v>
      </c>
      <c r="T387" s="139">
        <f t="shared" si="71"/>
        <v>0</v>
      </c>
      <c r="U387" s="48" t="str">
        <f t="shared" si="65"/>
        <v>SUBDIRECCION DE GESTION CONTRACTUAL</v>
      </c>
      <c r="V387" s="132" t="str">
        <f t="shared" si="68"/>
        <v>CO-DC</v>
      </c>
      <c r="W387" s="48" t="str">
        <f t="shared" si="69"/>
        <v>Distrito Capital de Bogotá</v>
      </c>
      <c r="X387" s="144" t="s">
        <v>331</v>
      </c>
      <c r="Y387" s="132">
        <v>2427400</v>
      </c>
      <c r="Z387" s="144" t="s">
        <v>94</v>
      </c>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c r="BF387" s="10"/>
      <c r="BG387" s="10"/>
      <c r="BH387" s="10"/>
      <c r="BI387" s="10"/>
      <c r="BJ387" s="10"/>
      <c r="BK387" s="10"/>
      <c r="BL387" s="10"/>
      <c r="BM387" s="10"/>
      <c r="BN387" s="10"/>
      <c r="BO387" s="10"/>
      <c r="BP387" s="10"/>
      <c r="BQ387" s="10"/>
      <c r="BR387" s="10"/>
      <c r="BS387" s="10"/>
      <c r="BT387" s="10"/>
      <c r="BU387" s="10"/>
      <c r="BV387" s="10"/>
      <c r="BW387" s="10"/>
      <c r="BX387" s="10"/>
      <c r="BY387" s="10"/>
      <c r="BZ387" s="10"/>
      <c r="CA387" s="10"/>
      <c r="CB387" s="10"/>
      <c r="CC387" s="10"/>
      <c r="CD387" s="10"/>
      <c r="CE387" s="10"/>
      <c r="CF387" s="10"/>
      <c r="CG387" s="10"/>
    </row>
    <row r="388" spans="1:85" s="153" customFormat="1" ht="13.9" customHeight="1" x14ac:dyDescent="0.2">
      <c r="A388" s="132" t="s">
        <v>117</v>
      </c>
      <c r="B388" s="132">
        <v>12</v>
      </c>
      <c r="C388" s="133" t="s">
        <v>479</v>
      </c>
      <c r="D388" s="133" t="s">
        <v>480</v>
      </c>
      <c r="E388" s="129"/>
      <c r="F388" s="129">
        <v>1748500000</v>
      </c>
      <c r="G388" s="129"/>
      <c r="H388" s="134">
        <v>80111600</v>
      </c>
      <c r="I388" s="135" t="s">
        <v>481</v>
      </c>
      <c r="J388" s="150">
        <v>1</v>
      </c>
      <c r="K388" s="150">
        <v>1</v>
      </c>
      <c r="L388" s="150">
        <v>12</v>
      </c>
      <c r="M388" s="132">
        <f t="shared" si="62"/>
        <v>1</v>
      </c>
      <c r="N388" s="139" t="s">
        <v>216</v>
      </c>
      <c r="O388" s="140" t="str">
        <f>IF(ISBLANK(N388),"",VLOOKUP(N388,[18]Parámetros!$G$2:$H$23,2,FALSE))</f>
        <v>Contratación directa.</v>
      </c>
      <c r="P388" s="141">
        <f t="shared" si="70"/>
        <v>1</v>
      </c>
      <c r="Q388" s="142">
        <f t="shared" si="63"/>
        <v>1748500000</v>
      </c>
      <c r="R388" s="142">
        <f t="shared" si="64"/>
        <v>1748500000</v>
      </c>
      <c r="S388" s="143" t="s">
        <v>223</v>
      </c>
      <c r="T388" s="139">
        <f t="shared" si="71"/>
        <v>0</v>
      </c>
      <c r="U388" s="48" t="str">
        <f t="shared" si="65"/>
        <v>SUBDIRECCION DE GESTION CONTRACTUAL</v>
      </c>
      <c r="V388" s="132" t="str">
        <f t="shared" si="68"/>
        <v>CO-DC</v>
      </c>
      <c r="W388" s="48" t="str">
        <f t="shared" si="69"/>
        <v>Distrito Capital de Bogotá</v>
      </c>
      <c r="X388" s="144" t="s">
        <v>331</v>
      </c>
      <c r="Y388" s="132">
        <v>2427400</v>
      </c>
      <c r="Z388" s="144" t="s">
        <v>94</v>
      </c>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c r="BF388" s="10"/>
      <c r="BG388" s="10"/>
      <c r="BH388" s="10"/>
      <c r="BI388" s="10"/>
      <c r="BJ388" s="10"/>
      <c r="BK388" s="10"/>
      <c r="BL388" s="10"/>
      <c r="BM388" s="10"/>
      <c r="BN388" s="10"/>
      <c r="BO388" s="10"/>
      <c r="BP388" s="10"/>
      <c r="BQ388" s="10"/>
      <c r="BR388" s="10"/>
      <c r="BS388" s="10"/>
      <c r="BT388" s="10"/>
      <c r="BU388" s="10"/>
      <c r="BV388" s="10"/>
      <c r="BW388" s="10"/>
      <c r="BX388" s="10"/>
      <c r="BY388" s="10"/>
      <c r="BZ388" s="10"/>
      <c r="CA388" s="10"/>
      <c r="CB388" s="10"/>
      <c r="CC388" s="10"/>
      <c r="CD388" s="10"/>
      <c r="CE388" s="10"/>
      <c r="CF388" s="10"/>
      <c r="CG388" s="10"/>
    </row>
    <row r="389" spans="1:85" s="153" customFormat="1" ht="13.9" customHeight="1" x14ac:dyDescent="0.2">
      <c r="A389" s="132" t="s">
        <v>117</v>
      </c>
      <c r="B389" s="132">
        <v>13</v>
      </c>
      <c r="C389" s="133" t="s">
        <v>479</v>
      </c>
      <c r="D389" s="133" t="s">
        <v>480</v>
      </c>
      <c r="E389" s="129"/>
      <c r="F389" s="129">
        <v>196000000</v>
      </c>
      <c r="G389" s="129"/>
      <c r="H389" s="134" t="s">
        <v>482</v>
      </c>
      <c r="I389" s="135" t="s">
        <v>465</v>
      </c>
      <c r="J389" s="150">
        <v>6</v>
      </c>
      <c r="K389" s="150">
        <v>7</v>
      </c>
      <c r="L389" s="150">
        <v>4</v>
      </c>
      <c r="M389" s="132">
        <f t="shared" si="62"/>
        <v>1</v>
      </c>
      <c r="N389" s="139" t="s">
        <v>53</v>
      </c>
      <c r="O389" s="140" t="str">
        <f>IF(ISBLANK(N389),"",VLOOKUP(N389,[18]Parámetros!$G$2:$H$23,2,FALSE))</f>
        <v>Seléccion abreviada - acuerdo marco</v>
      </c>
      <c r="P389" s="141">
        <f t="shared" si="70"/>
        <v>1</v>
      </c>
      <c r="Q389" s="142">
        <f t="shared" si="63"/>
        <v>196000000</v>
      </c>
      <c r="R389" s="142">
        <f t="shared" si="64"/>
        <v>196000000</v>
      </c>
      <c r="S389" s="143" t="s">
        <v>223</v>
      </c>
      <c r="T389" s="139">
        <f t="shared" si="71"/>
        <v>0</v>
      </c>
      <c r="U389" s="48" t="str">
        <f t="shared" si="65"/>
        <v>SUBDIRECCION DE GESTION CONTRACTUAL</v>
      </c>
      <c r="V389" s="132" t="str">
        <f t="shared" si="68"/>
        <v>CO-DC</v>
      </c>
      <c r="W389" s="48" t="str">
        <f t="shared" si="69"/>
        <v>Distrito Capital de Bogotá</v>
      </c>
      <c r="X389" s="144" t="s">
        <v>331</v>
      </c>
      <c r="Y389" s="132">
        <v>2427400</v>
      </c>
      <c r="Z389" s="144" t="s">
        <v>94</v>
      </c>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c r="BF389" s="10"/>
      <c r="BG389" s="10"/>
      <c r="BH389" s="10"/>
      <c r="BI389" s="10"/>
      <c r="BJ389" s="10"/>
      <c r="BK389" s="10"/>
      <c r="BL389" s="10"/>
      <c r="BM389" s="10"/>
      <c r="BN389" s="10"/>
      <c r="BO389" s="10"/>
      <c r="BP389" s="10"/>
      <c r="BQ389" s="10"/>
      <c r="BR389" s="10"/>
      <c r="BS389" s="10"/>
      <c r="BT389" s="10"/>
      <c r="BU389" s="10"/>
      <c r="BV389" s="10"/>
      <c r="BW389" s="10"/>
      <c r="BX389" s="10"/>
      <c r="BY389" s="10"/>
      <c r="BZ389" s="10"/>
      <c r="CA389" s="10"/>
      <c r="CB389" s="10"/>
      <c r="CC389" s="10"/>
      <c r="CD389" s="10"/>
      <c r="CE389" s="10"/>
      <c r="CF389" s="10"/>
      <c r="CG389" s="10"/>
    </row>
    <row r="390" spans="1:85" s="153" customFormat="1" ht="13.9" customHeight="1" x14ac:dyDescent="0.2">
      <c r="A390" s="132" t="s">
        <v>117</v>
      </c>
      <c r="B390" s="132">
        <v>14</v>
      </c>
      <c r="C390" s="133" t="s">
        <v>479</v>
      </c>
      <c r="D390" s="133" t="s">
        <v>480</v>
      </c>
      <c r="E390" s="129"/>
      <c r="F390" s="129">
        <v>55500000</v>
      </c>
      <c r="G390" s="129"/>
      <c r="H390" s="134" t="s">
        <v>124</v>
      </c>
      <c r="I390" s="135" t="s">
        <v>483</v>
      </c>
      <c r="J390" s="150">
        <v>2</v>
      </c>
      <c r="K390" s="150">
        <v>3</v>
      </c>
      <c r="L390" s="150">
        <v>11</v>
      </c>
      <c r="M390" s="132">
        <f t="shared" si="62"/>
        <v>1</v>
      </c>
      <c r="N390" s="139" t="s">
        <v>328</v>
      </c>
      <c r="O390" s="140" t="str">
        <f>IF(ISBLANK(N390),"",VLOOKUP(N390,[18]Parámetros!$G$2:$H$23,2,FALSE))</f>
        <v>Selección abreviada menor cuantía</v>
      </c>
      <c r="P390" s="141">
        <f t="shared" si="70"/>
        <v>1</v>
      </c>
      <c r="Q390" s="142">
        <f t="shared" si="63"/>
        <v>55500000</v>
      </c>
      <c r="R390" s="142">
        <f t="shared" si="64"/>
        <v>55500000</v>
      </c>
      <c r="S390" s="143" t="s">
        <v>223</v>
      </c>
      <c r="T390" s="139">
        <f t="shared" si="71"/>
        <v>0</v>
      </c>
      <c r="U390" s="48" t="str">
        <f t="shared" si="65"/>
        <v>SUBDIRECCION DE GESTION CONTRACTUAL</v>
      </c>
      <c r="V390" s="132" t="str">
        <f t="shared" si="68"/>
        <v>CO-DC</v>
      </c>
      <c r="W390" s="48" t="str">
        <f t="shared" si="69"/>
        <v>Distrito Capital de Bogotá</v>
      </c>
      <c r="X390" s="144" t="s">
        <v>331</v>
      </c>
      <c r="Y390" s="132">
        <v>2427400</v>
      </c>
      <c r="Z390" s="144" t="s">
        <v>94</v>
      </c>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c r="BF390" s="10"/>
      <c r="BG390" s="10"/>
      <c r="BH390" s="10"/>
      <c r="BI390" s="10"/>
      <c r="BJ390" s="10"/>
      <c r="BK390" s="10"/>
      <c r="BL390" s="10"/>
      <c r="BM390" s="10"/>
      <c r="BN390" s="10"/>
      <c r="BO390" s="10"/>
      <c r="BP390" s="10"/>
      <c r="BQ390" s="10"/>
      <c r="BR390" s="10"/>
      <c r="BS390" s="10"/>
      <c r="BT390" s="10"/>
      <c r="BU390" s="10"/>
      <c r="BV390" s="10"/>
      <c r="BW390" s="10"/>
      <c r="BX390" s="10"/>
      <c r="BY390" s="10"/>
      <c r="BZ390" s="10"/>
      <c r="CA390" s="10"/>
      <c r="CB390" s="10"/>
      <c r="CC390" s="10"/>
      <c r="CD390" s="10"/>
      <c r="CE390" s="10"/>
      <c r="CF390" s="10"/>
      <c r="CG390" s="10"/>
    </row>
    <row r="391" spans="1:85" s="200" customFormat="1" ht="13.9" customHeight="1" x14ac:dyDescent="0.2">
      <c r="A391" s="131" t="s">
        <v>117</v>
      </c>
      <c r="B391" s="132">
        <v>15</v>
      </c>
      <c r="C391" s="133" t="s">
        <v>484</v>
      </c>
      <c r="D391" s="133" t="s">
        <v>485</v>
      </c>
      <c r="E391" s="129"/>
      <c r="F391" s="129">
        <v>828166666</v>
      </c>
      <c r="G391" s="129"/>
      <c r="H391" s="134">
        <v>80111600</v>
      </c>
      <c r="I391" s="135" t="s">
        <v>486</v>
      </c>
      <c r="J391" s="150">
        <v>1</v>
      </c>
      <c r="K391" s="150">
        <v>1</v>
      </c>
      <c r="L391" s="150">
        <v>12</v>
      </c>
      <c r="M391" s="132">
        <f t="shared" si="62"/>
        <v>1</v>
      </c>
      <c r="N391" s="139" t="s">
        <v>216</v>
      </c>
      <c r="O391" s="140" t="str">
        <f>IF(ISBLANK(N391),"",VLOOKUP(N391,[18]Parámetros!$G$2:$H$23,2,FALSE))</f>
        <v>Contratación directa.</v>
      </c>
      <c r="P391" s="141">
        <f t="shared" si="70"/>
        <v>1</v>
      </c>
      <c r="Q391" s="142">
        <f t="shared" si="63"/>
        <v>828166666</v>
      </c>
      <c r="R391" s="142">
        <f t="shared" si="64"/>
        <v>828166666</v>
      </c>
      <c r="S391" s="143" t="s">
        <v>223</v>
      </c>
      <c r="T391" s="139">
        <f t="shared" si="71"/>
        <v>0</v>
      </c>
      <c r="U391" s="48" t="str">
        <f t="shared" si="65"/>
        <v>SUBDIRECCION DE GESTION CONTRACTUAL</v>
      </c>
      <c r="V391" s="132" t="str">
        <f t="shared" si="68"/>
        <v>CO-DC</v>
      </c>
      <c r="W391" s="48" t="str">
        <f t="shared" si="69"/>
        <v>Distrito Capital de Bogotá</v>
      </c>
      <c r="X391" s="144" t="s">
        <v>331</v>
      </c>
      <c r="Y391" s="132">
        <v>2427400</v>
      </c>
      <c r="Z391" s="146" t="s">
        <v>94</v>
      </c>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c r="BF391" s="10"/>
      <c r="BG391" s="10"/>
      <c r="BH391" s="10"/>
      <c r="BI391" s="10"/>
      <c r="BJ391" s="10"/>
      <c r="BK391" s="10"/>
      <c r="BL391" s="10"/>
      <c r="BM391" s="10"/>
      <c r="BN391" s="10"/>
      <c r="BO391" s="10"/>
      <c r="BP391" s="10"/>
      <c r="BQ391" s="10"/>
      <c r="BR391" s="10"/>
      <c r="BS391" s="10"/>
      <c r="BT391" s="10"/>
      <c r="BU391" s="10"/>
      <c r="BV391" s="10"/>
      <c r="BW391" s="10"/>
      <c r="BX391" s="10"/>
      <c r="BY391" s="10"/>
      <c r="BZ391" s="10"/>
      <c r="CA391" s="10"/>
      <c r="CB391" s="10"/>
      <c r="CC391" s="10"/>
      <c r="CD391" s="10"/>
      <c r="CE391" s="10"/>
      <c r="CF391" s="10"/>
      <c r="CG391" s="199"/>
    </row>
    <row r="392" spans="1:85" s="200" customFormat="1" ht="13.9" customHeight="1" x14ac:dyDescent="0.2">
      <c r="A392" s="131" t="s">
        <v>117</v>
      </c>
      <c r="B392" s="132">
        <v>16</v>
      </c>
      <c r="C392" s="133" t="s">
        <v>484</v>
      </c>
      <c r="D392" s="133" t="s">
        <v>485</v>
      </c>
      <c r="E392" s="129"/>
      <c r="F392" s="129">
        <v>80000000</v>
      </c>
      <c r="G392" s="129"/>
      <c r="H392" s="134" t="s">
        <v>795</v>
      </c>
      <c r="I392" s="135" t="s">
        <v>665</v>
      </c>
      <c r="J392" s="150">
        <v>2</v>
      </c>
      <c r="K392" s="150">
        <v>3</v>
      </c>
      <c r="L392" s="150">
        <v>9</v>
      </c>
      <c r="M392" s="132">
        <f t="shared" si="62"/>
        <v>1</v>
      </c>
      <c r="N392" s="139" t="s">
        <v>233</v>
      </c>
      <c r="O392" s="140" t="str">
        <f>IF(ISBLANK(N392),"",VLOOKUP(N392,[18]Parámetros!$G$2:$H$23,2,FALSE))</f>
        <v>Licitación pública</v>
      </c>
      <c r="P392" s="141">
        <f t="shared" si="70"/>
        <v>1</v>
      </c>
      <c r="Q392" s="142">
        <f t="shared" si="63"/>
        <v>80000000</v>
      </c>
      <c r="R392" s="142">
        <f t="shared" si="64"/>
        <v>80000000</v>
      </c>
      <c r="S392" s="143" t="s">
        <v>223</v>
      </c>
      <c r="T392" s="139">
        <f t="shared" si="71"/>
        <v>0</v>
      </c>
      <c r="U392" s="48" t="str">
        <f t="shared" si="65"/>
        <v>SUBDIRECCION DE GESTION CONTRACTUAL</v>
      </c>
      <c r="V392" s="132" t="str">
        <f t="shared" si="68"/>
        <v>CO-DC</v>
      </c>
      <c r="W392" s="48" t="str">
        <f t="shared" si="69"/>
        <v>Distrito Capital de Bogotá</v>
      </c>
      <c r="X392" s="144" t="s">
        <v>331</v>
      </c>
      <c r="Y392" s="132">
        <v>2427400</v>
      </c>
      <c r="Z392" s="146" t="s">
        <v>94</v>
      </c>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c r="BF392" s="10"/>
      <c r="BG392" s="10"/>
      <c r="BH392" s="10"/>
      <c r="BI392" s="10"/>
      <c r="BJ392" s="10"/>
      <c r="BK392" s="10"/>
      <c r="BL392" s="10"/>
      <c r="BM392" s="10"/>
      <c r="BN392" s="10"/>
      <c r="BO392" s="10"/>
      <c r="BP392" s="10"/>
      <c r="BQ392" s="10"/>
      <c r="BR392" s="10"/>
      <c r="BS392" s="10"/>
      <c r="BT392" s="10"/>
      <c r="BU392" s="10"/>
      <c r="BV392" s="10"/>
      <c r="BW392" s="10"/>
      <c r="BX392" s="10"/>
      <c r="BY392" s="10"/>
      <c r="BZ392" s="10"/>
      <c r="CA392" s="10"/>
      <c r="CB392" s="10"/>
      <c r="CC392" s="10"/>
      <c r="CD392" s="10"/>
      <c r="CE392" s="10"/>
      <c r="CF392" s="10"/>
      <c r="CG392" s="199"/>
    </row>
    <row r="393" spans="1:85" s="200" customFormat="1" ht="13.9" customHeight="1" x14ac:dyDescent="0.2">
      <c r="A393" s="131" t="s">
        <v>117</v>
      </c>
      <c r="B393" s="132">
        <v>17</v>
      </c>
      <c r="C393" s="133" t="s">
        <v>484</v>
      </c>
      <c r="D393" s="133" t="s">
        <v>485</v>
      </c>
      <c r="E393" s="129"/>
      <c r="F393" s="129">
        <v>20000000</v>
      </c>
      <c r="G393" s="129"/>
      <c r="H393" s="134" t="s">
        <v>120</v>
      </c>
      <c r="I393" s="135" t="s">
        <v>487</v>
      </c>
      <c r="J393" s="150">
        <v>2</v>
      </c>
      <c r="K393" s="150">
        <v>3</v>
      </c>
      <c r="L393" s="150">
        <v>9</v>
      </c>
      <c r="M393" s="132">
        <f t="shared" si="62"/>
        <v>1</v>
      </c>
      <c r="N393" s="139" t="s">
        <v>36</v>
      </c>
      <c r="O393" s="140" t="str">
        <f>IF(ISBLANK(N393),"",VLOOKUP(N393,[18]Parámetros!$G$2:$H$23,2,FALSE))</f>
        <v xml:space="preserve">Contratación directa (con ofertas) </v>
      </c>
      <c r="P393" s="141">
        <f t="shared" si="70"/>
        <v>1</v>
      </c>
      <c r="Q393" s="142">
        <f t="shared" si="63"/>
        <v>20000000</v>
      </c>
      <c r="R393" s="142">
        <f t="shared" si="64"/>
        <v>20000000</v>
      </c>
      <c r="S393" s="143" t="s">
        <v>223</v>
      </c>
      <c r="T393" s="139">
        <f t="shared" si="71"/>
        <v>0</v>
      </c>
      <c r="U393" s="48" t="str">
        <f t="shared" si="65"/>
        <v>SUBDIRECCION DE GESTION CONTRACTUAL</v>
      </c>
      <c r="V393" s="132" t="str">
        <f t="shared" si="68"/>
        <v>CO-DC</v>
      </c>
      <c r="W393" s="48" t="str">
        <f t="shared" si="69"/>
        <v>Distrito Capital de Bogotá</v>
      </c>
      <c r="X393" s="144" t="s">
        <v>331</v>
      </c>
      <c r="Y393" s="132">
        <v>2427400</v>
      </c>
      <c r="Z393" s="146" t="s">
        <v>94</v>
      </c>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c r="BF393" s="10"/>
      <c r="BG393" s="10"/>
      <c r="BH393" s="10"/>
      <c r="BI393" s="10"/>
      <c r="BJ393" s="10"/>
      <c r="BK393" s="10"/>
      <c r="BL393" s="10"/>
      <c r="BM393" s="10"/>
      <c r="BN393" s="10"/>
      <c r="BO393" s="10"/>
      <c r="BP393" s="10"/>
      <c r="BQ393" s="10"/>
      <c r="BR393" s="10"/>
      <c r="BS393" s="10"/>
      <c r="BT393" s="10"/>
      <c r="BU393" s="10"/>
      <c r="BV393" s="10"/>
      <c r="BW393" s="10"/>
      <c r="BX393" s="10"/>
      <c r="BY393" s="10"/>
      <c r="BZ393" s="10"/>
      <c r="CA393" s="10"/>
      <c r="CB393" s="10"/>
      <c r="CC393" s="10"/>
      <c r="CD393" s="10"/>
      <c r="CE393" s="10"/>
      <c r="CF393" s="10"/>
      <c r="CG393" s="199"/>
    </row>
    <row r="394" spans="1:85" s="200" customFormat="1" ht="13.9" customHeight="1" x14ac:dyDescent="0.2">
      <c r="A394" s="131" t="s">
        <v>117</v>
      </c>
      <c r="B394" s="132">
        <v>18</v>
      </c>
      <c r="C394" s="133" t="s">
        <v>118</v>
      </c>
      <c r="D394" s="133" t="s">
        <v>125</v>
      </c>
      <c r="E394" s="129"/>
      <c r="F394" s="129">
        <v>8000000</v>
      </c>
      <c r="G394" s="129"/>
      <c r="H394" s="134">
        <v>81112200</v>
      </c>
      <c r="I394" s="135" t="s">
        <v>488</v>
      </c>
      <c r="J394" s="150">
        <v>5</v>
      </c>
      <c r="K394" s="150">
        <v>5</v>
      </c>
      <c r="L394" s="150">
        <v>2</v>
      </c>
      <c r="M394" s="132">
        <f t="shared" si="62"/>
        <v>1</v>
      </c>
      <c r="N394" s="139" t="s">
        <v>53</v>
      </c>
      <c r="O394" s="140" t="str">
        <f>IF(ISBLANK(N394),"",VLOOKUP(N394,[18]Parámetros!$G$2:$H$23,2,FALSE))</f>
        <v>Seléccion abreviada - acuerdo marco</v>
      </c>
      <c r="P394" s="141">
        <f t="shared" si="70"/>
        <v>1</v>
      </c>
      <c r="Q394" s="142">
        <f t="shared" si="63"/>
        <v>8000000</v>
      </c>
      <c r="R394" s="142">
        <f t="shared" si="64"/>
        <v>8000000</v>
      </c>
      <c r="S394" s="143" t="s">
        <v>223</v>
      </c>
      <c r="T394" s="139">
        <f t="shared" si="71"/>
        <v>0</v>
      </c>
      <c r="U394" s="48" t="str">
        <f t="shared" si="65"/>
        <v>SUBDIRECCION DE GESTION CONTRACTUAL</v>
      </c>
      <c r="V394" s="132" t="str">
        <f t="shared" si="68"/>
        <v>CO-DC</v>
      </c>
      <c r="W394" s="48" t="str">
        <f t="shared" si="69"/>
        <v>Distrito Capital de Bogotá</v>
      </c>
      <c r="X394" s="144" t="s">
        <v>331</v>
      </c>
      <c r="Y394" s="132">
        <v>2427400</v>
      </c>
      <c r="Z394" s="146" t="s">
        <v>94</v>
      </c>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c r="BF394" s="10"/>
      <c r="BG394" s="10"/>
      <c r="BH394" s="10"/>
      <c r="BI394" s="10"/>
      <c r="BJ394" s="10"/>
      <c r="BK394" s="10"/>
      <c r="BL394" s="10"/>
      <c r="BM394" s="10"/>
      <c r="BN394" s="10"/>
      <c r="BO394" s="10"/>
      <c r="BP394" s="10"/>
      <c r="BQ394" s="10"/>
      <c r="BR394" s="10"/>
      <c r="BS394" s="10"/>
      <c r="BT394" s="10"/>
      <c r="BU394" s="10"/>
      <c r="BV394" s="10"/>
      <c r="BW394" s="10"/>
      <c r="BX394" s="10"/>
      <c r="BY394" s="10"/>
      <c r="BZ394" s="10"/>
      <c r="CA394" s="10"/>
      <c r="CB394" s="10"/>
      <c r="CC394" s="10"/>
      <c r="CD394" s="10"/>
      <c r="CE394" s="10"/>
      <c r="CF394" s="10"/>
      <c r="CG394" s="199"/>
    </row>
    <row r="395" spans="1:85" s="200" customFormat="1" ht="13.9" customHeight="1" x14ac:dyDescent="0.2">
      <c r="A395" s="131" t="s">
        <v>117</v>
      </c>
      <c r="B395" s="132">
        <v>19</v>
      </c>
      <c r="C395" s="133" t="s">
        <v>118</v>
      </c>
      <c r="D395" s="133" t="s">
        <v>59</v>
      </c>
      <c r="E395" s="129"/>
      <c r="F395" s="129">
        <v>35000000</v>
      </c>
      <c r="G395" s="129"/>
      <c r="H395" s="134" t="s">
        <v>122</v>
      </c>
      <c r="I395" s="135" t="s">
        <v>465</v>
      </c>
      <c r="J395" s="150">
        <v>3</v>
      </c>
      <c r="K395" s="150">
        <v>3</v>
      </c>
      <c r="L395" s="150">
        <v>7</v>
      </c>
      <c r="M395" s="132">
        <f t="shared" si="62"/>
        <v>1</v>
      </c>
      <c r="N395" s="139" t="s">
        <v>53</v>
      </c>
      <c r="O395" s="140" t="str">
        <f>IF(ISBLANK(N395),"",VLOOKUP(N395,[18]Parámetros!$G$2:$H$23,2,FALSE))</f>
        <v>Seléccion abreviada - acuerdo marco</v>
      </c>
      <c r="P395" s="141">
        <f t="shared" si="70"/>
        <v>1</v>
      </c>
      <c r="Q395" s="142">
        <f t="shared" si="63"/>
        <v>35000000</v>
      </c>
      <c r="R395" s="142">
        <f t="shared" si="64"/>
        <v>35000000</v>
      </c>
      <c r="S395" s="143" t="s">
        <v>226</v>
      </c>
      <c r="T395" s="139">
        <f t="shared" si="71"/>
        <v>3</v>
      </c>
      <c r="U395" s="48" t="str">
        <f t="shared" si="65"/>
        <v>SUBDIRECCION DE GESTION CONTRACTUAL</v>
      </c>
      <c r="V395" s="132" t="str">
        <f t="shared" si="68"/>
        <v>CO-DC</v>
      </c>
      <c r="W395" s="48" t="str">
        <f t="shared" si="69"/>
        <v>Distrito Capital de Bogotá</v>
      </c>
      <c r="X395" s="144" t="s">
        <v>331</v>
      </c>
      <c r="Y395" s="132">
        <v>2427400</v>
      </c>
      <c r="Z395" s="146" t="s">
        <v>94</v>
      </c>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c r="BF395" s="10"/>
      <c r="BG395" s="10"/>
      <c r="BH395" s="10"/>
      <c r="BI395" s="10"/>
      <c r="BJ395" s="10"/>
      <c r="BK395" s="10"/>
      <c r="BL395" s="10"/>
      <c r="BM395" s="10"/>
      <c r="BN395" s="10"/>
      <c r="BO395" s="10"/>
      <c r="BP395" s="10"/>
      <c r="BQ395" s="10"/>
      <c r="BR395" s="10"/>
      <c r="BS395" s="10"/>
      <c r="BT395" s="10"/>
      <c r="BU395" s="10"/>
      <c r="BV395" s="10"/>
      <c r="BW395" s="10"/>
      <c r="BX395" s="10"/>
      <c r="BY395" s="10"/>
      <c r="BZ395" s="10"/>
      <c r="CA395" s="10"/>
      <c r="CB395" s="10"/>
      <c r="CC395" s="10"/>
      <c r="CD395" s="10"/>
      <c r="CE395" s="10"/>
      <c r="CF395" s="10"/>
      <c r="CG395" s="199"/>
    </row>
    <row r="396" spans="1:85" s="200" customFormat="1" ht="13.9" customHeight="1" x14ac:dyDescent="0.2">
      <c r="A396" s="131" t="s">
        <v>117</v>
      </c>
      <c r="B396" s="132">
        <v>20</v>
      </c>
      <c r="C396" s="133" t="s">
        <v>118</v>
      </c>
      <c r="D396" s="133" t="s">
        <v>57</v>
      </c>
      <c r="E396" s="129"/>
      <c r="F396" s="129">
        <v>70000000</v>
      </c>
      <c r="G396" s="129"/>
      <c r="H396" s="134" t="s">
        <v>122</v>
      </c>
      <c r="I396" s="135" t="s">
        <v>465</v>
      </c>
      <c r="J396" s="150">
        <v>3</v>
      </c>
      <c r="K396" s="150">
        <v>3</v>
      </c>
      <c r="L396" s="150">
        <v>7</v>
      </c>
      <c r="M396" s="132">
        <f t="shared" si="62"/>
        <v>1</v>
      </c>
      <c r="N396" s="139" t="s">
        <v>53</v>
      </c>
      <c r="O396" s="140" t="str">
        <f>IF(ISBLANK(N396),"",VLOOKUP(N396,[18]Parámetros!$G$2:$H$23,2,FALSE))</f>
        <v>Seléccion abreviada - acuerdo marco</v>
      </c>
      <c r="P396" s="141">
        <f t="shared" si="70"/>
        <v>1</v>
      </c>
      <c r="Q396" s="142">
        <f t="shared" si="63"/>
        <v>70000000</v>
      </c>
      <c r="R396" s="142">
        <f t="shared" si="64"/>
        <v>70000000</v>
      </c>
      <c r="S396" s="143" t="s">
        <v>226</v>
      </c>
      <c r="T396" s="139">
        <f t="shared" si="71"/>
        <v>3</v>
      </c>
      <c r="U396" s="48" t="str">
        <f t="shared" si="65"/>
        <v>SUBDIRECCION DE GESTION CONTRACTUAL</v>
      </c>
      <c r="V396" s="132" t="str">
        <f t="shared" si="68"/>
        <v>CO-DC</v>
      </c>
      <c r="W396" s="48" t="str">
        <f t="shared" si="69"/>
        <v>Distrito Capital de Bogotá</v>
      </c>
      <c r="X396" s="144" t="s">
        <v>331</v>
      </c>
      <c r="Y396" s="132">
        <v>2427400</v>
      </c>
      <c r="Z396" s="146" t="s">
        <v>94</v>
      </c>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c r="BF396" s="10"/>
      <c r="BG396" s="10"/>
      <c r="BH396" s="10"/>
      <c r="BI396" s="10"/>
      <c r="BJ396" s="10"/>
      <c r="BK396" s="10"/>
      <c r="BL396" s="10"/>
      <c r="BM396" s="10"/>
      <c r="BN396" s="10"/>
      <c r="BO396" s="10"/>
      <c r="BP396" s="10"/>
      <c r="BQ396" s="10"/>
      <c r="BR396" s="10"/>
      <c r="BS396" s="10"/>
      <c r="BT396" s="10"/>
      <c r="BU396" s="10"/>
      <c r="BV396" s="10"/>
      <c r="BW396" s="10"/>
      <c r="BX396" s="10"/>
      <c r="BY396" s="10"/>
      <c r="BZ396" s="10"/>
      <c r="CA396" s="10"/>
      <c r="CB396" s="10"/>
      <c r="CC396" s="10"/>
      <c r="CD396" s="10"/>
      <c r="CE396" s="10"/>
      <c r="CF396" s="10"/>
      <c r="CG396" s="199"/>
    </row>
    <row r="397" spans="1:85" s="48" customFormat="1" ht="12.75" customHeight="1" x14ac:dyDescent="0.2">
      <c r="A397" s="131" t="s">
        <v>117</v>
      </c>
      <c r="B397" s="132">
        <v>21</v>
      </c>
      <c r="C397" s="133" t="s">
        <v>118</v>
      </c>
      <c r="D397" s="133" t="s">
        <v>125</v>
      </c>
      <c r="E397" s="129"/>
      <c r="F397" s="129">
        <v>104381910</v>
      </c>
      <c r="G397" s="129"/>
      <c r="H397" s="134" t="s">
        <v>62</v>
      </c>
      <c r="I397" s="135" t="s">
        <v>641</v>
      </c>
      <c r="J397" s="150">
        <v>1</v>
      </c>
      <c r="K397" s="150">
        <v>1</v>
      </c>
      <c r="L397" s="150">
        <v>10</v>
      </c>
      <c r="M397" s="132">
        <f t="shared" si="62"/>
        <v>1</v>
      </c>
      <c r="N397" s="139" t="s">
        <v>36</v>
      </c>
      <c r="O397" s="140" t="str">
        <f>IF(ISBLANK(N397),"",VLOOKUP(N397,[18]Parámetros!$G$2:$H$23,2,FALSE))</f>
        <v xml:space="preserve">Contratación directa (con ofertas) </v>
      </c>
      <c r="P397" s="141">
        <f t="shared" si="70"/>
        <v>1</v>
      </c>
      <c r="Q397" s="142">
        <f t="shared" si="63"/>
        <v>104381910</v>
      </c>
      <c r="R397" s="142">
        <f t="shared" si="64"/>
        <v>104381910</v>
      </c>
      <c r="S397" s="143" t="s">
        <v>223</v>
      </c>
      <c r="T397" s="139">
        <f t="shared" si="71"/>
        <v>0</v>
      </c>
      <c r="U397" s="48" t="str">
        <f t="shared" si="65"/>
        <v>SUBDIRECCION DE GESTION CONTRACTUAL</v>
      </c>
      <c r="V397" s="132" t="str">
        <f t="shared" si="68"/>
        <v>CO-DC</v>
      </c>
      <c r="W397" s="48" t="str">
        <f t="shared" si="69"/>
        <v>Distrito Capital de Bogotá</v>
      </c>
      <c r="X397" s="144" t="s">
        <v>331</v>
      </c>
      <c r="Y397" s="132">
        <v>2427400</v>
      </c>
      <c r="Z397" s="146" t="s">
        <v>94</v>
      </c>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c r="BF397" s="10"/>
      <c r="BG397" s="10"/>
      <c r="BH397" s="10"/>
      <c r="BI397" s="10"/>
      <c r="BJ397" s="10"/>
      <c r="BK397" s="10"/>
      <c r="BL397" s="10"/>
      <c r="BM397" s="10"/>
      <c r="BN397" s="10"/>
      <c r="BO397" s="10"/>
      <c r="BP397" s="10"/>
      <c r="BQ397" s="10"/>
      <c r="BR397" s="10"/>
      <c r="BS397" s="10"/>
      <c r="BT397" s="10"/>
      <c r="BU397" s="10"/>
      <c r="BV397" s="10"/>
      <c r="BW397" s="10"/>
      <c r="BX397" s="10"/>
      <c r="BY397" s="10"/>
      <c r="BZ397" s="10"/>
      <c r="CA397" s="10"/>
      <c r="CB397" s="10"/>
      <c r="CC397" s="10"/>
      <c r="CD397" s="10"/>
      <c r="CE397" s="10"/>
      <c r="CF397" s="10"/>
      <c r="CG397" s="199"/>
    </row>
    <row r="398" spans="1:85" s="200" customFormat="1" ht="13.9" customHeight="1" x14ac:dyDescent="0.2">
      <c r="A398" s="131" t="s">
        <v>117</v>
      </c>
      <c r="B398" s="132">
        <v>22</v>
      </c>
      <c r="C398" s="133" t="s">
        <v>118</v>
      </c>
      <c r="D398" s="133" t="s">
        <v>125</v>
      </c>
      <c r="E398" s="129"/>
      <c r="F398" s="129">
        <v>25000000</v>
      </c>
      <c r="G398" s="129"/>
      <c r="H398" s="134">
        <v>81111805</v>
      </c>
      <c r="I398" s="135" t="s">
        <v>489</v>
      </c>
      <c r="J398" s="150">
        <v>1</v>
      </c>
      <c r="K398" s="150">
        <v>1</v>
      </c>
      <c r="L398" s="150">
        <v>10</v>
      </c>
      <c r="M398" s="132">
        <f t="shared" si="62"/>
        <v>1</v>
      </c>
      <c r="N398" s="139" t="s">
        <v>36</v>
      </c>
      <c r="O398" s="140" t="str">
        <f>IF(ISBLANK(N398),"",VLOOKUP(N398,[18]Parámetros!$G$2:$H$23,2,FALSE))</f>
        <v xml:space="preserve">Contratación directa (con ofertas) </v>
      </c>
      <c r="P398" s="141">
        <f t="shared" si="70"/>
        <v>1</v>
      </c>
      <c r="Q398" s="142">
        <f t="shared" si="63"/>
        <v>25000000</v>
      </c>
      <c r="R398" s="142">
        <f t="shared" si="64"/>
        <v>25000000</v>
      </c>
      <c r="S398" s="143" t="s">
        <v>223</v>
      </c>
      <c r="T398" s="139">
        <f t="shared" si="71"/>
        <v>0</v>
      </c>
      <c r="U398" s="48" t="str">
        <f t="shared" si="65"/>
        <v>SUBDIRECCION DE GESTION CONTRACTUAL</v>
      </c>
      <c r="V398" s="132" t="str">
        <f t="shared" si="68"/>
        <v>CO-DC</v>
      </c>
      <c r="W398" s="48" t="str">
        <f t="shared" si="69"/>
        <v>Distrito Capital de Bogotá</v>
      </c>
      <c r="X398" s="144" t="s">
        <v>331</v>
      </c>
      <c r="Y398" s="132">
        <v>2427400</v>
      </c>
      <c r="Z398" s="146" t="s">
        <v>94</v>
      </c>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c r="BF398" s="10"/>
      <c r="BG398" s="10"/>
      <c r="BH398" s="10"/>
      <c r="BI398" s="10"/>
      <c r="BJ398" s="10"/>
      <c r="BK398" s="10"/>
      <c r="BL398" s="10"/>
      <c r="BM398" s="10"/>
      <c r="BN398" s="10"/>
      <c r="BO398" s="10"/>
      <c r="BP398" s="10"/>
      <c r="BQ398" s="10"/>
      <c r="BR398" s="10"/>
      <c r="BS398" s="10"/>
      <c r="BT398" s="10"/>
      <c r="BU398" s="10"/>
      <c r="BV398" s="10"/>
      <c r="BW398" s="10"/>
      <c r="BX398" s="10"/>
      <c r="BY398" s="10"/>
      <c r="BZ398" s="10"/>
      <c r="CA398" s="10"/>
      <c r="CB398" s="10"/>
      <c r="CC398" s="10"/>
      <c r="CD398" s="10"/>
      <c r="CE398" s="10"/>
      <c r="CF398" s="10"/>
      <c r="CG398" s="199"/>
    </row>
    <row r="399" spans="1:85" s="200" customFormat="1" ht="13.9" customHeight="1" x14ac:dyDescent="0.2">
      <c r="A399" s="131" t="s">
        <v>117</v>
      </c>
      <c r="B399" s="132">
        <v>23</v>
      </c>
      <c r="C399" s="133" t="s">
        <v>118</v>
      </c>
      <c r="D399" s="133" t="s">
        <v>59</v>
      </c>
      <c r="E399" s="129"/>
      <c r="F399" s="129">
        <v>86393971</v>
      </c>
      <c r="G399" s="129"/>
      <c r="H399" s="134" t="s">
        <v>122</v>
      </c>
      <c r="I399" s="135" t="s">
        <v>490</v>
      </c>
      <c r="J399" s="150">
        <v>1</v>
      </c>
      <c r="K399" s="150">
        <v>1</v>
      </c>
      <c r="L399" s="150">
        <v>11</v>
      </c>
      <c r="M399" s="132">
        <f t="shared" si="62"/>
        <v>1</v>
      </c>
      <c r="N399" s="139" t="s">
        <v>53</v>
      </c>
      <c r="O399" s="140" t="str">
        <f>IF(ISBLANK(N399),"",VLOOKUP(N399,[18]Parámetros!$G$2:$H$23,2,FALSE))</f>
        <v>Seléccion abreviada - acuerdo marco</v>
      </c>
      <c r="P399" s="141">
        <f t="shared" si="70"/>
        <v>1</v>
      </c>
      <c r="Q399" s="142">
        <f t="shared" si="63"/>
        <v>86393971</v>
      </c>
      <c r="R399" s="142">
        <f t="shared" si="64"/>
        <v>86393971</v>
      </c>
      <c r="S399" s="143" t="s">
        <v>223</v>
      </c>
      <c r="T399" s="139">
        <f t="shared" si="71"/>
        <v>0</v>
      </c>
      <c r="U399" s="48" t="str">
        <f t="shared" si="65"/>
        <v>SUBDIRECCION DE GESTION CONTRACTUAL</v>
      </c>
      <c r="V399" s="132" t="str">
        <f t="shared" si="68"/>
        <v>CO-DC</v>
      </c>
      <c r="W399" s="48" t="str">
        <f t="shared" si="69"/>
        <v>Distrito Capital de Bogotá</v>
      </c>
      <c r="X399" s="144" t="s">
        <v>331</v>
      </c>
      <c r="Y399" s="132">
        <v>2427400</v>
      </c>
      <c r="Z399" s="146" t="s">
        <v>94</v>
      </c>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c r="BF399" s="10"/>
      <c r="BG399" s="10"/>
      <c r="BH399" s="10"/>
      <c r="BI399" s="10"/>
      <c r="BJ399" s="10"/>
      <c r="BK399" s="10"/>
      <c r="BL399" s="10"/>
      <c r="BM399" s="10"/>
      <c r="BN399" s="10"/>
      <c r="BO399" s="10"/>
      <c r="BP399" s="10"/>
      <c r="BQ399" s="10"/>
      <c r="BR399" s="10"/>
      <c r="BS399" s="10"/>
      <c r="BT399" s="10"/>
      <c r="BU399" s="10"/>
      <c r="BV399" s="10"/>
      <c r="BW399" s="10"/>
      <c r="BX399" s="10"/>
      <c r="BY399" s="10"/>
      <c r="BZ399" s="10"/>
      <c r="CA399" s="10"/>
      <c r="CB399" s="10"/>
      <c r="CC399" s="10"/>
      <c r="CD399" s="10"/>
      <c r="CE399" s="10"/>
      <c r="CF399" s="10"/>
      <c r="CG399" s="199"/>
    </row>
    <row r="400" spans="1:85" s="200" customFormat="1" ht="13.9" customHeight="1" x14ac:dyDescent="0.2">
      <c r="A400" s="131" t="s">
        <v>117</v>
      </c>
      <c r="B400" s="132">
        <v>24</v>
      </c>
      <c r="C400" s="133" t="s">
        <v>118</v>
      </c>
      <c r="D400" s="133" t="s">
        <v>57</v>
      </c>
      <c r="E400" s="129"/>
      <c r="F400" s="129">
        <v>52127289</v>
      </c>
      <c r="G400" s="129"/>
      <c r="H400" s="134" t="s">
        <v>122</v>
      </c>
      <c r="I400" s="135" t="s">
        <v>491</v>
      </c>
      <c r="J400" s="150">
        <v>1</v>
      </c>
      <c r="K400" s="150">
        <v>1</v>
      </c>
      <c r="L400" s="150">
        <v>11</v>
      </c>
      <c r="M400" s="132">
        <f t="shared" si="62"/>
        <v>1</v>
      </c>
      <c r="N400" s="139" t="s">
        <v>53</v>
      </c>
      <c r="O400" s="140" t="str">
        <f>IF(ISBLANK(N400),"",VLOOKUP(N400,[18]Parámetros!$G$2:$H$23,2,FALSE))</f>
        <v>Seléccion abreviada - acuerdo marco</v>
      </c>
      <c r="P400" s="141">
        <f t="shared" si="70"/>
        <v>1</v>
      </c>
      <c r="Q400" s="142">
        <f t="shared" si="63"/>
        <v>52127289</v>
      </c>
      <c r="R400" s="142">
        <f t="shared" si="64"/>
        <v>52127289</v>
      </c>
      <c r="S400" s="143" t="s">
        <v>223</v>
      </c>
      <c r="T400" s="139">
        <f t="shared" si="71"/>
        <v>0</v>
      </c>
      <c r="U400" s="48" t="str">
        <f t="shared" si="65"/>
        <v>SUBDIRECCION DE GESTION CONTRACTUAL</v>
      </c>
      <c r="V400" s="132" t="str">
        <f t="shared" si="68"/>
        <v>CO-DC</v>
      </c>
      <c r="W400" s="48" t="str">
        <f t="shared" si="69"/>
        <v>Distrito Capital de Bogotá</v>
      </c>
      <c r="X400" s="144" t="s">
        <v>331</v>
      </c>
      <c r="Y400" s="132">
        <v>2427400</v>
      </c>
      <c r="Z400" s="146" t="s">
        <v>94</v>
      </c>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c r="BF400" s="10"/>
      <c r="BG400" s="10"/>
      <c r="BH400" s="10"/>
      <c r="BI400" s="10"/>
      <c r="BJ400" s="10"/>
      <c r="BK400" s="10"/>
      <c r="BL400" s="10"/>
      <c r="BM400" s="10"/>
      <c r="BN400" s="10"/>
      <c r="BO400" s="10"/>
      <c r="BP400" s="10"/>
      <c r="BQ400" s="10"/>
      <c r="BR400" s="10"/>
      <c r="BS400" s="10"/>
      <c r="BT400" s="10"/>
      <c r="BU400" s="10"/>
      <c r="BV400" s="10"/>
      <c r="BW400" s="10"/>
      <c r="BX400" s="10"/>
      <c r="BY400" s="10"/>
      <c r="BZ400" s="10"/>
      <c r="CA400" s="10"/>
      <c r="CB400" s="10"/>
      <c r="CC400" s="10"/>
      <c r="CD400" s="10"/>
      <c r="CE400" s="10"/>
      <c r="CF400" s="10"/>
      <c r="CG400" s="199"/>
    </row>
    <row r="401" spans="1:85" s="200" customFormat="1" ht="13.9" customHeight="1" x14ac:dyDescent="0.2">
      <c r="A401" s="131" t="s">
        <v>117</v>
      </c>
      <c r="B401" s="132">
        <v>25</v>
      </c>
      <c r="C401" s="133" t="s">
        <v>118</v>
      </c>
      <c r="D401" s="133" t="s">
        <v>63</v>
      </c>
      <c r="E401" s="129"/>
      <c r="F401" s="129">
        <v>70000000</v>
      </c>
      <c r="G401" s="129"/>
      <c r="H401" s="134">
        <v>73152108</v>
      </c>
      <c r="I401" s="135" t="s">
        <v>465</v>
      </c>
      <c r="J401" s="150">
        <v>4</v>
      </c>
      <c r="K401" s="150">
        <v>5</v>
      </c>
      <c r="L401" s="150">
        <v>10</v>
      </c>
      <c r="M401" s="132">
        <f t="shared" si="62"/>
        <v>1</v>
      </c>
      <c r="N401" s="139" t="s">
        <v>328</v>
      </c>
      <c r="O401" s="140" t="str">
        <f>IF(ISBLANK(N401),"",VLOOKUP(N401,[18]Parámetros!$G$2:$H$23,2,FALSE))</f>
        <v>Selección abreviada menor cuantía</v>
      </c>
      <c r="P401" s="141">
        <f t="shared" si="70"/>
        <v>1</v>
      </c>
      <c r="Q401" s="142">
        <f t="shared" si="63"/>
        <v>70000000</v>
      </c>
      <c r="R401" s="142">
        <f t="shared" si="64"/>
        <v>70000000</v>
      </c>
      <c r="S401" s="143" t="s">
        <v>223</v>
      </c>
      <c r="T401" s="139">
        <f t="shared" si="71"/>
        <v>0</v>
      </c>
      <c r="U401" s="48" t="str">
        <f t="shared" si="65"/>
        <v>SUBDIRECCION DE GESTION CONTRACTUAL</v>
      </c>
      <c r="V401" s="132" t="str">
        <f t="shared" si="68"/>
        <v>CO-DC</v>
      </c>
      <c r="W401" s="48" t="str">
        <f t="shared" si="69"/>
        <v>Distrito Capital de Bogotá</v>
      </c>
      <c r="X401" s="144" t="s">
        <v>331</v>
      </c>
      <c r="Y401" s="132">
        <v>2427400</v>
      </c>
      <c r="Z401" s="146" t="s">
        <v>94</v>
      </c>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c r="BF401" s="10"/>
      <c r="BG401" s="10"/>
      <c r="BH401" s="10"/>
      <c r="BI401" s="10"/>
      <c r="BJ401" s="10"/>
      <c r="BK401" s="10"/>
      <c r="BL401" s="10"/>
      <c r="BM401" s="10"/>
      <c r="BN401" s="10"/>
      <c r="BO401" s="10"/>
      <c r="BP401" s="10"/>
      <c r="BQ401" s="10"/>
      <c r="BR401" s="10"/>
      <c r="BS401" s="10"/>
      <c r="BT401" s="10"/>
      <c r="BU401" s="10"/>
      <c r="BV401" s="10"/>
      <c r="BW401" s="10"/>
      <c r="BX401" s="10"/>
      <c r="BY401" s="10"/>
      <c r="BZ401" s="10"/>
      <c r="CA401" s="10"/>
      <c r="CB401" s="10"/>
      <c r="CC401" s="10"/>
      <c r="CD401" s="10"/>
      <c r="CE401" s="10"/>
      <c r="CF401" s="10"/>
      <c r="CG401" s="199"/>
    </row>
    <row r="402" spans="1:85" s="200" customFormat="1" ht="13.9" customHeight="1" x14ac:dyDescent="0.2">
      <c r="A402" s="131" t="s">
        <v>117</v>
      </c>
      <c r="B402" s="132">
        <v>26</v>
      </c>
      <c r="C402" s="133" t="s">
        <v>479</v>
      </c>
      <c r="D402" s="133" t="s">
        <v>65</v>
      </c>
      <c r="E402" s="129"/>
      <c r="F402" s="129">
        <v>70669974.170000002</v>
      </c>
      <c r="G402" s="129"/>
      <c r="H402" s="134" t="s">
        <v>42</v>
      </c>
      <c r="I402" s="135" t="s">
        <v>624</v>
      </c>
      <c r="J402" s="136">
        <v>3</v>
      </c>
      <c r="K402" s="137">
        <v>4</v>
      </c>
      <c r="L402" s="138">
        <v>9</v>
      </c>
      <c r="M402" s="132">
        <f t="shared" si="62"/>
        <v>1</v>
      </c>
      <c r="N402" s="139" t="s">
        <v>61</v>
      </c>
      <c r="O402" s="140" t="str">
        <f>IF(ISBLANK(N402),"",VLOOKUP(N402,[11]Parámetros!$G$2:$H$23,2,FALSE))</f>
        <v>Contratación régimen especial - Selección de comisionista</v>
      </c>
      <c r="P402" s="141">
        <f t="shared" si="70"/>
        <v>1</v>
      </c>
      <c r="Q402" s="142">
        <f t="shared" si="63"/>
        <v>70669974.170000002</v>
      </c>
      <c r="R402" s="142">
        <f t="shared" si="64"/>
        <v>70669974.170000002</v>
      </c>
      <c r="S402" s="143" t="s">
        <v>223</v>
      </c>
      <c r="T402" s="139">
        <f t="shared" si="71"/>
        <v>0</v>
      </c>
      <c r="U402" s="48" t="str">
        <f t="shared" si="65"/>
        <v>SUBDIRECCION DE GESTION CONTRACTUAL</v>
      </c>
      <c r="V402" s="132" t="str">
        <f t="shared" si="68"/>
        <v>CO-DC</v>
      </c>
      <c r="W402" s="48" t="str">
        <f t="shared" si="69"/>
        <v>Distrito Capital de Bogotá</v>
      </c>
      <c r="X402" s="144" t="s">
        <v>331</v>
      </c>
      <c r="Y402" s="132">
        <v>2427400</v>
      </c>
      <c r="Z402" s="146" t="s">
        <v>94</v>
      </c>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c r="BF402" s="10"/>
      <c r="BG402" s="10"/>
      <c r="BH402" s="10"/>
      <c r="BI402" s="10"/>
      <c r="BJ402" s="10"/>
      <c r="BK402" s="10"/>
      <c r="BL402" s="10"/>
      <c r="BM402" s="10"/>
      <c r="BN402" s="10"/>
      <c r="BO402" s="10"/>
      <c r="BP402" s="10"/>
      <c r="BQ402" s="10"/>
      <c r="BR402" s="10"/>
      <c r="BS402" s="10"/>
      <c r="BT402" s="10"/>
      <c r="BU402" s="10"/>
      <c r="BV402" s="10"/>
      <c r="BW402" s="10"/>
      <c r="BX402" s="10"/>
      <c r="BY402" s="10"/>
      <c r="BZ402" s="10"/>
      <c r="CA402" s="10"/>
      <c r="CB402" s="10"/>
      <c r="CC402" s="10"/>
      <c r="CD402" s="10"/>
      <c r="CE402" s="10"/>
      <c r="CF402" s="10"/>
      <c r="CG402" s="199"/>
    </row>
    <row r="403" spans="1:85" s="348" customFormat="1" ht="12.75" customHeight="1" x14ac:dyDescent="0.2">
      <c r="A403" s="337" t="s">
        <v>126</v>
      </c>
      <c r="B403" s="338">
        <v>1</v>
      </c>
      <c r="C403" s="339" t="s">
        <v>614</v>
      </c>
      <c r="D403" s="340" t="s">
        <v>127</v>
      </c>
      <c r="E403" s="341"/>
      <c r="F403" s="341">
        <v>577843847</v>
      </c>
      <c r="G403" s="341"/>
      <c r="H403" s="340">
        <v>80111600</v>
      </c>
      <c r="I403" s="339" t="s">
        <v>492</v>
      </c>
      <c r="J403" s="338">
        <v>1</v>
      </c>
      <c r="K403" s="338">
        <v>1</v>
      </c>
      <c r="L403" s="338">
        <v>12</v>
      </c>
      <c r="M403" s="342">
        <f t="shared" si="62"/>
        <v>1</v>
      </c>
      <c r="N403" s="343" t="s">
        <v>216</v>
      </c>
      <c r="O403" s="344" t="str">
        <f>IF(ISBLANK(N403),"",VLOOKUP(N403,[2]Parámetros!$G$2:$H$23,2,FALSE))</f>
        <v>Contratación directa.</v>
      </c>
      <c r="P403" s="345">
        <f t="shared" si="70"/>
        <v>1</v>
      </c>
      <c r="Q403" s="346">
        <f t="shared" si="63"/>
        <v>577843847</v>
      </c>
      <c r="R403" s="346">
        <f t="shared" si="64"/>
        <v>577843847</v>
      </c>
      <c r="S403" s="347" t="s">
        <v>223</v>
      </c>
      <c r="T403" s="345">
        <f t="shared" si="71"/>
        <v>0</v>
      </c>
      <c r="U403" s="348" t="str">
        <f t="shared" si="65"/>
        <v>SUBDIRECCION DE GESTION CONTRACTUAL</v>
      </c>
      <c r="V403" s="345" t="str">
        <f t="shared" si="68"/>
        <v>CO-DC</v>
      </c>
      <c r="W403" s="345" t="str">
        <f t="shared" si="69"/>
        <v>Distrito Capital de Bogotá</v>
      </c>
      <c r="X403" s="340" t="s">
        <v>493</v>
      </c>
      <c r="Y403" s="338">
        <v>2427400</v>
      </c>
      <c r="Z403" s="349" t="s">
        <v>128</v>
      </c>
      <c r="AA403" s="350"/>
      <c r="AB403" s="350"/>
      <c r="AC403" s="350"/>
      <c r="AD403" s="350"/>
      <c r="AE403" s="350"/>
      <c r="AF403" s="350"/>
      <c r="AG403" s="350"/>
      <c r="AH403" s="350"/>
      <c r="AI403" s="350"/>
      <c r="AJ403" s="350"/>
      <c r="AK403" s="350"/>
      <c r="AL403" s="350"/>
      <c r="AM403" s="350"/>
      <c r="AN403" s="350"/>
      <c r="AO403" s="350"/>
      <c r="AP403" s="350"/>
      <c r="AQ403" s="350"/>
      <c r="AR403" s="350"/>
      <c r="AS403" s="350"/>
      <c r="AT403" s="350"/>
      <c r="AU403" s="351"/>
      <c r="AV403" s="351"/>
      <c r="AW403" s="351"/>
      <c r="AX403" s="351"/>
      <c r="AY403" s="351"/>
      <c r="AZ403" s="351"/>
      <c r="BA403" s="351"/>
      <c r="BB403" s="351"/>
      <c r="BC403" s="351"/>
      <c r="BD403" s="351"/>
      <c r="BE403" s="351"/>
      <c r="BF403" s="351"/>
      <c r="BG403" s="351"/>
      <c r="BH403" s="351"/>
      <c r="BI403" s="351"/>
      <c r="BJ403" s="351"/>
      <c r="BK403" s="351"/>
      <c r="BL403" s="351"/>
      <c r="BM403" s="351"/>
      <c r="BN403" s="351"/>
      <c r="BO403" s="351"/>
      <c r="BP403" s="351"/>
      <c r="BQ403" s="351"/>
      <c r="BR403" s="351"/>
      <c r="BS403" s="351"/>
      <c r="BT403" s="351"/>
      <c r="BU403" s="351"/>
      <c r="BV403" s="351"/>
      <c r="BW403" s="351"/>
      <c r="BX403" s="351"/>
      <c r="BY403" s="351"/>
      <c r="BZ403" s="351"/>
      <c r="CA403" s="351"/>
      <c r="CB403" s="351"/>
      <c r="CC403" s="351"/>
      <c r="CD403" s="351"/>
      <c r="CE403" s="351"/>
      <c r="CF403" s="351"/>
      <c r="CG403" s="352"/>
    </row>
    <row r="404" spans="1:85" s="353" customFormat="1" ht="13.9" customHeight="1" x14ac:dyDescent="0.2">
      <c r="A404" s="337" t="s">
        <v>126</v>
      </c>
      <c r="B404" s="338">
        <v>2</v>
      </c>
      <c r="C404" s="339" t="s">
        <v>614</v>
      </c>
      <c r="D404" s="340" t="s">
        <v>127</v>
      </c>
      <c r="E404" s="341"/>
      <c r="F404" s="341">
        <v>425000000</v>
      </c>
      <c r="G404" s="341"/>
      <c r="H404" s="340" t="s">
        <v>784</v>
      </c>
      <c r="I404" s="339" t="s">
        <v>494</v>
      </c>
      <c r="J404" s="338">
        <v>3</v>
      </c>
      <c r="K404" s="338">
        <v>5</v>
      </c>
      <c r="L404" s="338">
        <v>2</v>
      </c>
      <c r="M404" s="342">
        <f t="shared" si="62"/>
        <v>1</v>
      </c>
      <c r="N404" s="343" t="s">
        <v>328</v>
      </c>
      <c r="O404" s="344" t="str">
        <f>IF(ISBLANK(N404),"",VLOOKUP(N404,[2]Parámetros!$G$2:$H$23,2,FALSE))</f>
        <v>Selección abreviada menor cuantía</v>
      </c>
      <c r="P404" s="345">
        <f t="shared" si="70"/>
        <v>1</v>
      </c>
      <c r="Q404" s="346">
        <f t="shared" si="63"/>
        <v>425000000</v>
      </c>
      <c r="R404" s="346">
        <f t="shared" si="64"/>
        <v>425000000</v>
      </c>
      <c r="S404" s="347" t="s">
        <v>223</v>
      </c>
      <c r="T404" s="345">
        <f t="shared" si="71"/>
        <v>0</v>
      </c>
      <c r="U404" s="348" t="str">
        <f t="shared" si="65"/>
        <v>SUBDIRECCION DE GESTION CONTRACTUAL</v>
      </c>
      <c r="V404" s="345" t="str">
        <f t="shared" si="68"/>
        <v>CO-DC</v>
      </c>
      <c r="W404" s="345" t="str">
        <f t="shared" si="69"/>
        <v>Distrito Capital de Bogotá</v>
      </c>
      <c r="X404" s="340" t="s">
        <v>493</v>
      </c>
      <c r="Y404" s="338">
        <v>2427400</v>
      </c>
      <c r="Z404" s="349" t="s">
        <v>128</v>
      </c>
      <c r="AA404" s="350"/>
      <c r="AB404" s="350"/>
      <c r="AC404" s="350"/>
      <c r="AD404" s="350"/>
      <c r="AE404" s="350"/>
      <c r="AF404" s="350"/>
      <c r="AG404" s="350"/>
      <c r="AH404" s="350"/>
      <c r="AI404" s="350"/>
      <c r="AJ404" s="350"/>
      <c r="AK404" s="350"/>
      <c r="AL404" s="350"/>
      <c r="AM404" s="350"/>
      <c r="AN404" s="350"/>
      <c r="AO404" s="350"/>
      <c r="AP404" s="350"/>
      <c r="AQ404" s="350"/>
      <c r="AR404" s="350"/>
      <c r="AS404" s="350"/>
      <c r="AT404" s="350"/>
      <c r="AU404" s="351"/>
      <c r="AV404" s="351"/>
      <c r="AW404" s="351"/>
      <c r="AX404" s="351"/>
      <c r="AY404" s="351"/>
      <c r="AZ404" s="351"/>
      <c r="BA404" s="351"/>
      <c r="BB404" s="351"/>
      <c r="BC404" s="351"/>
      <c r="BD404" s="351"/>
      <c r="BE404" s="351"/>
      <c r="BF404" s="351"/>
      <c r="BG404" s="351"/>
      <c r="BH404" s="351"/>
      <c r="BI404" s="351"/>
      <c r="BJ404" s="351"/>
      <c r="BK404" s="351"/>
      <c r="BL404" s="351"/>
      <c r="BM404" s="351"/>
      <c r="BN404" s="351"/>
      <c r="BO404" s="351"/>
      <c r="BP404" s="351"/>
      <c r="BQ404" s="351"/>
      <c r="BR404" s="351"/>
      <c r="BS404" s="351"/>
      <c r="BT404" s="351"/>
      <c r="BU404" s="351"/>
      <c r="BV404" s="351"/>
      <c r="BW404" s="351"/>
      <c r="BX404" s="351"/>
      <c r="BY404" s="351"/>
      <c r="BZ404" s="351"/>
      <c r="CA404" s="351"/>
      <c r="CB404" s="351"/>
      <c r="CC404" s="351"/>
      <c r="CD404" s="351"/>
      <c r="CE404" s="351"/>
      <c r="CF404" s="351"/>
      <c r="CG404" s="352"/>
    </row>
    <row r="405" spans="1:85" s="353" customFormat="1" ht="13.9" customHeight="1" x14ac:dyDescent="0.2">
      <c r="A405" s="337" t="s">
        <v>126</v>
      </c>
      <c r="B405" s="338">
        <v>3</v>
      </c>
      <c r="C405" s="339" t="s">
        <v>614</v>
      </c>
      <c r="D405" s="340" t="s">
        <v>127</v>
      </c>
      <c r="E405" s="341"/>
      <c r="F405" s="341">
        <v>700000000</v>
      </c>
      <c r="G405" s="341"/>
      <c r="H405" s="340">
        <v>43233001</v>
      </c>
      <c r="I405" s="339" t="s">
        <v>495</v>
      </c>
      <c r="J405" s="338">
        <v>2</v>
      </c>
      <c r="K405" s="338">
        <v>3</v>
      </c>
      <c r="L405" s="338">
        <v>10</v>
      </c>
      <c r="M405" s="342">
        <f t="shared" si="62"/>
        <v>1</v>
      </c>
      <c r="N405" s="343" t="s">
        <v>36</v>
      </c>
      <c r="O405" s="344" t="str">
        <f>IF(ISBLANK(N405),"",VLOOKUP(N405,[2]Parámetros!$G$2:$H$23,2,FALSE))</f>
        <v xml:space="preserve">Contratación directa (con ofertas) </v>
      </c>
      <c r="P405" s="345">
        <f t="shared" si="70"/>
        <v>1</v>
      </c>
      <c r="Q405" s="346">
        <f t="shared" si="63"/>
        <v>700000000</v>
      </c>
      <c r="R405" s="346">
        <f t="shared" si="64"/>
        <v>700000000</v>
      </c>
      <c r="S405" s="347" t="s">
        <v>223</v>
      </c>
      <c r="T405" s="345">
        <f t="shared" si="71"/>
        <v>0</v>
      </c>
      <c r="U405" s="348" t="str">
        <f t="shared" si="65"/>
        <v>SUBDIRECCION DE GESTION CONTRACTUAL</v>
      </c>
      <c r="V405" s="345" t="str">
        <f t="shared" si="68"/>
        <v>CO-DC</v>
      </c>
      <c r="W405" s="345" t="str">
        <f t="shared" si="69"/>
        <v>Distrito Capital de Bogotá</v>
      </c>
      <c r="X405" s="340" t="s">
        <v>493</v>
      </c>
      <c r="Y405" s="338">
        <v>2427400</v>
      </c>
      <c r="Z405" s="349" t="s">
        <v>128</v>
      </c>
      <c r="AA405" s="350"/>
      <c r="AB405" s="350"/>
      <c r="AC405" s="350"/>
      <c r="AD405" s="350"/>
      <c r="AE405" s="350"/>
      <c r="AF405" s="350"/>
      <c r="AG405" s="350"/>
      <c r="AH405" s="350"/>
      <c r="AI405" s="350"/>
      <c r="AJ405" s="350"/>
      <c r="AK405" s="350"/>
      <c r="AL405" s="350"/>
      <c r="AM405" s="350"/>
      <c r="AN405" s="350"/>
      <c r="AO405" s="350"/>
      <c r="AP405" s="350"/>
      <c r="AQ405" s="350"/>
      <c r="AR405" s="350"/>
      <c r="AS405" s="350"/>
      <c r="AT405" s="350"/>
      <c r="AU405" s="351"/>
      <c r="AV405" s="351"/>
      <c r="AW405" s="351"/>
      <c r="AX405" s="351"/>
      <c r="AY405" s="351"/>
      <c r="AZ405" s="351"/>
      <c r="BA405" s="351"/>
      <c r="BB405" s="351"/>
      <c r="BC405" s="351"/>
      <c r="BD405" s="351"/>
      <c r="BE405" s="351"/>
      <c r="BF405" s="351"/>
      <c r="BG405" s="351"/>
      <c r="BH405" s="351"/>
      <c r="BI405" s="351"/>
      <c r="BJ405" s="351"/>
      <c r="BK405" s="351"/>
      <c r="BL405" s="351"/>
      <c r="BM405" s="351"/>
      <c r="BN405" s="351"/>
      <c r="BO405" s="351"/>
      <c r="BP405" s="351"/>
      <c r="BQ405" s="351"/>
      <c r="BR405" s="351"/>
      <c r="BS405" s="351"/>
      <c r="BT405" s="351"/>
      <c r="BU405" s="351"/>
      <c r="BV405" s="351"/>
      <c r="BW405" s="351"/>
      <c r="BX405" s="351"/>
      <c r="BY405" s="351"/>
      <c r="BZ405" s="351"/>
      <c r="CA405" s="351"/>
      <c r="CB405" s="351"/>
      <c r="CC405" s="351"/>
      <c r="CD405" s="351"/>
      <c r="CE405" s="351"/>
      <c r="CF405" s="351"/>
      <c r="CG405" s="352"/>
    </row>
    <row r="406" spans="1:85" s="353" customFormat="1" ht="13.9" customHeight="1" x14ac:dyDescent="0.2">
      <c r="A406" s="337" t="s">
        <v>126</v>
      </c>
      <c r="B406" s="338">
        <v>4</v>
      </c>
      <c r="C406" s="339" t="s">
        <v>614</v>
      </c>
      <c r="D406" s="340" t="s">
        <v>127</v>
      </c>
      <c r="E406" s="341"/>
      <c r="F406" s="341">
        <v>100000000</v>
      </c>
      <c r="G406" s="341"/>
      <c r="H406" s="340" t="s">
        <v>779</v>
      </c>
      <c r="I406" s="339" t="s">
        <v>497</v>
      </c>
      <c r="J406" s="338">
        <v>2</v>
      </c>
      <c r="K406" s="338">
        <v>3</v>
      </c>
      <c r="L406" s="338">
        <v>3</v>
      </c>
      <c r="M406" s="342">
        <f t="shared" ref="M406:M469" si="72">IF(ISBLANK(J406),"",1)</f>
        <v>1</v>
      </c>
      <c r="N406" s="343" t="s">
        <v>328</v>
      </c>
      <c r="O406" s="344" t="str">
        <f>IF(ISBLANK(N406),"",VLOOKUP(N406,[2]Parámetros!$G$2:$H$23,2,FALSE))</f>
        <v>Selección abreviada menor cuantía</v>
      </c>
      <c r="P406" s="345">
        <f t="shared" si="70"/>
        <v>1</v>
      </c>
      <c r="Q406" s="346">
        <f t="shared" ref="Q406:Q469" si="73">+E406+F406+G406</f>
        <v>100000000</v>
      </c>
      <c r="R406" s="346">
        <f t="shared" ref="R406:R469" si="74">+F406</f>
        <v>100000000</v>
      </c>
      <c r="S406" s="347" t="s">
        <v>223</v>
      </c>
      <c r="T406" s="345">
        <f t="shared" si="71"/>
        <v>0</v>
      </c>
      <c r="U406" s="348" t="str">
        <f t="shared" ref="U406:U469" si="75">IF(ISBLANK(N406),"","SUBDIRECCION DE GESTION CONTRACTUAL")</f>
        <v>SUBDIRECCION DE GESTION CONTRACTUAL</v>
      </c>
      <c r="V406" s="345" t="str">
        <f t="shared" si="68"/>
        <v>CO-DC</v>
      </c>
      <c r="W406" s="345" t="str">
        <f t="shared" si="69"/>
        <v>Distrito Capital de Bogotá</v>
      </c>
      <c r="X406" s="340" t="s">
        <v>493</v>
      </c>
      <c r="Y406" s="338">
        <v>2427400</v>
      </c>
      <c r="Z406" s="349" t="s">
        <v>128</v>
      </c>
      <c r="AA406" s="350"/>
      <c r="AB406" s="350"/>
      <c r="AC406" s="350"/>
      <c r="AD406" s="350"/>
      <c r="AE406" s="350"/>
      <c r="AF406" s="350"/>
      <c r="AG406" s="350"/>
      <c r="AH406" s="350"/>
      <c r="AI406" s="350"/>
      <c r="AJ406" s="350"/>
      <c r="AK406" s="350"/>
      <c r="AL406" s="350"/>
      <c r="AM406" s="350"/>
      <c r="AN406" s="350"/>
      <c r="AO406" s="350"/>
      <c r="AP406" s="350"/>
      <c r="AQ406" s="350"/>
      <c r="AR406" s="350"/>
      <c r="AS406" s="350"/>
      <c r="AT406" s="350"/>
      <c r="AU406" s="351"/>
      <c r="AV406" s="351"/>
      <c r="AW406" s="351"/>
      <c r="AX406" s="351"/>
      <c r="AY406" s="351"/>
      <c r="AZ406" s="351"/>
      <c r="BA406" s="351"/>
      <c r="BB406" s="351"/>
      <c r="BC406" s="351"/>
      <c r="BD406" s="351"/>
      <c r="BE406" s="351"/>
      <c r="BF406" s="351"/>
      <c r="BG406" s="351"/>
      <c r="BH406" s="351"/>
      <c r="BI406" s="351"/>
      <c r="BJ406" s="351"/>
      <c r="BK406" s="351"/>
      <c r="BL406" s="351"/>
      <c r="BM406" s="351"/>
      <c r="BN406" s="351"/>
      <c r="BO406" s="351"/>
      <c r="BP406" s="351"/>
      <c r="BQ406" s="351"/>
      <c r="BR406" s="351"/>
      <c r="BS406" s="351"/>
      <c r="BT406" s="351"/>
      <c r="BU406" s="351"/>
      <c r="BV406" s="351"/>
      <c r="BW406" s="351"/>
      <c r="BX406" s="351"/>
      <c r="BY406" s="351"/>
      <c r="BZ406" s="351"/>
      <c r="CA406" s="351"/>
      <c r="CB406" s="351"/>
      <c r="CC406" s="351"/>
      <c r="CD406" s="351"/>
      <c r="CE406" s="351"/>
      <c r="CF406" s="351"/>
      <c r="CG406" s="352"/>
    </row>
    <row r="407" spans="1:85" s="353" customFormat="1" ht="13.9" customHeight="1" x14ac:dyDescent="0.2">
      <c r="A407" s="337" t="s">
        <v>126</v>
      </c>
      <c r="B407" s="338">
        <v>5</v>
      </c>
      <c r="C407" s="339" t="s">
        <v>614</v>
      </c>
      <c r="D407" s="340" t="s">
        <v>127</v>
      </c>
      <c r="E407" s="341"/>
      <c r="F407" s="341">
        <v>4459914231</v>
      </c>
      <c r="G407" s="341"/>
      <c r="H407" s="340" t="s">
        <v>787</v>
      </c>
      <c r="I407" s="339" t="s">
        <v>498</v>
      </c>
      <c r="J407" s="338">
        <v>2</v>
      </c>
      <c r="K407" s="338">
        <v>3</v>
      </c>
      <c r="L407" s="338">
        <v>9</v>
      </c>
      <c r="M407" s="342">
        <f t="shared" si="72"/>
        <v>1</v>
      </c>
      <c r="N407" s="343" t="s">
        <v>36</v>
      </c>
      <c r="O407" s="344" t="str">
        <f>IF(ISBLANK(N407),"",VLOOKUP(N407,[2]Parámetros!$G$2:$H$23,2,FALSE))</f>
        <v xml:space="preserve">Contratación directa (con ofertas) </v>
      </c>
      <c r="P407" s="345">
        <f t="shared" si="70"/>
        <v>1</v>
      </c>
      <c r="Q407" s="346">
        <f t="shared" si="73"/>
        <v>4459914231</v>
      </c>
      <c r="R407" s="346">
        <f t="shared" si="74"/>
        <v>4459914231</v>
      </c>
      <c r="S407" s="347" t="s">
        <v>223</v>
      </c>
      <c r="T407" s="345">
        <f t="shared" si="71"/>
        <v>0</v>
      </c>
      <c r="U407" s="348" t="str">
        <f t="shared" si="75"/>
        <v>SUBDIRECCION DE GESTION CONTRACTUAL</v>
      </c>
      <c r="V407" s="345" t="str">
        <f t="shared" si="68"/>
        <v>CO-DC</v>
      </c>
      <c r="W407" s="345" t="str">
        <f t="shared" si="69"/>
        <v>Distrito Capital de Bogotá</v>
      </c>
      <c r="X407" s="340" t="s">
        <v>493</v>
      </c>
      <c r="Y407" s="338">
        <v>2427400</v>
      </c>
      <c r="Z407" s="349" t="s">
        <v>128</v>
      </c>
      <c r="AA407" s="350"/>
      <c r="AB407" s="350"/>
      <c r="AC407" s="350"/>
      <c r="AD407" s="350"/>
      <c r="AE407" s="350"/>
      <c r="AF407" s="350"/>
      <c r="AG407" s="350"/>
      <c r="AH407" s="350"/>
      <c r="AI407" s="350"/>
      <c r="AJ407" s="350"/>
      <c r="AK407" s="350"/>
      <c r="AL407" s="350"/>
      <c r="AM407" s="350"/>
      <c r="AN407" s="350"/>
      <c r="AO407" s="350"/>
      <c r="AP407" s="350"/>
      <c r="AQ407" s="350"/>
      <c r="AR407" s="350"/>
      <c r="AS407" s="350"/>
      <c r="AT407" s="350"/>
      <c r="AU407" s="351"/>
      <c r="AV407" s="351"/>
      <c r="AW407" s="351"/>
      <c r="AX407" s="351"/>
      <c r="AY407" s="351"/>
      <c r="AZ407" s="351"/>
      <c r="BA407" s="351"/>
      <c r="BB407" s="351"/>
      <c r="BC407" s="351"/>
      <c r="BD407" s="351"/>
      <c r="BE407" s="351"/>
      <c r="BF407" s="351"/>
      <c r="BG407" s="351"/>
      <c r="BH407" s="351"/>
      <c r="BI407" s="351"/>
      <c r="BJ407" s="351"/>
      <c r="BK407" s="351"/>
      <c r="BL407" s="351"/>
      <c r="BM407" s="351"/>
      <c r="BN407" s="351"/>
      <c r="BO407" s="351"/>
      <c r="BP407" s="351"/>
      <c r="BQ407" s="351"/>
      <c r="BR407" s="351"/>
      <c r="BS407" s="351"/>
      <c r="BT407" s="351"/>
      <c r="BU407" s="351"/>
      <c r="BV407" s="351"/>
      <c r="BW407" s="351"/>
      <c r="BX407" s="351"/>
      <c r="BY407" s="351"/>
      <c r="BZ407" s="351"/>
      <c r="CA407" s="351"/>
      <c r="CB407" s="351"/>
      <c r="CC407" s="351"/>
      <c r="CD407" s="351"/>
      <c r="CE407" s="351"/>
      <c r="CF407" s="351"/>
      <c r="CG407" s="352"/>
    </row>
    <row r="408" spans="1:85" s="353" customFormat="1" ht="13.9" customHeight="1" x14ac:dyDescent="0.2">
      <c r="A408" s="337" t="s">
        <v>126</v>
      </c>
      <c r="B408" s="338">
        <v>6</v>
      </c>
      <c r="C408" s="339" t="s">
        <v>614</v>
      </c>
      <c r="D408" s="340" t="s">
        <v>127</v>
      </c>
      <c r="E408" s="341"/>
      <c r="F408" s="341">
        <v>100000000</v>
      </c>
      <c r="G408" s="341"/>
      <c r="H408" s="340" t="s">
        <v>137</v>
      </c>
      <c r="I408" s="339" t="s">
        <v>499</v>
      </c>
      <c r="J408" s="338">
        <v>2</v>
      </c>
      <c r="K408" s="338">
        <v>3</v>
      </c>
      <c r="L408" s="338">
        <v>9</v>
      </c>
      <c r="M408" s="342">
        <f t="shared" si="72"/>
        <v>1</v>
      </c>
      <c r="N408" s="343" t="s">
        <v>53</v>
      </c>
      <c r="O408" s="344" t="str">
        <f>IF(ISBLANK(N408),"",VLOOKUP(N408,[2]Parámetros!$G$2:$H$23,2,FALSE))</f>
        <v>Seléccion abreviada - acuerdo marco</v>
      </c>
      <c r="P408" s="345">
        <f t="shared" si="70"/>
        <v>1</v>
      </c>
      <c r="Q408" s="346">
        <f t="shared" si="73"/>
        <v>100000000</v>
      </c>
      <c r="R408" s="346">
        <f t="shared" si="74"/>
        <v>100000000</v>
      </c>
      <c r="S408" s="347" t="s">
        <v>223</v>
      </c>
      <c r="T408" s="345">
        <f t="shared" si="71"/>
        <v>0</v>
      </c>
      <c r="U408" s="348" t="str">
        <f t="shared" si="75"/>
        <v>SUBDIRECCION DE GESTION CONTRACTUAL</v>
      </c>
      <c r="V408" s="345" t="str">
        <f t="shared" si="68"/>
        <v>CO-DC</v>
      </c>
      <c r="W408" s="345" t="str">
        <f t="shared" si="69"/>
        <v>Distrito Capital de Bogotá</v>
      </c>
      <c r="X408" s="340" t="s">
        <v>493</v>
      </c>
      <c r="Y408" s="338">
        <v>2427400</v>
      </c>
      <c r="Z408" s="349" t="s">
        <v>128</v>
      </c>
      <c r="AA408" s="350"/>
      <c r="AB408" s="350"/>
      <c r="AC408" s="350"/>
      <c r="AD408" s="350"/>
      <c r="AE408" s="350"/>
      <c r="AF408" s="350"/>
      <c r="AG408" s="350"/>
      <c r="AH408" s="350"/>
      <c r="AI408" s="350"/>
      <c r="AJ408" s="350"/>
      <c r="AK408" s="350"/>
      <c r="AL408" s="350"/>
      <c r="AM408" s="350"/>
      <c r="AN408" s="350"/>
      <c r="AO408" s="350"/>
      <c r="AP408" s="350"/>
      <c r="AQ408" s="350"/>
      <c r="AR408" s="350"/>
      <c r="AS408" s="350"/>
      <c r="AT408" s="350"/>
      <c r="AU408" s="351"/>
      <c r="AV408" s="351"/>
      <c r="AW408" s="351"/>
      <c r="AX408" s="351"/>
      <c r="AY408" s="351"/>
      <c r="AZ408" s="351"/>
      <c r="BA408" s="351"/>
      <c r="BB408" s="351"/>
      <c r="BC408" s="351"/>
      <c r="BD408" s="351"/>
      <c r="BE408" s="351"/>
      <c r="BF408" s="351"/>
      <c r="BG408" s="351"/>
      <c r="BH408" s="351"/>
      <c r="BI408" s="351"/>
      <c r="BJ408" s="351"/>
      <c r="BK408" s="351"/>
      <c r="BL408" s="351"/>
      <c r="BM408" s="351"/>
      <c r="BN408" s="351"/>
      <c r="BO408" s="351"/>
      <c r="BP408" s="351"/>
      <c r="BQ408" s="351"/>
      <c r="BR408" s="351"/>
      <c r="BS408" s="351"/>
      <c r="BT408" s="351"/>
      <c r="BU408" s="351"/>
      <c r="BV408" s="351"/>
      <c r="BW408" s="351"/>
      <c r="BX408" s="351"/>
      <c r="BY408" s="351"/>
      <c r="BZ408" s="351"/>
      <c r="CA408" s="351"/>
      <c r="CB408" s="351"/>
      <c r="CC408" s="351"/>
      <c r="CD408" s="351"/>
      <c r="CE408" s="351"/>
      <c r="CF408" s="351"/>
      <c r="CG408" s="352"/>
    </row>
    <row r="409" spans="1:85" s="348" customFormat="1" ht="12.75" customHeight="1" x14ac:dyDescent="0.2">
      <c r="A409" s="337" t="s">
        <v>126</v>
      </c>
      <c r="B409" s="338">
        <v>7</v>
      </c>
      <c r="C409" s="339" t="s">
        <v>129</v>
      </c>
      <c r="D409" s="340" t="s">
        <v>136</v>
      </c>
      <c r="E409" s="341"/>
      <c r="F409" s="341">
        <v>436360</v>
      </c>
      <c r="G409" s="341"/>
      <c r="H409" s="340" t="s">
        <v>137</v>
      </c>
      <c r="I409" s="339" t="s">
        <v>499</v>
      </c>
      <c r="J409" s="338">
        <v>2</v>
      </c>
      <c r="K409" s="338">
        <v>3</v>
      </c>
      <c r="L409" s="338">
        <v>9</v>
      </c>
      <c r="M409" s="342">
        <f t="shared" si="72"/>
        <v>1</v>
      </c>
      <c r="N409" s="343" t="s">
        <v>53</v>
      </c>
      <c r="O409" s="344" t="str">
        <f>IF(ISBLANK(N409),"",VLOOKUP(N409,[2]Parámetros!$G$2:$H$23,2,FALSE))</f>
        <v>Seléccion abreviada - acuerdo marco</v>
      </c>
      <c r="P409" s="345">
        <f t="shared" si="70"/>
        <v>1</v>
      </c>
      <c r="Q409" s="346">
        <f t="shared" si="73"/>
        <v>436360</v>
      </c>
      <c r="R409" s="346">
        <f t="shared" si="74"/>
        <v>436360</v>
      </c>
      <c r="S409" s="347" t="s">
        <v>223</v>
      </c>
      <c r="T409" s="345">
        <f t="shared" si="71"/>
        <v>0</v>
      </c>
      <c r="U409" s="348" t="str">
        <f t="shared" si="75"/>
        <v>SUBDIRECCION DE GESTION CONTRACTUAL</v>
      </c>
      <c r="V409" s="345" t="str">
        <f t="shared" si="68"/>
        <v>CO-DC</v>
      </c>
      <c r="W409" s="345" t="str">
        <f t="shared" si="69"/>
        <v>Distrito Capital de Bogotá</v>
      </c>
      <c r="X409" s="340" t="s">
        <v>500</v>
      </c>
      <c r="Y409" s="338">
        <v>2427400</v>
      </c>
      <c r="Z409" s="349" t="s">
        <v>131</v>
      </c>
      <c r="AA409" s="350"/>
      <c r="AB409" s="350"/>
      <c r="AC409" s="350"/>
      <c r="AD409" s="350"/>
      <c r="AE409" s="350"/>
      <c r="AF409" s="350"/>
      <c r="AG409" s="350"/>
      <c r="AH409" s="350"/>
      <c r="AI409" s="350"/>
      <c r="AJ409" s="350"/>
      <c r="AK409" s="350"/>
      <c r="AL409" s="350"/>
      <c r="AM409" s="350"/>
      <c r="AN409" s="350"/>
      <c r="AO409" s="350"/>
      <c r="AP409" s="350"/>
      <c r="AQ409" s="350"/>
      <c r="AR409" s="350"/>
      <c r="AS409" s="350"/>
      <c r="AT409" s="350"/>
      <c r="AU409" s="351"/>
      <c r="AV409" s="351"/>
      <c r="AW409" s="351"/>
      <c r="AX409" s="351"/>
      <c r="AY409" s="351"/>
      <c r="AZ409" s="351"/>
      <c r="BA409" s="351"/>
      <c r="BB409" s="351"/>
      <c r="BC409" s="351"/>
      <c r="BD409" s="351"/>
      <c r="BE409" s="351"/>
      <c r="BF409" s="351"/>
      <c r="BG409" s="351"/>
      <c r="BH409" s="351"/>
      <c r="BI409" s="351"/>
      <c r="BJ409" s="351"/>
      <c r="BK409" s="351"/>
      <c r="BL409" s="351"/>
      <c r="BM409" s="351"/>
      <c r="BN409" s="351"/>
      <c r="BO409" s="351"/>
      <c r="BP409" s="351"/>
      <c r="BQ409" s="351"/>
      <c r="BR409" s="351"/>
      <c r="BS409" s="351"/>
      <c r="BT409" s="351"/>
      <c r="BU409" s="351"/>
      <c r="BV409" s="351"/>
      <c r="BW409" s="351"/>
      <c r="BX409" s="351"/>
      <c r="BY409" s="351"/>
      <c r="BZ409" s="351"/>
      <c r="CA409" s="351"/>
      <c r="CB409" s="351"/>
      <c r="CC409" s="351"/>
      <c r="CD409" s="351"/>
      <c r="CE409" s="351"/>
      <c r="CF409" s="351"/>
      <c r="CG409" s="352"/>
    </row>
    <row r="410" spans="1:85" s="353" customFormat="1" ht="13.9" customHeight="1" x14ac:dyDescent="0.2">
      <c r="A410" s="337" t="s">
        <v>126</v>
      </c>
      <c r="B410" s="338">
        <v>8</v>
      </c>
      <c r="C410" s="339" t="s">
        <v>129</v>
      </c>
      <c r="D410" s="340" t="s">
        <v>133</v>
      </c>
      <c r="E410" s="341"/>
      <c r="F410" s="341">
        <v>39548424</v>
      </c>
      <c r="G410" s="341"/>
      <c r="H410" s="340" t="s">
        <v>137</v>
      </c>
      <c r="I410" s="339" t="s">
        <v>499</v>
      </c>
      <c r="J410" s="338">
        <v>2</v>
      </c>
      <c r="K410" s="338">
        <v>3</v>
      </c>
      <c r="L410" s="338">
        <v>9</v>
      </c>
      <c r="M410" s="342">
        <f t="shared" si="72"/>
        <v>1</v>
      </c>
      <c r="N410" s="343" t="s">
        <v>53</v>
      </c>
      <c r="O410" s="344" t="str">
        <f>IF(ISBLANK(N410),"",VLOOKUP(N410,[2]Parámetros!$G$2:$H$23,2,FALSE))</f>
        <v>Seléccion abreviada - acuerdo marco</v>
      </c>
      <c r="P410" s="345">
        <f t="shared" si="70"/>
        <v>1</v>
      </c>
      <c r="Q410" s="346">
        <f t="shared" si="73"/>
        <v>39548424</v>
      </c>
      <c r="R410" s="346">
        <f t="shared" si="74"/>
        <v>39548424</v>
      </c>
      <c r="S410" s="347" t="s">
        <v>223</v>
      </c>
      <c r="T410" s="345">
        <f t="shared" si="71"/>
        <v>0</v>
      </c>
      <c r="U410" s="348" t="str">
        <f t="shared" si="75"/>
        <v>SUBDIRECCION DE GESTION CONTRACTUAL</v>
      </c>
      <c r="V410" s="345" t="str">
        <f t="shared" si="68"/>
        <v>CO-DC</v>
      </c>
      <c r="W410" s="345" t="str">
        <f t="shared" si="69"/>
        <v>Distrito Capital de Bogotá</v>
      </c>
      <c r="X410" s="340" t="s">
        <v>500</v>
      </c>
      <c r="Y410" s="338">
        <v>2427400</v>
      </c>
      <c r="Z410" s="349" t="s">
        <v>131</v>
      </c>
      <c r="AA410" s="350"/>
      <c r="AB410" s="350"/>
      <c r="AC410" s="350"/>
      <c r="AD410" s="350"/>
      <c r="AE410" s="350"/>
      <c r="AF410" s="350"/>
      <c r="AG410" s="350"/>
      <c r="AH410" s="350"/>
      <c r="AI410" s="350"/>
      <c r="AJ410" s="350"/>
      <c r="AK410" s="350"/>
      <c r="AL410" s="350"/>
      <c r="AM410" s="350"/>
      <c r="AN410" s="350"/>
      <c r="AO410" s="350"/>
      <c r="AP410" s="350"/>
      <c r="AQ410" s="350"/>
      <c r="AR410" s="350"/>
      <c r="AS410" s="350"/>
      <c r="AT410" s="350"/>
      <c r="AU410" s="351"/>
      <c r="AV410" s="351"/>
      <c r="AW410" s="351"/>
      <c r="AX410" s="351"/>
      <c r="AY410" s="351"/>
      <c r="AZ410" s="351"/>
      <c r="BA410" s="351"/>
      <c r="BB410" s="351"/>
      <c r="BC410" s="351"/>
      <c r="BD410" s="351"/>
      <c r="BE410" s="351"/>
      <c r="BF410" s="351"/>
      <c r="BG410" s="351"/>
      <c r="BH410" s="351"/>
      <c r="BI410" s="351"/>
      <c r="BJ410" s="351"/>
      <c r="BK410" s="351"/>
      <c r="BL410" s="351"/>
      <c r="BM410" s="351"/>
      <c r="BN410" s="351"/>
      <c r="BO410" s="351"/>
      <c r="BP410" s="351"/>
      <c r="BQ410" s="351"/>
      <c r="BR410" s="351"/>
      <c r="BS410" s="351"/>
      <c r="BT410" s="351"/>
      <c r="BU410" s="351"/>
      <c r="BV410" s="351"/>
      <c r="BW410" s="351"/>
      <c r="BX410" s="351"/>
      <c r="BY410" s="351"/>
      <c r="BZ410" s="351"/>
      <c r="CA410" s="351"/>
      <c r="CB410" s="351"/>
      <c r="CC410" s="351"/>
      <c r="CD410" s="351"/>
      <c r="CE410" s="351"/>
      <c r="CF410" s="351"/>
      <c r="CG410" s="352"/>
    </row>
    <row r="411" spans="1:85" s="353" customFormat="1" ht="13.9" customHeight="1" x14ac:dyDescent="0.2">
      <c r="A411" s="337" t="s">
        <v>126</v>
      </c>
      <c r="B411" s="338">
        <v>9</v>
      </c>
      <c r="C411" s="339" t="s">
        <v>129</v>
      </c>
      <c r="D411" s="340" t="s">
        <v>138</v>
      </c>
      <c r="E411" s="341"/>
      <c r="F411" s="341">
        <v>16760190</v>
      </c>
      <c r="G411" s="341"/>
      <c r="H411" s="340" t="s">
        <v>137</v>
      </c>
      <c r="I411" s="339" t="s">
        <v>499</v>
      </c>
      <c r="J411" s="338">
        <v>2</v>
      </c>
      <c r="K411" s="338">
        <v>3</v>
      </c>
      <c r="L411" s="338">
        <v>9</v>
      </c>
      <c r="M411" s="342">
        <f t="shared" si="72"/>
        <v>1</v>
      </c>
      <c r="N411" s="343" t="s">
        <v>53</v>
      </c>
      <c r="O411" s="344" t="str">
        <f>IF(ISBLANK(N411),"",VLOOKUP(N411,[2]Parámetros!$G$2:$H$23,2,FALSE))</f>
        <v>Seléccion abreviada - acuerdo marco</v>
      </c>
      <c r="P411" s="345">
        <f t="shared" si="70"/>
        <v>1</v>
      </c>
      <c r="Q411" s="346">
        <f t="shared" si="73"/>
        <v>16760190</v>
      </c>
      <c r="R411" s="346">
        <f t="shared" si="74"/>
        <v>16760190</v>
      </c>
      <c r="S411" s="347" t="s">
        <v>223</v>
      </c>
      <c r="T411" s="345">
        <f t="shared" si="71"/>
        <v>0</v>
      </c>
      <c r="U411" s="348" t="str">
        <f t="shared" si="75"/>
        <v>SUBDIRECCION DE GESTION CONTRACTUAL</v>
      </c>
      <c r="V411" s="345" t="str">
        <f t="shared" si="68"/>
        <v>CO-DC</v>
      </c>
      <c r="W411" s="345" t="str">
        <f t="shared" si="69"/>
        <v>Distrito Capital de Bogotá</v>
      </c>
      <c r="X411" s="340" t="s">
        <v>500</v>
      </c>
      <c r="Y411" s="338">
        <v>2427400</v>
      </c>
      <c r="Z411" s="349" t="s">
        <v>131</v>
      </c>
      <c r="AA411" s="350"/>
      <c r="AB411" s="350"/>
      <c r="AC411" s="350"/>
      <c r="AD411" s="350"/>
      <c r="AE411" s="350"/>
      <c r="AF411" s="350"/>
      <c r="AG411" s="350"/>
      <c r="AH411" s="350"/>
      <c r="AI411" s="350"/>
      <c r="AJ411" s="350"/>
      <c r="AK411" s="350"/>
      <c r="AL411" s="350"/>
      <c r="AM411" s="350"/>
      <c r="AN411" s="350"/>
      <c r="AO411" s="350"/>
      <c r="AP411" s="350"/>
      <c r="AQ411" s="350"/>
      <c r="AR411" s="350"/>
      <c r="AS411" s="350"/>
      <c r="AT411" s="350"/>
      <c r="AU411" s="351"/>
      <c r="AV411" s="351"/>
      <c r="AW411" s="351"/>
      <c r="AX411" s="351"/>
      <c r="AY411" s="351"/>
      <c r="AZ411" s="351"/>
      <c r="BA411" s="351"/>
      <c r="BB411" s="351"/>
      <c r="BC411" s="351"/>
      <c r="BD411" s="351"/>
      <c r="BE411" s="351"/>
      <c r="BF411" s="351"/>
      <c r="BG411" s="351"/>
      <c r="BH411" s="351"/>
      <c r="BI411" s="351"/>
      <c r="BJ411" s="351"/>
      <c r="BK411" s="351"/>
      <c r="BL411" s="351"/>
      <c r="BM411" s="351"/>
      <c r="BN411" s="351"/>
      <c r="BO411" s="351"/>
      <c r="BP411" s="351"/>
      <c r="BQ411" s="351"/>
      <c r="BR411" s="351"/>
      <c r="BS411" s="351"/>
      <c r="BT411" s="351"/>
      <c r="BU411" s="351"/>
      <c r="BV411" s="351"/>
      <c r="BW411" s="351"/>
      <c r="BX411" s="351"/>
      <c r="BY411" s="351"/>
      <c r="BZ411" s="351"/>
      <c r="CA411" s="351"/>
      <c r="CB411" s="351"/>
      <c r="CC411" s="351"/>
      <c r="CD411" s="351"/>
      <c r="CE411" s="351"/>
      <c r="CF411" s="351"/>
      <c r="CG411" s="352"/>
    </row>
    <row r="412" spans="1:85" s="353" customFormat="1" ht="13.9" customHeight="1" x14ac:dyDescent="0.2">
      <c r="A412" s="337" t="s">
        <v>126</v>
      </c>
      <c r="B412" s="338">
        <v>10</v>
      </c>
      <c r="C412" s="339" t="s">
        <v>129</v>
      </c>
      <c r="D412" s="340" t="s">
        <v>139</v>
      </c>
      <c r="E412" s="341"/>
      <c r="F412" s="341">
        <v>15925909</v>
      </c>
      <c r="G412" s="341"/>
      <c r="H412" s="340" t="s">
        <v>137</v>
      </c>
      <c r="I412" s="339" t="s">
        <v>499</v>
      </c>
      <c r="J412" s="338">
        <v>2</v>
      </c>
      <c r="K412" s="338">
        <v>3</v>
      </c>
      <c r="L412" s="338">
        <v>9</v>
      </c>
      <c r="M412" s="342">
        <f t="shared" si="72"/>
        <v>1</v>
      </c>
      <c r="N412" s="343" t="s">
        <v>53</v>
      </c>
      <c r="O412" s="344" t="str">
        <f>IF(ISBLANK(N412),"",VLOOKUP(N412,[2]Parámetros!$G$2:$H$23,2,FALSE))</f>
        <v>Seléccion abreviada - acuerdo marco</v>
      </c>
      <c r="P412" s="345">
        <f t="shared" si="70"/>
        <v>1</v>
      </c>
      <c r="Q412" s="346">
        <f t="shared" si="73"/>
        <v>15925909</v>
      </c>
      <c r="R412" s="346">
        <f t="shared" si="74"/>
        <v>15925909</v>
      </c>
      <c r="S412" s="347" t="s">
        <v>223</v>
      </c>
      <c r="T412" s="345">
        <f t="shared" si="71"/>
        <v>0</v>
      </c>
      <c r="U412" s="348" t="str">
        <f t="shared" si="75"/>
        <v>SUBDIRECCION DE GESTION CONTRACTUAL</v>
      </c>
      <c r="V412" s="345" t="str">
        <f t="shared" si="68"/>
        <v>CO-DC</v>
      </c>
      <c r="W412" s="345" t="str">
        <f t="shared" si="69"/>
        <v>Distrito Capital de Bogotá</v>
      </c>
      <c r="X412" s="340" t="s">
        <v>500</v>
      </c>
      <c r="Y412" s="338">
        <v>2427400</v>
      </c>
      <c r="Z412" s="349" t="s">
        <v>131</v>
      </c>
      <c r="AA412" s="350"/>
      <c r="AB412" s="350"/>
      <c r="AC412" s="350"/>
      <c r="AD412" s="350"/>
      <c r="AE412" s="350"/>
      <c r="AF412" s="350"/>
      <c r="AG412" s="350"/>
      <c r="AH412" s="350"/>
      <c r="AI412" s="350"/>
      <c r="AJ412" s="350"/>
      <c r="AK412" s="350"/>
      <c r="AL412" s="350"/>
      <c r="AM412" s="350"/>
      <c r="AN412" s="350"/>
      <c r="AO412" s="350"/>
      <c r="AP412" s="350"/>
      <c r="AQ412" s="350"/>
      <c r="AR412" s="350"/>
      <c r="AS412" s="350"/>
      <c r="AT412" s="350"/>
      <c r="AU412" s="351"/>
      <c r="AV412" s="351"/>
      <c r="AW412" s="351"/>
      <c r="AX412" s="351"/>
      <c r="AY412" s="351"/>
      <c r="AZ412" s="351"/>
      <c r="BA412" s="351"/>
      <c r="BB412" s="351"/>
      <c r="BC412" s="351"/>
      <c r="BD412" s="351"/>
      <c r="BE412" s="351"/>
      <c r="BF412" s="351"/>
      <c r="BG412" s="351"/>
      <c r="BH412" s="351"/>
      <c r="BI412" s="351"/>
      <c r="BJ412" s="351"/>
      <c r="BK412" s="351"/>
      <c r="BL412" s="351"/>
      <c r="BM412" s="351"/>
      <c r="BN412" s="351"/>
      <c r="BO412" s="351"/>
      <c r="BP412" s="351"/>
      <c r="BQ412" s="351"/>
      <c r="BR412" s="351"/>
      <c r="BS412" s="351"/>
      <c r="BT412" s="351"/>
      <c r="BU412" s="351"/>
      <c r="BV412" s="351"/>
      <c r="BW412" s="351"/>
      <c r="BX412" s="351"/>
      <c r="BY412" s="351"/>
      <c r="BZ412" s="351"/>
      <c r="CA412" s="351"/>
      <c r="CB412" s="351"/>
      <c r="CC412" s="351"/>
      <c r="CD412" s="351"/>
      <c r="CE412" s="351"/>
      <c r="CF412" s="351"/>
      <c r="CG412" s="352"/>
    </row>
    <row r="413" spans="1:85" s="353" customFormat="1" ht="13.9" customHeight="1" x14ac:dyDescent="0.2">
      <c r="A413" s="337" t="s">
        <v>126</v>
      </c>
      <c r="B413" s="338">
        <v>11</v>
      </c>
      <c r="C413" s="339" t="s">
        <v>129</v>
      </c>
      <c r="D413" s="340" t="s">
        <v>140</v>
      </c>
      <c r="E413" s="341"/>
      <c r="F413" s="341">
        <v>25099427</v>
      </c>
      <c r="G413" s="341"/>
      <c r="H413" s="340" t="s">
        <v>137</v>
      </c>
      <c r="I413" s="339" t="s">
        <v>499</v>
      </c>
      <c r="J413" s="338">
        <v>2</v>
      </c>
      <c r="K413" s="338">
        <v>3</v>
      </c>
      <c r="L413" s="338">
        <v>9</v>
      </c>
      <c r="M413" s="342">
        <f t="shared" si="72"/>
        <v>1</v>
      </c>
      <c r="N413" s="343" t="s">
        <v>53</v>
      </c>
      <c r="O413" s="344" t="str">
        <f>IF(ISBLANK(N413),"",VLOOKUP(N413,[2]Parámetros!$G$2:$H$23,2,FALSE))</f>
        <v>Seléccion abreviada - acuerdo marco</v>
      </c>
      <c r="P413" s="345">
        <f t="shared" si="70"/>
        <v>1</v>
      </c>
      <c r="Q413" s="346">
        <f t="shared" si="73"/>
        <v>25099427</v>
      </c>
      <c r="R413" s="346">
        <f t="shared" si="74"/>
        <v>25099427</v>
      </c>
      <c r="S413" s="347" t="s">
        <v>223</v>
      </c>
      <c r="T413" s="345">
        <f t="shared" si="71"/>
        <v>0</v>
      </c>
      <c r="U413" s="348" t="str">
        <f t="shared" si="75"/>
        <v>SUBDIRECCION DE GESTION CONTRACTUAL</v>
      </c>
      <c r="V413" s="345" t="str">
        <f t="shared" si="68"/>
        <v>CO-DC</v>
      </c>
      <c r="W413" s="345" t="str">
        <f t="shared" si="69"/>
        <v>Distrito Capital de Bogotá</v>
      </c>
      <c r="X413" s="340" t="s">
        <v>500</v>
      </c>
      <c r="Y413" s="338">
        <v>2427400</v>
      </c>
      <c r="Z413" s="349" t="s">
        <v>131</v>
      </c>
      <c r="AA413" s="350"/>
      <c r="AB413" s="350"/>
      <c r="AC413" s="350"/>
      <c r="AD413" s="350"/>
      <c r="AE413" s="350"/>
      <c r="AF413" s="350"/>
      <c r="AG413" s="350"/>
      <c r="AH413" s="350"/>
      <c r="AI413" s="350"/>
      <c r="AJ413" s="350"/>
      <c r="AK413" s="350"/>
      <c r="AL413" s="350"/>
      <c r="AM413" s="350"/>
      <c r="AN413" s="350"/>
      <c r="AO413" s="350"/>
      <c r="AP413" s="350"/>
      <c r="AQ413" s="350"/>
      <c r="AR413" s="350"/>
      <c r="AS413" s="350"/>
      <c r="AT413" s="350"/>
      <c r="AU413" s="351"/>
      <c r="AV413" s="351"/>
      <c r="AW413" s="351"/>
      <c r="AX413" s="351"/>
      <c r="AY413" s="351"/>
      <c r="AZ413" s="351"/>
      <c r="BA413" s="351"/>
      <c r="BB413" s="351"/>
      <c r="BC413" s="351"/>
      <c r="BD413" s="351"/>
      <c r="BE413" s="351"/>
      <c r="BF413" s="351"/>
      <c r="BG413" s="351"/>
      <c r="BH413" s="351"/>
      <c r="BI413" s="351"/>
      <c r="BJ413" s="351"/>
      <c r="BK413" s="351"/>
      <c r="BL413" s="351"/>
      <c r="BM413" s="351"/>
      <c r="BN413" s="351"/>
      <c r="BO413" s="351"/>
      <c r="BP413" s="351"/>
      <c r="BQ413" s="351"/>
      <c r="BR413" s="351"/>
      <c r="BS413" s="351"/>
      <c r="BT413" s="351"/>
      <c r="BU413" s="351"/>
      <c r="BV413" s="351"/>
      <c r="BW413" s="351"/>
      <c r="BX413" s="351"/>
      <c r="BY413" s="351"/>
      <c r="BZ413" s="351"/>
      <c r="CA413" s="351"/>
      <c r="CB413" s="351"/>
      <c r="CC413" s="351"/>
      <c r="CD413" s="351"/>
      <c r="CE413" s="351"/>
      <c r="CF413" s="351"/>
      <c r="CG413" s="352"/>
    </row>
    <row r="414" spans="1:85" s="353" customFormat="1" ht="13.9" customHeight="1" x14ac:dyDescent="0.2">
      <c r="A414" s="337" t="s">
        <v>126</v>
      </c>
      <c r="B414" s="338">
        <v>12</v>
      </c>
      <c r="C414" s="339" t="s">
        <v>129</v>
      </c>
      <c r="D414" s="340" t="s">
        <v>141</v>
      </c>
      <c r="E414" s="341"/>
      <c r="F414" s="341">
        <v>37659348</v>
      </c>
      <c r="G414" s="341"/>
      <c r="H414" s="340" t="s">
        <v>137</v>
      </c>
      <c r="I414" s="339" t="s">
        <v>499</v>
      </c>
      <c r="J414" s="338">
        <v>2</v>
      </c>
      <c r="K414" s="338">
        <v>3</v>
      </c>
      <c r="L414" s="338">
        <v>9</v>
      </c>
      <c r="M414" s="342">
        <f t="shared" si="72"/>
        <v>1</v>
      </c>
      <c r="N414" s="343" t="s">
        <v>53</v>
      </c>
      <c r="O414" s="344" t="str">
        <f>IF(ISBLANK(N414),"",VLOOKUP(N414,[2]Parámetros!$G$2:$H$23,2,FALSE))</f>
        <v>Seléccion abreviada - acuerdo marco</v>
      </c>
      <c r="P414" s="345">
        <f t="shared" si="70"/>
        <v>1</v>
      </c>
      <c r="Q414" s="346">
        <f t="shared" si="73"/>
        <v>37659348</v>
      </c>
      <c r="R414" s="346">
        <f t="shared" si="74"/>
        <v>37659348</v>
      </c>
      <c r="S414" s="347" t="s">
        <v>223</v>
      </c>
      <c r="T414" s="345">
        <f t="shared" si="71"/>
        <v>0</v>
      </c>
      <c r="U414" s="348" t="str">
        <f t="shared" si="75"/>
        <v>SUBDIRECCION DE GESTION CONTRACTUAL</v>
      </c>
      <c r="V414" s="345" t="str">
        <f t="shared" si="68"/>
        <v>CO-DC</v>
      </c>
      <c r="W414" s="345" t="str">
        <f t="shared" si="69"/>
        <v>Distrito Capital de Bogotá</v>
      </c>
      <c r="X414" s="340" t="s">
        <v>500</v>
      </c>
      <c r="Y414" s="338">
        <v>2427400</v>
      </c>
      <c r="Z414" s="349" t="s">
        <v>131</v>
      </c>
      <c r="AA414" s="350"/>
      <c r="AB414" s="350"/>
      <c r="AC414" s="350"/>
      <c r="AD414" s="350"/>
      <c r="AE414" s="350"/>
      <c r="AF414" s="350"/>
      <c r="AG414" s="350"/>
      <c r="AH414" s="350"/>
      <c r="AI414" s="350"/>
      <c r="AJ414" s="350"/>
      <c r="AK414" s="350"/>
      <c r="AL414" s="350"/>
      <c r="AM414" s="350"/>
      <c r="AN414" s="350"/>
      <c r="AO414" s="350"/>
      <c r="AP414" s="350"/>
      <c r="AQ414" s="350"/>
      <c r="AR414" s="350"/>
      <c r="AS414" s="350"/>
      <c r="AT414" s="350"/>
      <c r="AU414" s="351"/>
      <c r="AV414" s="351"/>
      <c r="AW414" s="351"/>
      <c r="AX414" s="351"/>
      <c r="AY414" s="351"/>
      <c r="AZ414" s="351"/>
      <c r="BA414" s="351"/>
      <c r="BB414" s="351"/>
      <c r="BC414" s="351"/>
      <c r="BD414" s="351"/>
      <c r="BE414" s="351"/>
      <c r="BF414" s="351"/>
      <c r="BG414" s="351"/>
      <c r="BH414" s="351"/>
      <c r="BI414" s="351"/>
      <c r="BJ414" s="351"/>
      <c r="BK414" s="351"/>
      <c r="BL414" s="351"/>
      <c r="BM414" s="351"/>
      <c r="BN414" s="351"/>
      <c r="BO414" s="351"/>
      <c r="BP414" s="351"/>
      <c r="BQ414" s="351"/>
      <c r="BR414" s="351"/>
      <c r="BS414" s="351"/>
      <c r="BT414" s="351"/>
      <c r="BU414" s="351"/>
      <c r="BV414" s="351"/>
      <c r="BW414" s="351"/>
      <c r="BX414" s="351"/>
      <c r="BY414" s="351"/>
      <c r="BZ414" s="351"/>
      <c r="CA414" s="351"/>
      <c r="CB414" s="351"/>
      <c r="CC414" s="351"/>
      <c r="CD414" s="351"/>
      <c r="CE414" s="351"/>
      <c r="CF414" s="351"/>
      <c r="CG414" s="352"/>
    </row>
    <row r="415" spans="1:85" s="348" customFormat="1" ht="12.75" customHeight="1" x14ac:dyDescent="0.2">
      <c r="A415" s="337" t="s">
        <v>126</v>
      </c>
      <c r="B415" s="338">
        <v>13</v>
      </c>
      <c r="C415" s="339" t="s">
        <v>129</v>
      </c>
      <c r="D415" s="340" t="s">
        <v>50</v>
      </c>
      <c r="E415" s="341"/>
      <c r="F415" s="341">
        <v>15000000</v>
      </c>
      <c r="G415" s="341"/>
      <c r="H415" s="340" t="s">
        <v>51</v>
      </c>
      <c r="I415" s="339" t="s">
        <v>501</v>
      </c>
      <c r="J415" s="338">
        <v>4</v>
      </c>
      <c r="K415" s="338">
        <v>6</v>
      </c>
      <c r="L415" s="338">
        <v>1</v>
      </c>
      <c r="M415" s="342">
        <f t="shared" si="72"/>
        <v>1</v>
      </c>
      <c r="N415" s="343" t="s">
        <v>43</v>
      </c>
      <c r="O415" s="344" t="str">
        <f>IF(ISBLANK(N415),"",VLOOKUP(N415,[2]Parámetros!$G$2:$H$23,2,FALSE))</f>
        <v>Selección abreviada subasta inversa</v>
      </c>
      <c r="P415" s="345">
        <f t="shared" si="70"/>
        <v>1</v>
      </c>
      <c r="Q415" s="346">
        <f t="shared" si="73"/>
        <v>15000000</v>
      </c>
      <c r="R415" s="346">
        <f t="shared" si="74"/>
        <v>15000000</v>
      </c>
      <c r="S415" s="347" t="s">
        <v>223</v>
      </c>
      <c r="T415" s="345">
        <f t="shared" si="71"/>
        <v>0</v>
      </c>
      <c r="U415" s="348" t="str">
        <f t="shared" si="75"/>
        <v>SUBDIRECCION DE GESTION CONTRACTUAL</v>
      </c>
      <c r="V415" s="345" t="str">
        <f t="shared" si="68"/>
        <v>CO-DC</v>
      </c>
      <c r="W415" s="345" t="str">
        <f t="shared" si="69"/>
        <v>Distrito Capital de Bogotá</v>
      </c>
      <c r="X415" s="340" t="s">
        <v>73</v>
      </c>
      <c r="Y415" s="338">
        <v>2427400</v>
      </c>
      <c r="Z415" s="349" t="s">
        <v>74</v>
      </c>
      <c r="AA415" s="350"/>
      <c r="AB415" s="350"/>
      <c r="AC415" s="350"/>
      <c r="AD415" s="350"/>
      <c r="AE415" s="350"/>
      <c r="AF415" s="350"/>
      <c r="AG415" s="350"/>
      <c r="AH415" s="350"/>
      <c r="AI415" s="350"/>
      <c r="AJ415" s="350"/>
      <c r="AK415" s="350"/>
      <c r="AL415" s="350"/>
      <c r="AM415" s="350"/>
      <c r="AN415" s="350"/>
      <c r="AO415" s="350"/>
      <c r="AP415" s="350"/>
      <c r="AQ415" s="350"/>
      <c r="AR415" s="350"/>
      <c r="AS415" s="350"/>
      <c r="AT415" s="350"/>
      <c r="AU415" s="351"/>
      <c r="AV415" s="351"/>
      <c r="AW415" s="351"/>
      <c r="AX415" s="351"/>
      <c r="AY415" s="351"/>
      <c r="AZ415" s="351"/>
      <c r="BA415" s="351"/>
      <c r="BB415" s="351"/>
      <c r="BC415" s="351"/>
      <c r="BD415" s="351"/>
      <c r="BE415" s="351"/>
      <c r="BF415" s="351"/>
      <c r="BG415" s="351"/>
      <c r="BH415" s="351"/>
      <c r="BI415" s="351"/>
      <c r="BJ415" s="351"/>
      <c r="BK415" s="351"/>
      <c r="BL415" s="351"/>
      <c r="BM415" s="351"/>
      <c r="BN415" s="351"/>
      <c r="BO415" s="351"/>
      <c r="BP415" s="351"/>
      <c r="BQ415" s="351"/>
      <c r="BR415" s="351"/>
      <c r="BS415" s="351"/>
      <c r="BT415" s="351"/>
      <c r="BU415" s="351"/>
      <c r="BV415" s="351"/>
      <c r="BW415" s="351"/>
      <c r="BX415" s="351"/>
      <c r="BY415" s="351"/>
      <c r="BZ415" s="351"/>
      <c r="CA415" s="351"/>
      <c r="CB415" s="351"/>
      <c r="CC415" s="351"/>
      <c r="CD415" s="351"/>
      <c r="CE415" s="351"/>
      <c r="CF415" s="351"/>
      <c r="CG415" s="352"/>
    </row>
    <row r="416" spans="1:85" s="353" customFormat="1" ht="13.9" customHeight="1" x14ac:dyDescent="0.2">
      <c r="A416" s="337" t="s">
        <v>126</v>
      </c>
      <c r="B416" s="338">
        <v>14</v>
      </c>
      <c r="C416" s="339" t="s">
        <v>129</v>
      </c>
      <c r="D416" s="340" t="s">
        <v>52</v>
      </c>
      <c r="E416" s="341">
        <v>35200000</v>
      </c>
      <c r="F416" s="341">
        <f>188571850+52198070</f>
        <v>240769920</v>
      </c>
      <c r="G416" s="341"/>
      <c r="H416" s="340" t="s">
        <v>132</v>
      </c>
      <c r="I416" s="339" t="s">
        <v>502</v>
      </c>
      <c r="J416" s="338">
        <v>1</v>
      </c>
      <c r="K416" s="338">
        <v>1</v>
      </c>
      <c r="L416" s="338">
        <v>10</v>
      </c>
      <c r="M416" s="342">
        <f t="shared" si="72"/>
        <v>1</v>
      </c>
      <c r="N416" s="343" t="s">
        <v>53</v>
      </c>
      <c r="O416" s="344" t="str">
        <f>IF(ISBLANK(N416),"",VLOOKUP(N416,[2]Parámetros!$G$2:$H$23,2,FALSE))</f>
        <v>Seléccion abreviada - acuerdo marco</v>
      </c>
      <c r="P416" s="345">
        <f t="shared" si="70"/>
        <v>1</v>
      </c>
      <c r="Q416" s="346">
        <f t="shared" si="73"/>
        <v>275969920</v>
      </c>
      <c r="R416" s="346">
        <f t="shared" si="74"/>
        <v>240769920</v>
      </c>
      <c r="S416" s="347">
        <v>0</v>
      </c>
      <c r="T416" s="345">
        <f t="shared" si="71"/>
        <v>0</v>
      </c>
      <c r="U416" s="348" t="str">
        <f t="shared" si="75"/>
        <v>SUBDIRECCION DE GESTION CONTRACTUAL</v>
      </c>
      <c r="V416" s="345" t="str">
        <f t="shared" si="68"/>
        <v>CO-DC</v>
      </c>
      <c r="W416" s="345" t="str">
        <f t="shared" si="69"/>
        <v>Distrito Capital de Bogotá</v>
      </c>
      <c r="X416" s="340" t="s">
        <v>500</v>
      </c>
      <c r="Y416" s="338">
        <v>2427400</v>
      </c>
      <c r="Z416" s="349" t="s">
        <v>131</v>
      </c>
      <c r="AA416" s="350"/>
      <c r="AB416" s="350"/>
      <c r="AC416" s="350"/>
      <c r="AD416" s="350"/>
      <c r="AE416" s="350"/>
      <c r="AF416" s="350"/>
      <c r="AG416" s="350"/>
      <c r="AH416" s="350"/>
      <c r="AI416" s="350"/>
      <c r="AJ416" s="350"/>
      <c r="AK416" s="350"/>
      <c r="AL416" s="350"/>
      <c r="AM416" s="350"/>
      <c r="AN416" s="350"/>
      <c r="AO416" s="350"/>
      <c r="AP416" s="350"/>
      <c r="AQ416" s="350"/>
      <c r="AR416" s="350"/>
      <c r="AS416" s="350"/>
      <c r="AT416" s="350"/>
      <c r="AU416" s="351"/>
      <c r="AV416" s="351"/>
      <c r="AW416" s="351"/>
      <c r="AX416" s="351"/>
      <c r="AY416" s="351"/>
      <c r="AZ416" s="351"/>
      <c r="BA416" s="351"/>
      <c r="BB416" s="351"/>
      <c r="BC416" s="351"/>
      <c r="BD416" s="351"/>
      <c r="BE416" s="351"/>
      <c r="BF416" s="351"/>
      <c r="BG416" s="351"/>
      <c r="BH416" s="351"/>
      <c r="BI416" s="351"/>
      <c r="BJ416" s="351"/>
      <c r="BK416" s="351"/>
      <c r="BL416" s="351"/>
      <c r="BM416" s="351"/>
      <c r="BN416" s="351"/>
      <c r="BO416" s="351"/>
      <c r="BP416" s="351"/>
      <c r="BQ416" s="351"/>
      <c r="BR416" s="351"/>
      <c r="BS416" s="351"/>
      <c r="BT416" s="351"/>
      <c r="BU416" s="351"/>
      <c r="BV416" s="351"/>
      <c r="BW416" s="351"/>
      <c r="BX416" s="351"/>
      <c r="BY416" s="351"/>
      <c r="BZ416" s="351"/>
      <c r="CA416" s="351"/>
      <c r="CB416" s="351"/>
      <c r="CC416" s="351"/>
      <c r="CD416" s="351"/>
      <c r="CE416" s="351"/>
      <c r="CF416" s="351"/>
      <c r="CG416" s="352"/>
    </row>
    <row r="417" spans="1:85" s="353" customFormat="1" ht="13.9" customHeight="1" x14ac:dyDescent="0.2">
      <c r="A417" s="337" t="s">
        <v>126</v>
      </c>
      <c r="B417" s="338">
        <v>15</v>
      </c>
      <c r="C417" s="339" t="s">
        <v>129</v>
      </c>
      <c r="D417" s="340" t="s">
        <v>52</v>
      </c>
      <c r="E417" s="341"/>
      <c r="F417" s="341">
        <v>40000000</v>
      </c>
      <c r="G417" s="341"/>
      <c r="H417" s="340" t="s">
        <v>132</v>
      </c>
      <c r="I417" s="339" t="s">
        <v>503</v>
      </c>
      <c r="J417" s="338">
        <v>10</v>
      </c>
      <c r="K417" s="338">
        <v>10</v>
      </c>
      <c r="L417" s="338">
        <v>12</v>
      </c>
      <c r="M417" s="342">
        <f t="shared" si="72"/>
        <v>1</v>
      </c>
      <c r="N417" s="343" t="s">
        <v>53</v>
      </c>
      <c r="O417" s="344" t="str">
        <f>IF(ISBLANK(N417),"",VLOOKUP(N417,[2]Parámetros!$G$2:$H$23,2,FALSE))</f>
        <v>Seléccion abreviada - acuerdo marco</v>
      </c>
      <c r="P417" s="345">
        <f t="shared" si="70"/>
        <v>1</v>
      </c>
      <c r="Q417" s="346">
        <f t="shared" si="73"/>
        <v>40000000</v>
      </c>
      <c r="R417" s="346">
        <f t="shared" si="74"/>
        <v>40000000</v>
      </c>
      <c r="S417" s="347" t="s">
        <v>223</v>
      </c>
      <c r="T417" s="345">
        <f t="shared" si="71"/>
        <v>0</v>
      </c>
      <c r="U417" s="348" t="str">
        <f t="shared" si="75"/>
        <v>SUBDIRECCION DE GESTION CONTRACTUAL</v>
      </c>
      <c r="V417" s="345" t="str">
        <f t="shared" si="68"/>
        <v>CO-DC</v>
      </c>
      <c r="W417" s="345" t="str">
        <f t="shared" si="69"/>
        <v>Distrito Capital de Bogotá</v>
      </c>
      <c r="X417" s="340" t="s">
        <v>500</v>
      </c>
      <c r="Y417" s="338">
        <v>2427400</v>
      </c>
      <c r="Z417" s="349" t="s">
        <v>131</v>
      </c>
      <c r="AA417" s="350"/>
      <c r="AB417" s="350"/>
      <c r="AC417" s="350"/>
      <c r="AD417" s="350"/>
      <c r="AE417" s="350"/>
      <c r="AF417" s="350"/>
      <c r="AG417" s="350"/>
      <c r="AH417" s="350"/>
      <c r="AI417" s="350"/>
      <c r="AJ417" s="350"/>
      <c r="AK417" s="350"/>
      <c r="AL417" s="350"/>
      <c r="AM417" s="350"/>
      <c r="AN417" s="350"/>
      <c r="AO417" s="350"/>
      <c r="AP417" s="350"/>
      <c r="AQ417" s="350"/>
      <c r="AR417" s="350"/>
      <c r="AS417" s="350"/>
      <c r="AT417" s="350"/>
      <c r="AU417" s="351"/>
      <c r="AV417" s="351"/>
      <c r="AW417" s="351"/>
      <c r="AX417" s="351"/>
      <c r="AY417" s="351"/>
      <c r="AZ417" s="351"/>
      <c r="BA417" s="351"/>
      <c r="BB417" s="351"/>
      <c r="BC417" s="351"/>
      <c r="BD417" s="351"/>
      <c r="BE417" s="351"/>
      <c r="BF417" s="351"/>
      <c r="BG417" s="351"/>
      <c r="BH417" s="351"/>
      <c r="BI417" s="351"/>
      <c r="BJ417" s="351"/>
      <c r="BK417" s="351"/>
      <c r="BL417" s="351"/>
      <c r="BM417" s="351"/>
      <c r="BN417" s="351"/>
      <c r="BO417" s="351"/>
      <c r="BP417" s="351"/>
      <c r="BQ417" s="351"/>
      <c r="BR417" s="351"/>
      <c r="BS417" s="351"/>
      <c r="BT417" s="351"/>
      <c r="BU417" s="351"/>
      <c r="BV417" s="351"/>
      <c r="BW417" s="351"/>
      <c r="BX417" s="351"/>
      <c r="BY417" s="351"/>
      <c r="BZ417" s="351"/>
      <c r="CA417" s="351"/>
      <c r="CB417" s="351"/>
      <c r="CC417" s="351"/>
      <c r="CD417" s="351"/>
      <c r="CE417" s="351"/>
      <c r="CF417" s="351"/>
      <c r="CG417" s="352"/>
    </row>
    <row r="418" spans="1:85" s="353" customFormat="1" ht="13.9" customHeight="1" x14ac:dyDescent="0.2">
      <c r="A418" s="337" t="s">
        <v>126</v>
      </c>
      <c r="B418" s="338">
        <v>16</v>
      </c>
      <c r="C418" s="339" t="s">
        <v>129</v>
      </c>
      <c r="D418" s="340" t="s">
        <v>52</v>
      </c>
      <c r="E418" s="341"/>
      <c r="F418" s="341">
        <v>54545000</v>
      </c>
      <c r="G418" s="341"/>
      <c r="H418" s="340" t="s">
        <v>130</v>
      </c>
      <c r="I418" s="339" t="s">
        <v>504</v>
      </c>
      <c r="J418" s="338">
        <v>3</v>
      </c>
      <c r="K418" s="338">
        <v>3</v>
      </c>
      <c r="L418" s="338">
        <v>9</v>
      </c>
      <c r="M418" s="342">
        <f t="shared" si="72"/>
        <v>1</v>
      </c>
      <c r="N418" s="343" t="s">
        <v>53</v>
      </c>
      <c r="O418" s="344" t="str">
        <f>IF(ISBLANK(N418),"",VLOOKUP(N418,[2]Parámetros!$G$2:$H$23,2,FALSE))</f>
        <v>Seléccion abreviada - acuerdo marco</v>
      </c>
      <c r="P418" s="345">
        <f t="shared" ref="P418:P449" si="76">IF(ISBLANK(N418),"",1)</f>
        <v>1</v>
      </c>
      <c r="Q418" s="346">
        <f t="shared" si="73"/>
        <v>54545000</v>
      </c>
      <c r="R418" s="346">
        <f t="shared" si="74"/>
        <v>54545000</v>
      </c>
      <c r="S418" s="347" t="s">
        <v>223</v>
      </c>
      <c r="T418" s="345">
        <f t="shared" ref="T418:T449" si="77">IF(ISBLANK(S418),"",IF(VALUE(S418)=0,0,IF(VALUE(S418)=1,3,"")))</f>
        <v>0</v>
      </c>
      <c r="U418" s="348" t="str">
        <f t="shared" si="75"/>
        <v>SUBDIRECCION DE GESTION CONTRACTUAL</v>
      </c>
      <c r="V418" s="345" t="str">
        <f t="shared" si="68"/>
        <v>CO-DC</v>
      </c>
      <c r="W418" s="345" t="str">
        <f t="shared" si="69"/>
        <v>Distrito Capital de Bogotá</v>
      </c>
      <c r="X418" s="340" t="s">
        <v>500</v>
      </c>
      <c r="Y418" s="338">
        <v>2427400</v>
      </c>
      <c r="Z418" s="349" t="s">
        <v>131</v>
      </c>
      <c r="AA418" s="350"/>
      <c r="AB418" s="350"/>
      <c r="AC418" s="350"/>
      <c r="AD418" s="350"/>
      <c r="AE418" s="350"/>
      <c r="AF418" s="350"/>
      <c r="AG418" s="350"/>
      <c r="AH418" s="350"/>
      <c r="AI418" s="350"/>
      <c r="AJ418" s="350"/>
      <c r="AK418" s="350"/>
      <c r="AL418" s="350"/>
      <c r="AM418" s="350"/>
      <c r="AN418" s="350"/>
      <c r="AO418" s="350"/>
      <c r="AP418" s="350"/>
      <c r="AQ418" s="350"/>
      <c r="AR418" s="350"/>
      <c r="AS418" s="350"/>
      <c r="AT418" s="350"/>
      <c r="AU418" s="351"/>
      <c r="AV418" s="351"/>
      <c r="AW418" s="351"/>
      <c r="AX418" s="351"/>
      <c r="AY418" s="351"/>
      <c r="AZ418" s="351"/>
      <c r="BA418" s="351"/>
      <c r="BB418" s="351"/>
      <c r="BC418" s="351"/>
      <c r="BD418" s="351"/>
      <c r="BE418" s="351"/>
      <c r="BF418" s="351"/>
      <c r="BG418" s="351"/>
      <c r="BH418" s="351"/>
      <c r="BI418" s="351"/>
      <c r="BJ418" s="351"/>
      <c r="BK418" s="351"/>
      <c r="BL418" s="351"/>
      <c r="BM418" s="351"/>
      <c r="BN418" s="351"/>
      <c r="BO418" s="351"/>
      <c r="BP418" s="351"/>
      <c r="BQ418" s="351"/>
      <c r="BR418" s="351"/>
      <c r="BS418" s="351"/>
      <c r="BT418" s="351"/>
      <c r="BU418" s="351"/>
      <c r="BV418" s="351"/>
      <c r="BW418" s="351"/>
      <c r="BX418" s="351"/>
      <c r="BY418" s="351"/>
      <c r="BZ418" s="351"/>
      <c r="CA418" s="351"/>
      <c r="CB418" s="351"/>
      <c r="CC418" s="351"/>
      <c r="CD418" s="351"/>
      <c r="CE418" s="351"/>
      <c r="CF418" s="351"/>
      <c r="CG418" s="352"/>
    </row>
    <row r="419" spans="1:85" s="353" customFormat="1" ht="13.9" customHeight="1" x14ac:dyDescent="0.2">
      <c r="A419" s="337" t="s">
        <v>126</v>
      </c>
      <c r="B419" s="338">
        <v>17</v>
      </c>
      <c r="C419" s="339" t="s">
        <v>129</v>
      </c>
      <c r="D419" s="340" t="s">
        <v>133</v>
      </c>
      <c r="E419" s="341"/>
      <c r="F419" s="341">
        <v>6576887</v>
      </c>
      <c r="G419" s="341"/>
      <c r="H419" s="340" t="s">
        <v>134</v>
      </c>
      <c r="I419" s="339" t="s">
        <v>505</v>
      </c>
      <c r="J419" s="338">
        <v>4</v>
      </c>
      <c r="K419" s="338">
        <v>5</v>
      </c>
      <c r="L419" s="338">
        <v>2</v>
      </c>
      <c r="M419" s="342">
        <f t="shared" si="72"/>
        <v>1</v>
      </c>
      <c r="N419" s="343" t="s">
        <v>53</v>
      </c>
      <c r="O419" s="344" t="str">
        <f>IF(ISBLANK(N419),"",VLOOKUP(N419,[2]Parámetros!$G$2:$H$23,2,FALSE))</f>
        <v>Seléccion abreviada - acuerdo marco</v>
      </c>
      <c r="P419" s="345">
        <f t="shared" si="76"/>
        <v>1</v>
      </c>
      <c r="Q419" s="346">
        <f t="shared" si="73"/>
        <v>6576887</v>
      </c>
      <c r="R419" s="346">
        <f t="shared" si="74"/>
        <v>6576887</v>
      </c>
      <c r="S419" s="347" t="s">
        <v>223</v>
      </c>
      <c r="T419" s="345">
        <f t="shared" si="77"/>
        <v>0</v>
      </c>
      <c r="U419" s="348" t="str">
        <f t="shared" si="75"/>
        <v>SUBDIRECCION DE GESTION CONTRACTUAL</v>
      </c>
      <c r="V419" s="345" t="str">
        <f t="shared" si="68"/>
        <v>CO-DC</v>
      </c>
      <c r="W419" s="345" t="str">
        <f t="shared" si="69"/>
        <v>Distrito Capital de Bogotá</v>
      </c>
      <c r="X419" s="340" t="s">
        <v>500</v>
      </c>
      <c r="Y419" s="338">
        <v>2427400</v>
      </c>
      <c r="Z419" s="349" t="s">
        <v>131</v>
      </c>
      <c r="AA419" s="350"/>
      <c r="AB419" s="350"/>
      <c r="AC419" s="350"/>
      <c r="AD419" s="350"/>
      <c r="AE419" s="350"/>
      <c r="AF419" s="350"/>
      <c r="AG419" s="350"/>
      <c r="AH419" s="350"/>
      <c r="AI419" s="350"/>
      <c r="AJ419" s="350"/>
      <c r="AK419" s="350"/>
      <c r="AL419" s="350"/>
      <c r="AM419" s="350"/>
      <c r="AN419" s="350"/>
      <c r="AO419" s="350"/>
      <c r="AP419" s="350"/>
      <c r="AQ419" s="350"/>
      <c r="AR419" s="350"/>
      <c r="AS419" s="350"/>
      <c r="AT419" s="350"/>
      <c r="AU419" s="351"/>
      <c r="AV419" s="351"/>
      <c r="AW419" s="351"/>
      <c r="AX419" s="351"/>
      <c r="AY419" s="351"/>
      <c r="AZ419" s="351"/>
      <c r="BA419" s="351"/>
      <c r="BB419" s="351"/>
      <c r="BC419" s="351"/>
      <c r="BD419" s="351"/>
      <c r="BE419" s="351"/>
      <c r="BF419" s="351"/>
      <c r="BG419" s="351"/>
      <c r="BH419" s="351"/>
      <c r="BI419" s="351"/>
      <c r="BJ419" s="351"/>
      <c r="BK419" s="351"/>
      <c r="BL419" s="351"/>
      <c r="BM419" s="351"/>
      <c r="BN419" s="351"/>
      <c r="BO419" s="351"/>
      <c r="BP419" s="351"/>
      <c r="BQ419" s="351"/>
      <c r="BR419" s="351"/>
      <c r="BS419" s="351"/>
      <c r="BT419" s="351"/>
      <c r="BU419" s="351"/>
      <c r="BV419" s="351"/>
      <c r="BW419" s="351"/>
      <c r="BX419" s="351"/>
      <c r="BY419" s="351"/>
      <c r="BZ419" s="351"/>
      <c r="CA419" s="351"/>
      <c r="CB419" s="351"/>
      <c r="CC419" s="351"/>
      <c r="CD419" s="351"/>
      <c r="CE419" s="351"/>
      <c r="CF419" s="351"/>
      <c r="CG419" s="352"/>
    </row>
    <row r="420" spans="1:85" s="353" customFormat="1" ht="13.9" customHeight="1" x14ac:dyDescent="0.2">
      <c r="A420" s="337" t="s">
        <v>126</v>
      </c>
      <c r="B420" s="338">
        <v>18</v>
      </c>
      <c r="C420" s="339" t="s">
        <v>129</v>
      </c>
      <c r="D420" s="340" t="s">
        <v>135</v>
      </c>
      <c r="E420" s="341"/>
      <c r="F420" s="341">
        <v>3138188</v>
      </c>
      <c r="G420" s="341"/>
      <c r="H420" s="340" t="s">
        <v>134</v>
      </c>
      <c r="I420" s="339" t="s">
        <v>505</v>
      </c>
      <c r="J420" s="338">
        <v>4</v>
      </c>
      <c r="K420" s="338">
        <v>5</v>
      </c>
      <c r="L420" s="338">
        <v>2</v>
      </c>
      <c r="M420" s="342">
        <f t="shared" si="72"/>
        <v>1</v>
      </c>
      <c r="N420" s="343" t="s">
        <v>53</v>
      </c>
      <c r="O420" s="344" t="str">
        <f>IF(ISBLANK(N420),"",VLOOKUP(N420,[2]Parámetros!$G$2:$H$23,2,FALSE))</f>
        <v>Seléccion abreviada - acuerdo marco</v>
      </c>
      <c r="P420" s="345">
        <f t="shared" si="76"/>
        <v>1</v>
      </c>
      <c r="Q420" s="346">
        <f t="shared" si="73"/>
        <v>3138188</v>
      </c>
      <c r="R420" s="346">
        <f t="shared" si="74"/>
        <v>3138188</v>
      </c>
      <c r="S420" s="347" t="s">
        <v>223</v>
      </c>
      <c r="T420" s="345">
        <f t="shared" si="77"/>
        <v>0</v>
      </c>
      <c r="U420" s="348" t="str">
        <f t="shared" si="75"/>
        <v>SUBDIRECCION DE GESTION CONTRACTUAL</v>
      </c>
      <c r="V420" s="345" t="str">
        <f t="shared" si="68"/>
        <v>CO-DC</v>
      </c>
      <c r="W420" s="345" t="str">
        <f t="shared" si="69"/>
        <v>Distrito Capital de Bogotá</v>
      </c>
      <c r="X420" s="340" t="s">
        <v>500</v>
      </c>
      <c r="Y420" s="338">
        <v>2427400</v>
      </c>
      <c r="Z420" s="349" t="s">
        <v>131</v>
      </c>
      <c r="AA420" s="350"/>
      <c r="AB420" s="350"/>
      <c r="AC420" s="350"/>
      <c r="AD420" s="350"/>
      <c r="AE420" s="350"/>
      <c r="AF420" s="350"/>
      <c r="AG420" s="350"/>
      <c r="AH420" s="350"/>
      <c r="AI420" s="350"/>
      <c r="AJ420" s="350"/>
      <c r="AK420" s="350"/>
      <c r="AL420" s="350"/>
      <c r="AM420" s="350"/>
      <c r="AN420" s="350"/>
      <c r="AO420" s="350"/>
      <c r="AP420" s="350"/>
      <c r="AQ420" s="350"/>
      <c r="AR420" s="350"/>
      <c r="AS420" s="350"/>
      <c r="AT420" s="350"/>
      <c r="AU420" s="351"/>
      <c r="AV420" s="351"/>
      <c r="AW420" s="351"/>
      <c r="AX420" s="351"/>
      <c r="AY420" s="351"/>
      <c r="AZ420" s="351"/>
      <c r="BA420" s="351"/>
      <c r="BB420" s="351"/>
      <c r="BC420" s="351"/>
      <c r="BD420" s="351"/>
      <c r="BE420" s="351"/>
      <c r="BF420" s="351"/>
      <c r="BG420" s="351"/>
      <c r="BH420" s="351"/>
      <c r="BI420" s="351"/>
      <c r="BJ420" s="351"/>
      <c r="BK420" s="351"/>
      <c r="BL420" s="351"/>
      <c r="BM420" s="351"/>
      <c r="BN420" s="351"/>
      <c r="BO420" s="351"/>
      <c r="BP420" s="351"/>
      <c r="BQ420" s="351"/>
      <c r="BR420" s="351"/>
      <c r="BS420" s="351"/>
      <c r="BT420" s="351"/>
      <c r="BU420" s="351"/>
      <c r="BV420" s="351"/>
      <c r="BW420" s="351"/>
      <c r="BX420" s="351"/>
      <c r="BY420" s="351"/>
      <c r="BZ420" s="351"/>
      <c r="CA420" s="351"/>
      <c r="CB420" s="351"/>
      <c r="CC420" s="351"/>
      <c r="CD420" s="351"/>
      <c r="CE420" s="351"/>
      <c r="CF420" s="351"/>
      <c r="CG420" s="352"/>
    </row>
    <row r="421" spans="1:85" s="348" customFormat="1" ht="12.75" customHeight="1" x14ac:dyDescent="0.2">
      <c r="A421" s="337" t="s">
        <v>126</v>
      </c>
      <c r="B421" s="338">
        <v>19</v>
      </c>
      <c r="C421" s="339" t="s">
        <v>129</v>
      </c>
      <c r="D421" s="340" t="s">
        <v>125</v>
      </c>
      <c r="E421" s="341"/>
      <c r="F421" s="341">
        <v>12495000</v>
      </c>
      <c r="G421" s="341"/>
      <c r="H421" s="340" t="s">
        <v>780</v>
      </c>
      <c r="I421" s="339" t="s">
        <v>506</v>
      </c>
      <c r="J421" s="338">
        <v>3</v>
      </c>
      <c r="K421" s="338">
        <v>5</v>
      </c>
      <c r="L421" s="338">
        <v>6</v>
      </c>
      <c r="M421" s="342">
        <f t="shared" si="72"/>
        <v>1</v>
      </c>
      <c r="N421" s="343" t="s">
        <v>328</v>
      </c>
      <c r="O421" s="344" t="str">
        <f>IF(ISBLANK(N421),"",VLOOKUP(N421,[2]Parámetros!$G$2:$H$23,2,FALSE))</f>
        <v>Selección abreviada menor cuantía</v>
      </c>
      <c r="P421" s="345">
        <f t="shared" si="76"/>
        <v>1</v>
      </c>
      <c r="Q421" s="346">
        <f t="shared" si="73"/>
        <v>12495000</v>
      </c>
      <c r="R421" s="346">
        <f t="shared" si="74"/>
        <v>12495000</v>
      </c>
      <c r="S421" s="347" t="s">
        <v>223</v>
      </c>
      <c r="T421" s="345">
        <f t="shared" si="77"/>
        <v>0</v>
      </c>
      <c r="U421" s="348" t="str">
        <f t="shared" si="75"/>
        <v>SUBDIRECCION DE GESTION CONTRACTUAL</v>
      </c>
      <c r="V421" s="345" t="str">
        <f t="shared" si="68"/>
        <v>CO-DC</v>
      </c>
      <c r="W421" s="345" t="str">
        <f t="shared" si="69"/>
        <v>Distrito Capital de Bogotá</v>
      </c>
      <c r="X421" s="340" t="s">
        <v>73</v>
      </c>
      <c r="Y421" s="338">
        <v>2427400</v>
      </c>
      <c r="Z421" s="349" t="s">
        <v>74</v>
      </c>
      <c r="AA421" s="350"/>
      <c r="AB421" s="350"/>
      <c r="AC421" s="350"/>
      <c r="AD421" s="350"/>
      <c r="AE421" s="350"/>
      <c r="AF421" s="350"/>
      <c r="AG421" s="350"/>
      <c r="AH421" s="350"/>
      <c r="AI421" s="350"/>
      <c r="AJ421" s="350"/>
      <c r="AK421" s="350"/>
      <c r="AL421" s="350"/>
      <c r="AM421" s="350"/>
      <c r="AN421" s="350"/>
      <c r="AO421" s="350"/>
      <c r="AP421" s="350"/>
      <c r="AQ421" s="350"/>
      <c r="AR421" s="350"/>
      <c r="AS421" s="350"/>
      <c r="AT421" s="350"/>
      <c r="AU421" s="351"/>
      <c r="AV421" s="351"/>
      <c r="AW421" s="351"/>
      <c r="AX421" s="351"/>
      <c r="AY421" s="351"/>
      <c r="AZ421" s="351"/>
      <c r="BA421" s="351"/>
      <c r="BB421" s="351"/>
      <c r="BC421" s="351"/>
      <c r="BD421" s="351"/>
      <c r="BE421" s="351"/>
      <c r="BF421" s="351"/>
      <c r="BG421" s="351"/>
      <c r="BH421" s="351"/>
      <c r="BI421" s="351"/>
      <c r="BJ421" s="351"/>
      <c r="BK421" s="351"/>
      <c r="BL421" s="351"/>
      <c r="BM421" s="351"/>
      <c r="BN421" s="351"/>
      <c r="BO421" s="351"/>
      <c r="BP421" s="351"/>
      <c r="BQ421" s="351"/>
      <c r="BR421" s="351"/>
      <c r="BS421" s="351"/>
      <c r="BT421" s="351"/>
      <c r="BU421" s="351"/>
      <c r="BV421" s="351"/>
      <c r="BW421" s="351"/>
      <c r="BX421" s="351"/>
      <c r="BY421" s="351"/>
      <c r="BZ421" s="351"/>
      <c r="CA421" s="351"/>
      <c r="CB421" s="351"/>
      <c r="CC421" s="351"/>
      <c r="CD421" s="351"/>
      <c r="CE421" s="351"/>
      <c r="CF421" s="351"/>
      <c r="CG421" s="352"/>
    </row>
    <row r="422" spans="1:85" s="353" customFormat="1" ht="13.9" customHeight="1" x14ac:dyDescent="0.2">
      <c r="A422" s="337" t="s">
        <v>126</v>
      </c>
      <c r="B422" s="338">
        <v>20</v>
      </c>
      <c r="C422" s="339" t="s">
        <v>129</v>
      </c>
      <c r="D422" s="340" t="s">
        <v>142</v>
      </c>
      <c r="E422" s="341">
        <v>5158324</v>
      </c>
      <c r="F422" s="341">
        <v>4961995</v>
      </c>
      <c r="G422" s="341"/>
      <c r="H422" s="340">
        <v>78102203</v>
      </c>
      <c r="I422" s="339" t="s">
        <v>507</v>
      </c>
      <c r="J422" s="338">
        <v>1</v>
      </c>
      <c r="K422" s="338">
        <v>1</v>
      </c>
      <c r="L422" s="338">
        <v>9</v>
      </c>
      <c r="M422" s="342">
        <f t="shared" si="72"/>
        <v>1</v>
      </c>
      <c r="N422" s="343" t="s">
        <v>36</v>
      </c>
      <c r="O422" s="344" t="str">
        <f>IF(ISBLANK(N422),"",VLOOKUP(N422,[2]Parámetros!$G$2:$H$23,2,FALSE))</f>
        <v xml:space="preserve">Contratación directa (con ofertas) </v>
      </c>
      <c r="P422" s="345">
        <f t="shared" si="76"/>
        <v>1</v>
      </c>
      <c r="Q422" s="346">
        <f t="shared" si="73"/>
        <v>10120319</v>
      </c>
      <c r="R422" s="346">
        <f t="shared" si="74"/>
        <v>4961995</v>
      </c>
      <c r="S422" s="347" t="s">
        <v>223</v>
      </c>
      <c r="T422" s="345">
        <f t="shared" si="77"/>
        <v>0</v>
      </c>
      <c r="U422" s="348" t="str">
        <f t="shared" si="75"/>
        <v>SUBDIRECCION DE GESTION CONTRACTUAL</v>
      </c>
      <c r="V422" s="345" t="str">
        <f t="shared" si="68"/>
        <v>CO-DC</v>
      </c>
      <c r="W422" s="345" t="str">
        <f t="shared" si="69"/>
        <v>Distrito Capital de Bogotá</v>
      </c>
      <c r="X422" s="340" t="s">
        <v>508</v>
      </c>
      <c r="Y422" s="338">
        <v>2427400</v>
      </c>
      <c r="Z422" s="349" t="s">
        <v>143</v>
      </c>
      <c r="AA422" s="350"/>
      <c r="AB422" s="350"/>
      <c r="AC422" s="350"/>
      <c r="AD422" s="350"/>
      <c r="AE422" s="350"/>
      <c r="AF422" s="350"/>
      <c r="AG422" s="350"/>
      <c r="AH422" s="350"/>
      <c r="AI422" s="350"/>
      <c r="AJ422" s="350"/>
      <c r="AK422" s="350"/>
      <c r="AL422" s="350"/>
      <c r="AM422" s="350"/>
      <c r="AN422" s="350"/>
      <c r="AO422" s="350"/>
      <c r="AP422" s="350"/>
      <c r="AQ422" s="350"/>
      <c r="AR422" s="350"/>
      <c r="AS422" s="350"/>
      <c r="AT422" s="350"/>
      <c r="AU422" s="351"/>
      <c r="AV422" s="351"/>
      <c r="AW422" s="351"/>
      <c r="AX422" s="351"/>
      <c r="AY422" s="351"/>
      <c r="AZ422" s="351"/>
      <c r="BA422" s="351"/>
      <c r="BB422" s="351"/>
      <c r="BC422" s="351"/>
      <c r="BD422" s="351"/>
      <c r="BE422" s="351"/>
      <c r="BF422" s="351"/>
      <c r="BG422" s="351"/>
      <c r="BH422" s="351"/>
      <c r="BI422" s="351"/>
      <c r="BJ422" s="351"/>
      <c r="BK422" s="351"/>
      <c r="BL422" s="351"/>
      <c r="BM422" s="351"/>
      <c r="BN422" s="351"/>
      <c r="BO422" s="351"/>
      <c r="BP422" s="351"/>
      <c r="BQ422" s="351"/>
      <c r="BR422" s="351"/>
      <c r="BS422" s="351"/>
      <c r="BT422" s="351"/>
      <c r="BU422" s="351"/>
      <c r="BV422" s="351"/>
      <c r="BW422" s="351"/>
      <c r="BX422" s="351"/>
      <c r="BY422" s="351"/>
      <c r="BZ422" s="351"/>
      <c r="CA422" s="351"/>
      <c r="CB422" s="351"/>
      <c r="CC422" s="351"/>
      <c r="CD422" s="351"/>
      <c r="CE422" s="351"/>
      <c r="CF422" s="351"/>
      <c r="CG422" s="352"/>
    </row>
    <row r="423" spans="1:85" s="353" customFormat="1" ht="13.9" customHeight="1" x14ac:dyDescent="0.2">
      <c r="A423" s="337" t="s">
        <v>126</v>
      </c>
      <c r="B423" s="338">
        <v>21</v>
      </c>
      <c r="C423" s="339" t="s">
        <v>129</v>
      </c>
      <c r="D423" s="340" t="s">
        <v>142</v>
      </c>
      <c r="E423" s="341"/>
      <c r="F423" s="341">
        <v>3000000</v>
      </c>
      <c r="G423" s="341"/>
      <c r="H423" s="340">
        <v>78102203</v>
      </c>
      <c r="I423" s="339" t="s">
        <v>509</v>
      </c>
      <c r="J423" s="338">
        <v>8</v>
      </c>
      <c r="K423" s="338">
        <v>9</v>
      </c>
      <c r="L423" s="338">
        <v>12</v>
      </c>
      <c r="M423" s="342">
        <f t="shared" si="72"/>
        <v>1</v>
      </c>
      <c r="N423" s="343" t="s">
        <v>36</v>
      </c>
      <c r="O423" s="344" t="str">
        <f>IF(ISBLANK(N423),"",VLOOKUP(N423,[2]Parámetros!$G$2:$H$23,2,FALSE))</f>
        <v xml:space="preserve">Contratación directa (con ofertas) </v>
      </c>
      <c r="P423" s="345">
        <f t="shared" si="76"/>
        <v>1</v>
      </c>
      <c r="Q423" s="346">
        <f t="shared" si="73"/>
        <v>3000000</v>
      </c>
      <c r="R423" s="346">
        <f t="shared" si="74"/>
        <v>3000000</v>
      </c>
      <c r="S423" s="347" t="s">
        <v>226</v>
      </c>
      <c r="T423" s="345">
        <f t="shared" si="77"/>
        <v>3</v>
      </c>
      <c r="U423" s="348" t="str">
        <f t="shared" si="75"/>
        <v>SUBDIRECCION DE GESTION CONTRACTUAL</v>
      </c>
      <c r="V423" s="345" t="str">
        <f t="shared" si="68"/>
        <v>CO-DC</v>
      </c>
      <c r="W423" s="345" t="str">
        <f t="shared" si="69"/>
        <v>Distrito Capital de Bogotá</v>
      </c>
      <c r="X423" s="340" t="s">
        <v>508</v>
      </c>
      <c r="Y423" s="338">
        <v>2427400</v>
      </c>
      <c r="Z423" s="349" t="s">
        <v>143</v>
      </c>
      <c r="AA423" s="350"/>
      <c r="AB423" s="350"/>
      <c r="AC423" s="350"/>
      <c r="AD423" s="350"/>
      <c r="AE423" s="350"/>
      <c r="AF423" s="350"/>
      <c r="AG423" s="350"/>
      <c r="AH423" s="350"/>
      <c r="AI423" s="350"/>
      <c r="AJ423" s="350"/>
      <c r="AK423" s="350"/>
      <c r="AL423" s="350"/>
      <c r="AM423" s="350"/>
      <c r="AN423" s="350"/>
      <c r="AO423" s="350"/>
      <c r="AP423" s="350"/>
      <c r="AQ423" s="350"/>
      <c r="AR423" s="350"/>
      <c r="AS423" s="350"/>
      <c r="AT423" s="350"/>
      <c r="AU423" s="351"/>
      <c r="AV423" s="351"/>
      <c r="AW423" s="351"/>
      <c r="AX423" s="351"/>
      <c r="AY423" s="351"/>
      <c r="AZ423" s="351"/>
      <c r="BA423" s="351"/>
      <c r="BB423" s="351"/>
      <c r="BC423" s="351"/>
      <c r="BD423" s="351"/>
      <c r="BE423" s="351"/>
      <c r="BF423" s="351"/>
      <c r="BG423" s="351"/>
      <c r="BH423" s="351"/>
      <c r="BI423" s="351"/>
      <c r="BJ423" s="351"/>
      <c r="BK423" s="351"/>
      <c r="BL423" s="351"/>
      <c r="BM423" s="351"/>
      <c r="BN423" s="351"/>
      <c r="BO423" s="351"/>
      <c r="BP423" s="351"/>
      <c r="BQ423" s="351"/>
      <c r="BR423" s="351"/>
      <c r="BS423" s="351"/>
      <c r="BT423" s="351"/>
      <c r="BU423" s="351"/>
      <c r="BV423" s="351"/>
      <c r="BW423" s="351"/>
      <c r="BX423" s="351"/>
      <c r="BY423" s="351"/>
      <c r="BZ423" s="351"/>
      <c r="CA423" s="351"/>
      <c r="CB423" s="351"/>
      <c r="CC423" s="351"/>
      <c r="CD423" s="351"/>
      <c r="CE423" s="351"/>
      <c r="CF423" s="351"/>
      <c r="CG423" s="352"/>
    </row>
    <row r="424" spans="1:85" s="353" customFormat="1" ht="13.9" customHeight="1" x14ac:dyDescent="0.2">
      <c r="A424" s="337" t="s">
        <v>126</v>
      </c>
      <c r="B424" s="338">
        <v>22</v>
      </c>
      <c r="C424" s="339" t="s">
        <v>129</v>
      </c>
      <c r="D424" s="340" t="s">
        <v>56</v>
      </c>
      <c r="E424" s="341"/>
      <c r="F424" s="341">
        <v>0</v>
      </c>
      <c r="G424" s="341"/>
      <c r="H424" s="340" t="s">
        <v>247</v>
      </c>
      <c r="I424" s="339" t="s">
        <v>510</v>
      </c>
      <c r="J424" s="338">
        <v>2</v>
      </c>
      <c r="K424" s="338">
        <v>3</v>
      </c>
      <c r="L424" s="338">
        <v>24</v>
      </c>
      <c r="M424" s="342">
        <f t="shared" si="72"/>
        <v>1</v>
      </c>
      <c r="N424" s="343" t="s">
        <v>477</v>
      </c>
      <c r="O424" s="344" t="str">
        <f>IF(ISBLANK(N424),"",VLOOKUP(N424,[2]Parámetros!$G$2:$H$23,2,FALSE))</f>
        <v>Concurso de méritos abierto</v>
      </c>
      <c r="P424" s="345">
        <f t="shared" si="76"/>
        <v>1</v>
      </c>
      <c r="Q424" s="346">
        <f t="shared" si="73"/>
        <v>0</v>
      </c>
      <c r="R424" s="346">
        <f t="shared" si="74"/>
        <v>0</v>
      </c>
      <c r="S424" s="347" t="s">
        <v>223</v>
      </c>
      <c r="T424" s="345">
        <f t="shared" si="77"/>
        <v>0</v>
      </c>
      <c r="U424" s="348" t="str">
        <f t="shared" si="75"/>
        <v>SUBDIRECCION DE GESTION CONTRACTUAL</v>
      </c>
      <c r="V424" s="345" t="str">
        <f t="shared" si="68"/>
        <v>CO-DC</v>
      </c>
      <c r="W424" s="345" t="str">
        <f t="shared" si="69"/>
        <v>Distrito Capital de Bogotá</v>
      </c>
      <c r="X424" s="340" t="s">
        <v>511</v>
      </c>
      <c r="Y424" s="338">
        <v>2427400</v>
      </c>
      <c r="Z424" s="349" t="s">
        <v>512</v>
      </c>
      <c r="AA424" s="350"/>
      <c r="AB424" s="350"/>
      <c r="AC424" s="350"/>
      <c r="AD424" s="350"/>
      <c r="AE424" s="350"/>
      <c r="AF424" s="350"/>
      <c r="AG424" s="350"/>
      <c r="AH424" s="350"/>
      <c r="AI424" s="350"/>
      <c r="AJ424" s="350"/>
      <c r="AK424" s="350"/>
      <c r="AL424" s="350"/>
      <c r="AM424" s="350"/>
      <c r="AN424" s="350"/>
      <c r="AO424" s="350"/>
      <c r="AP424" s="350"/>
      <c r="AQ424" s="350"/>
      <c r="AR424" s="350"/>
      <c r="AS424" s="350"/>
      <c r="AT424" s="350"/>
      <c r="AU424" s="351"/>
      <c r="AV424" s="351"/>
      <c r="AW424" s="351"/>
      <c r="AX424" s="351"/>
      <c r="AY424" s="351"/>
      <c r="AZ424" s="351"/>
      <c r="BA424" s="351"/>
      <c r="BB424" s="351"/>
      <c r="BC424" s="351"/>
      <c r="BD424" s="351"/>
      <c r="BE424" s="351"/>
      <c r="BF424" s="351"/>
      <c r="BG424" s="351"/>
      <c r="BH424" s="351"/>
      <c r="BI424" s="351"/>
      <c r="BJ424" s="351"/>
      <c r="BK424" s="351"/>
      <c r="BL424" s="351"/>
      <c r="BM424" s="351"/>
      <c r="BN424" s="351"/>
      <c r="BO424" s="351"/>
      <c r="BP424" s="351"/>
      <c r="BQ424" s="351"/>
      <c r="BR424" s="351"/>
      <c r="BS424" s="351"/>
      <c r="BT424" s="351"/>
      <c r="BU424" s="351"/>
      <c r="BV424" s="351"/>
      <c r="BW424" s="351"/>
      <c r="BX424" s="351"/>
      <c r="BY424" s="351"/>
      <c r="BZ424" s="351"/>
      <c r="CA424" s="351"/>
      <c r="CB424" s="351"/>
      <c r="CC424" s="351"/>
      <c r="CD424" s="351"/>
      <c r="CE424" s="351"/>
      <c r="CF424" s="351"/>
      <c r="CG424" s="352"/>
    </row>
    <row r="425" spans="1:85" s="353" customFormat="1" ht="13.9" customHeight="1" x14ac:dyDescent="0.2">
      <c r="A425" s="337" t="s">
        <v>126</v>
      </c>
      <c r="B425" s="338">
        <v>23</v>
      </c>
      <c r="C425" s="339" t="s">
        <v>129</v>
      </c>
      <c r="D425" s="340" t="s">
        <v>56</v>
      </c>
      <c r="E425" s="341"/>
      <c r="F425" s="341">
        <f>327270000+100000000</f>
        <v>427270000</v>
      </c>
      <c r="G425" s="341"/>
      <c r="H425" s="340" t="s">
        <v>247</v>
      </c>
      <c r="I425" s="339" t="s">
        <v>513</v>
      </c>
      <c r="J425" s="338">
        <v>4</v>
      </c>
      <c r="K425" s="338">
        <v>5</v>
      </c>
      <c r="L425" s="338">
        <v>12</v>
      </c>
      <c r="M425" s="342">
        <f t="shared" si="72"/>
        <v>1</v>
      </c>
      <c r="N425" s="343" t="s">
        <v>328</v>
      </c>
      <c r="O425" s="344" t="str">
        <f>IF(ISBLANK(N425),"",VLOOKUP(N425,[2]Parámetros!$G$2:$H$23,2,FALSE))</f>
        <v>Selección abreviada menor cuantía</v>
      </c>
      <c r="P425" s="345">
        <f t="shared" si="76"/>
        <v>1</v>
      </c>
      <c r="Q425" s="346">
        <f t="shared" si="73"/>
        <v>427270000</v>
      </c>
      <c r="R425" s="346">
        <f t="shared" si="74"/>
        <v>427270000</v>
      </c>
      <c r="S425" s="347" t="s">
        <v>226</v>
      </c>
      <c r="T425" s="345">
        <f t="shared" si="77"/>
        <v>3</v>
      </c>
      <c r="U425" s="348" t="str">
        <f t="shared" si="75"/>
        <v>SUBDIRECCION DE GESTION CONTRACTUAL</v>
      </c>
      <c r="V425" s="345" t="str">
        <f t="shared" si="68"/>
        <v>CO-DC</v>
      </c>
      <c r="W425" s="345" t="str">
        <f t="shared" si="69"/>
        <v>Distrito Capital de Bogotá</v>
      </c>
      <c r="X425" s="340" t="s">
        <v>511</v>
      </c>
      <c r="Y425" s="338">
        <v>2427400</v>
      </c>
      <c r="Z425" s="349" t="s">
        <v>512</v>
      </c>
      <c r="AA425" s="350"/>
      <c r="AB425" s="350"/>
      <c r="AC425" s="350"/>
      <c r="AD425" s="350"/>
      <c r="AE425" s="350"/>
      <c r="AF425" s="350"/>
      <c r="AG425" s="350"/>
      <c r="AH425" s="350"/>
      <c r="AI425" s="350"/>
      <c r="AJ425" s="350"/>
      <c r="AK425" s="350"/>
      <c r="AL425" s="350"/>
      <c r="AM425" s="350"/>
      <c r="AN425" s="350"/>
      <c r="AO425" s="350"/>
      <c r="AP425" s="350"/>
      <c r="AQ425" s="350"/>
      <c r="AR425" s="350"/>
      <c r="AS425" s="350"/>
      <c r="AT425" s="350"/>
      <c r="AU425" s="351"/>
      <c r="AV425" s="351"/>
      <c r="AW425" s="351"/>
      <c r="AX425" s="351"/>
      <c r="AY425" s="351"/>
      <c r="AZ425" s="351"/>
      <c r="BA425" s="351"/>
      <c r="BB425" s="351"/>
      <c r="BC425" s="351"/>
      <c r="BD425" s="351"/>
      <c r="BE425" s="351"/>
      <c r="BF425" s="351"/>
      <c r="BG425" s="351"/>
      <c r="BH425" s="351"/>
      <c r="BI425" s="351"/>
      <c r="BJ425" s="351"/>
      <c r="BK425" s="351"/>
      <c r="BL425" s="351"/>
      <c r="BM425" s="351"/>
      <c r="BN425" s="351"/>
      <c r="BO425" s="351"/>
      <c r="BP425" s="351"/>
      <c r="BQ425" s="351"/>
      <c r="BR425" s="351"/>
      <c r="BS425" s="351"/>
      <c r="BT425" s="351"/>
      <c r="BU425" s="351"/>
      <c r="BV425" s="351"/>
      <c r="BW425" s="351"/>
      <c r="BX425" s="351"/>
      <c r="BY425" s="351"/>
      <c r="BZ425" s="351"/>
      <c r="CA425" s="351"/>
      <c r="CB425" s="351"/>
      <c r="CC425" s="351"/>
      <c r="CD425" s="351"/>
      <c r="CE425" s="351"/>
      <c r="CF425" s="351"/>
      <c r="CG425" s="352"/>
    </row>
    <row r="426" spans="1:85" s="353" customFormat="1" ht="13.9" customHeight="1" x14ac:dyDescent="0.2">
      <c r="A426" s="337" t="s">
        <v>126</v>
      </c>
      <c r="B426" s="338">
        <v>24</v>
      </c>
      <c r="C426" s="339" t="s">
        <v>129</v>
      </c>
      <c r="D426" s="340" t="s">
        <v>59</v>
      </c>
      <c r="E426" s="341"/>
      <c r="F426" s="341">
        <v>17180273</v>
      </c>
      <c r="G426" s="341"/>
      <c r="H426" s="340" t="s">
        <v>777</v>
      </c>
      <c r="I426" s="339" t="s">
        <v>514</v>
      </c>
      <c r="J426" s="338">
        <v>11</v>
      </c>
      <c r="K426" s="338">
        <v>11</v>
      </c>
      <c r="L426" s="338">
        <v>1</v>
      </c>
      <c r="M426" s="342">
        <f t="shared" si="72"/>
        <v>1</v>
      </c>
      <c r="N426" s="343" t="s">
        <v>48</v>
      </c>
      <c r="O426" s="344" t="str">
        <f>IF(ISBLANK(N426),"",VLOOKUP(N426,[2]Parámetros!$G$2:$H$23,2,FALSE))</f>
        <v>Mínima cuantía</v>
      </c>
      <c r="P426" s="345">
        <f t="shared" si="76"/>
        <v>1</v>
      </c>
      <c r="Q426" s="346">
        <f t="shared" si="73"/>
        <v>17180273</v>
      </c>
      <c r="R426" s="346">
        <f t="shared" si="74"/>
        <v>17180273</v>
      </c>
      <c r="S426" s="347" t="s">
        <v>223</v>
      </c>
      <c r="T426" s="345">
        <f t="shared" si="77"/>
        <v>0</v>
      </c>
      <c r="U426" s="348" t="str">
        <f t="shared" si="75"/>
        <v>SUBDIRECCION DE GESTION CONTRACTUAL</v>
      </c>
      <c r="V426" s="345" t="str">
        <f t="shared" ref="V426:V472" si="78">IF(ISBLANK(N426),"","CO-DC")</f>
        <v>CO-DC</v>
      </c>
      <c r="W426" s="345" t="str">
        <f t="shared" ref="W426:W472" si="79">IF(ISBLANK(N426),"","Distrito Capital de Bogotá")</f>
        <v>Distrito Capital de Bogotá</v>
      </c>
      <c r="X426" s="340" t="s">
        <v>515</v>
      </c>
      <c r="Y426" s="338">
        <v>2427400</v>
      </c>
      <c r="Z426" s="349" t="s">
        <v>145</v>
      </c>
      <c r="AA426" s="350"/>
      <c r="AB426" s="350"/>
      <c r="AC426" s="350"/>
      <c r="AD426" s="350"/>
      <c r="AE426" s="350"/>
      <c r="AF426" s="350"/>
      <c r="AG426" s="350"/>
      <c r="AH426" s="350"/>
      <c r="AI426" s="350"/>
      <c r="AJ426" s="350"/>
      <c r="AK426" s="350"/>
      <c r="AL426" s="350"/>
      <c r="AM426" s="350"/>
      <c r="AN426" s="350"/>
      <c r="AO426" s="350"/>
      <c r="AP426" s="350"/>
      <c r="AQ426" s="350"/>
      <c r="AR426" s="350"/>
      <c r="AS426" s="350"/>
      <c r="AT426" s="350"/>
      <c r="AU426" s="351"/>
      <c r="AV426" s="351"/>
      <c r="AW426" s="351"/>
      <c r="AX426" s="351"/>
      <c r="AY426" s="351"/>
      <c r="AZ426" s="351"/>
      <c r="BA426" s="351"/>
      <c r="BB426" s="351"/>
      <c r="BC426" s="351"/>
      <c r="BD426" s="351"/>
      <c r="BE426" s="351"/>
      <c r="BF426" s="351"/>
      <c r="BG426" s="351"/>
      <c r="BH426" s="351"/>
      <c r="BI426" s="351"/>
      <c r="BJ426" s="351"/>
      <c r="BK426" s="351"/>
      <c r="BL426" s="351"/>
      <c r="BM426" s="351"/>
      <c r="BN426" s="351"/>
      <c r="BO426" s="351"/>
      <c r="BP426" s="351"/>
      <c r="BQ426" s="351"/>
      <c r="BR426" s="351"/>
      <c r="BS426" s="351"/>
      <c r="BT426" s="351"/>
      <c r="BU426" s="351"/>
      <c r="BV426" s="351"/>
      <c r="BW426" s="351"/>
      <c r="BX426" s="351"/>
      <c r="BY426" s="351"/>
      <c r="BZ426" s="351"/>
      <c r="CA426" s="351"/>
      <c r="CB426" s="351"/>
      <c r="CC426" s="351"/>
      <c r="CD426" s="351"/>
      <c r="CE426" s="351"/>
      <c r="CF426" s="351"/>
      <c r="CG426" s="352"/>
    </row>
    <row r="427" spans="1:85" s="348" customFormat="1" ht="12.75" customHeight="1" x14ac:dyDescent="0.2">
      <c r="A427" s="337" t="s">
        <v>126</v>
      </c>
      <c r="B427" s="338">
        <v>25</v>
      </c>
      <c r="C427" s="339" t="s">
        <v>129</v>
      </c>
      <c r="D427" s="340" t="s">
        <v>59</v>
      </c>
      <c r="E427" s="341">
        <v>835380</v>
      </c>
      <c r="F427" s="341">
        <v>7518420</v>
      </c>
      <c r="G427" s="341"/>
      <c r="H427" s="340">
        <v>83111903</v>
      </c>
      <c r="I427" s="339" t="s">
        <v>516</v>
      </c>
      <c r="J427" s="338">
        <v>1</v>
      </c>
      <c r="K427" s="338">
        <v>1</v>
      </c>
      <c r="L427" s="338">
        <v>11</v>
      </c>
      <c r="M427" s="342">
        <f t="shared" si="72"/>
        <v>1</v>
      </c>
      <c r="N427" s="343" t="s">
        <v>48</v>
      </c>
      <c r="O427" s="344" t="str">
        <f>IF(ISBLANK(N427),"",VLOOKUP(N427,[2]Parámetros!$G$2:$H$23,2,FALSE))</f>
        <v>Mínima cuantía</v>
      </c>
      <c r="P427" s="345">
        <f t="shared" si="76"/>
        <v>1</v>
      </c>
      <c r="Q427" s="346">
        <f t="shared" si="73"/>
        <v>8353800</v>
      </c>
      <c r="R427" s="346">
        <f t="shared" si="74"/>
        <v>7518420</v>
      </c>
      <c r="S427" s="347" t="s">
        <v>223</v>
      </c>
      <c r="T427" s="345">
        <f t="shared" si="77"/>
        <v>0</v>
      </c>
      <c r="U427" s="348" t="str">
        <f t="shared" si="75"/>
        <v>SUBDIRECCION DE GESTION CONTRACTUAL</v>
      </c>
      <c r="V427" s="345" t="str">
        <f t="shared" si="78"/>
        <v>CO-DC</v>
      </c>
      <c r="W427" s="345" t="str">
        <f t="shared" si="79"/>
        <v>Distrito Capital de Bogotá</v>
      </c>
      <c r="X427" s="340" t="s">
        <v>500</v>
      </c>
      <c r="Y427" s="338">
        <v>2427400</v>
      </c>
      <c r="Z427" s="349" t="s">
        <v>131</v>
      </c>
      <c r="AA427" s="350"/>
      <c r="AB427" s="350"/>
      <c r="AC427" s="350"/>
      <c r="AD427" s="350"/>
      <c r="AE427" s="350"/>
      <c r="AF427" s="350"/>
      <c r="AG427" s="350"/>
      <c r="AH427" s="350"/>
      <c r="AI427" s="350"/>
      <c r="AJ427" s="350"/>
      <c r="AK427" s="350"/>
      <c r="AL427" s="350"/>
      <c r="AM427" s="350"/>
      <c r="AN427" s="350"/>
      <c r="AO427" s="350"/>
      <c r="AP427" s="350"/>
      <c r="AQ427" s="350"/>
      <c r="AR427" s="350"/>
      <c r="AS427" s="350"/>
      <c r="AT427" s="350"/>
      <c r="AU427" s="351"/>
      <c r="AV427" s="351"/>
      <c r="AW427" s="351"/>
      <c r="AX427" s="351"/>
      <c r="AY427" s="351"/>
      <c r="AZ427" s="351"/>
      <c r="BA427" s="351"/>
      <c r="BB427" s="351"/>
      <c r="BC427" s="351"/>
      <c r="BD427" s="351"/>
      <c r="BE427" s="351"/>
      <c r="BF427" s="351"/>
      <c r="BG427" s="351"/>
      <c r="BH427" s="351"/>
      <c r="BI427" s="351"/>
      <c r="BJ427" s="351"/>
      <c r="BK427" s="351"/>
      <c r="BL427" s="351"/>
      <c r="BM427" s="351"/>
      <c r="BN427" s="351"/>
      <c r="BO427" s="351"/>
      <c r="BP427" s="351"/>
      <c r="BQ427" s="351"/>
      <c r="BR427" s="351"/>
      <c r="BS427" s="351"/>
      <c r="BT427" s="351"/>
      <c r="BU427" s="351"/>
      <c r="BV427" s="351"/>
      <c r="BW427" s="351"/>
      <c r="BX427" s="351"/>
      <c r="BY427" s="351"/>
      <c r="BZ427" s="351"/>
      <c r="CA427" s="351"/>
      <c r="CB427" s="351"/>
      <c r="CC427" s="351"/>
      <c r="CD427" s="351"/>
      <c r="CE427" s="351"/>
      <c r="CF427" s="351"/>
      <c r="CG427" s="352"/>
    </row>
    <row r="428" spans="1:85" s="353" customFormat="1" ht="13.9" customHeight="1" x14ac:dyDescent="0.2">
      <c r="A428" s="337" t="s">
        <v>126</v>
      </c>
      <c r="B428" s="338">
        <v>26</v>
      </c>
      <c r="C428" s="339" t="s">
        <v>129</v>
      </c>
      <c r="D428" s="340" t="s">
        <v>59</v>
      </c>
      <c r="E428" s="341"/>
      <c r="F428" s="341">
        <v>2000000</v>
      </c>
      <c r="G428" s="341"/>
      <c r="H428" s="340">
        <v>83111903</v>
      </c>
      <c r="I428" s="339" t="s">
        <v>517</v>
      </c>
      <c r="J428" s="338">
        <v>10</v>
      </c>
      <c r="K428" s="338">
        <v>12</v>
      </c>
      <c r="L428" s="338">
        <v>12</v>
      </c>
      <c r="M428" s="342">
        <f t="shared" si="72"/>
        <v>1</v>
      </c>
      <c r="N428" s="343" t="s">
        <v>48</v>
      </c>
      <c r="O428" s="344" t="str">
        <f>IF(ISBLANK(N428),"",VLOOKUP(N428,[2]Parámetros!$G$2:$H$23,2,FALSE))</f>
        <v>Mínima cuantía</v>
      </c>
      <c r="P428" s="345">
        <f t="shared" si="76"/>
        <v>1</v>
      </c>
      <c r="Q428" s="346">
        <f t="shared" si="73"/>
        <v>2000000</v>
      </c>
      <c r="R428" s="346">
        <f t="shared" si="74"/>
        <v>2000000</v>
      </c>
      <c r="S428" s="347" t="s">
        <v>226</v>
      </c>
      <c r="T428" s="345">
        <f t="shared" si="77"/>
        <v>3</v>
      </c>
      <c r="U428" s="348" t="str">
        <f t="shared" si="75"/>
        <v>SUBDIRECCION DE GESTION CONTRACTUAL</v>
      </c>
      <c r="V428" s="345" t="str">
        <f t="shared" si="78"/>
        <v>CO-DC</v>
      </c>
      <c r="W428" s="345" t="str">
        <f t="shared" si="79"/>
        <v>Distrito Capital de Bogotá</v>
      </c>
      <c r="X428" s="340" t="s">
        <v>500</v>
      </c>
      <c r="Y428" s="338">
        <v>2427400</v>
      </c>
      <c r="Z428" s="349" t="s">
        <v>131</v>
      </c>
      <c r="AA428" s="350"/>
      <c r="AB428" s="350"/>
      <c r="AC428" s="350"/>
      <c r="AD428" s="350"/>
      <c r="AE428" s="350"/>
      <c r="AF428" s="350"/>
      <c r="AG428" s="350"/>
      <c r="AH428" s="350"/>
      <c r="AI428" s="350"/>
      <c r="AJ428" s="350"/>
      <c r="AK428" s="350"/>
      <c r="AL428" s="350"/>
      <c r="AM428" s="350"/>
      <c r="AN428" s="350"/>
      <c r="AO428" s="350"/>
      <c r="AP428" s="350"/>
      <c r="AQ428" s="350"/>
      <c r="AR428" s="350"/>
      <c r="AS428" s="350"/>
      <c r="AT428" s="350"/>
      <c r="AU428" s="351"/>
      <c r="AV428" s="351"/>
      <c r="AW428" s="351"/>
      <c r="AX428" s="351"/>
      <c r="AY428" s="351"/>
      <c r="AZ428" s="351"/>
      <c r="BA428" s="351"/>
      <c r="BB428" s="351"/>
      <c r="BC428" s="351"/>
      <c r="BD428" s="351"/>
      <c r="BE428" s="351"/>
      <c r="BF428" s="351"/>
      <c r="BG428" s="351"/>
      <c r="BH428" s="351"/>
      <c r="BI428" s="351"/>
      <c r="BJ428" s="351"/>
      <c r="BK428" s="351"/>
      <c r="BL428" s="351"/>
      <c r="BM428" s="351"/>
      <c r="BN428" s="351"/>
      <c r="BO428" s="351"/>
      <c r="BP428" s="351"/>
      <c r="BQ428" s="351"/>
      <c r="BR428" s="351"/>
      <c r="BS428" s="351"/>
      <c r="BT428" s="351"/>
      <c r="BU428" s="351"/>
      <c r="BV428" s="351"/>
      <c r="BW428" s="351"/>
      <c r="BX428" s="351"/>
      <c r="BY428" s="351"/>
      <c r="BZ428" s="351"/>
      <c r="CA428" s="351"/>
      <c r="CB428" s="351"/>
      <c r="CC428" s="351"/>
      <c r="CD428" s="351"/>
      <c r="CE428" s="351"/>
      <c r="CF428" s="351"/>
      <c r="CG428" s="352"/>
    </row>
    <row r="429" spans="1:85" s="353" customFormat="1" ht="13.9" customHeight="1" x14ac:dyDescent="0.2">
      <c r="A429" s="337" t="s">
        <v>126</v>
      </c>
      <c r="B429" s="338">
        <v>27</v>
      </c>
      <c r="C429" s="339" t="s">
        <v>129</v>
      </c>
      <c r="D429" s="340" t="s">
        <v>60</v>
      </c>
      <c r="E429" s="341">
        <v>1325020663</v>
      </c>
      <c r="F429" s="341">
        <v>1368255649</v>
      </c>
      <c r="G429" s="341"/>
      <c r="H429" s="340">
        <v>92121500</v>
      </c>
      <c r="I429" s="339" t="s">
        <v>518</v>
      </c>
      <c r="J429" s="338">
        <v>1</v>
      </c>
      <c r="K429" s="338">
        <v>1</v>
      </c>
      <c r="L429" s="338">
        <v>11</v>
      </c>
      <c r="M429" s="342">
        <f t="shared" si="72"/>
        <v>1</v>
      </c>
      <c r="N429" s="343" t="s">
        <v>43</v>
      </c>
      <c r="O429" s="344" t="str">
        <f>IF(ISBLANK(N429),"",VLOOKUP(N429,[2]Parámetros!$G$2:$H$23,2,FALSE))</f>
        <v>Selección abreviada subasta inversa</v>
      </c>
      <c r="P429" s="345">
        <f t="shared" si="76"/>
        <v>1</v>
      </c>
      <c r="Q429" s="346">
        <f t="shared" si="73"/>
        <v>2693276312</v>
      </c>
      <c r="R429" s="346">
        <f t="shared" si="74"/>
        <v>1368255649</v>
      </c>
      <c r="S429" s="347" t="s">
        <v>223</v>
      </c>
      <c r="T429" s="345">
        <f t="shared" si="77"/>
        <v>0</v>
      </c>
      <c r="U429" s="348" t="str">
        <f t="shared" si="75"/>
        <v>SUBDIRECCION DE GESTION CONTRACTUAL</v>
      </c>
      <c r="V429" s="345" t="str">
        <f t="shared" si="78"/>
        <v>CO-DC</v>
      </c>
      <c r="W429" s="345" t="str">
        <f t="shared" si="79"/>
        <v>Distrito Capital de Bogotá</v>
      </c>
      <c r="X429" s="340" t="s">
        <v>500</v>
      </c>
      <c r="Y429" s="338">
        <v>2427400</v>
      </c>
      <c r="Z429" s="349" t="s">
        <v>131</v>
      </c>
      <c r="AA429" s="350"/>
      <c r="AB429" s="350"/>
      <c r="AC429" s="350"/>
      <c r="AD429" s="350"/>
      <c r="AE429" s="350"/>
      <c r="AF429" s="350"/>
      <c r="AG429" s="350"/>
      <c r="AH429" s="350"/>
      <c r="AI429" s="350"/>
      <c r="AJ429" s="350"/>
      <c r="AK429" s="350"/>
      <c r="AL429" s="350"/>
      <c r="AM429" s="350"/>
      <c r="AN429" s="350"/>
      <c r="AO429" s="350"/>
      <c r="AP429" s="350"/>
      <c r="AQ429" s="350"/>
      <c r="AR429" s="350"/>
      <c r="AS429" s="350"/>
      <c r="AT429" s="350"/>
      <c r="AU429" s="351"/>
      <c r="AV429" s="351"/>
      <c r="AW429" s="351"/>
      <c r="AX429" s="351"/>
      <c r="AY429" s="351"/>
      <c r="AZ429" s="351"/>
      <c r="BA429" s="351"/>
      <c r="BB429" s="351"/>
      <c r="BC429" s="351"/>
      <c r="BD429" s="351"/>
      <c r="BE429" s="351"/>
      <c r="BF429" s="351"/>
      <c r="BG429" s="351"/>
      <c r="BH429" s="351"/>
      <c r="BI429" s="351"/>
      <c r="BJ429" s="351"/>
      <c r="BK429" s="351"/>
      <c r="BL429" s="351"/>
      <c r="BM429" s="351"/>
      <c r="BN429" s="351"/>
      <c r="BO429" s="351"/>
      <c r="BP429" s="351"/>
      <c r="BQ429" s="351"/>
      <c r="BR429" s="351"/>
      <c r="BS429" s="351"/>
      <c r="BT429" s="351"/>
      <c r="BU429" s="351"/>
      <c r="BV429" s="351"/>
      <c r="BW429" s="351"/>
      <c r="BX429" s="351"/>
      <c r="BY429" s="351"/>
      <c r="BZ429" s="351"/>
      <c r="CA429" s="351"/>
      <c r="CB429" s="351"/>
      <c r="CC429" s="351"/>
      <c r="CD429" s="351"/>
      <c r="CE429" s="351"/>
      <c r="CF429" s="351"/>
      <c r="CG429" s="352"/>
    </row>
    <row r="430" spans="1:85" s="353" customFormat="1" ht="13.9" customHeight="1" x14ac:dyDescent="0.2">
      <c r="A430" s="337" t="s">
        <v>126</v>
      </c>
      <c r="B430" s="338">
        <v>28</v>
      </c>
      <c r="C430" s="339" t="s">
        <v>129</v>
      </c>
      <c r="D430" s="340" t="s">
        <v>60</v>
      </c>
      <c r="E430" s="341"/>
      <c r="F430" s="341">
        <v>125715891</v>
      </c>
      <c r="G430" s="341"/>
      <c r="H430" s="340">
        <v>92121500</v>
      </c>
      <c r="I430" s="339" t="s">
        <v>519</v>
      </c>
      <c r="J430" s="338">
        <v>7</v>
      </c>
      <c r="K430" s="338">
        <v>10</v>
      </c>
      <c r="L430" s="338">
        <v>24</v>
      </c>
      <c r="M430" s="342">
        <f t="shared" si="72"/>
        <v>1</v>
      </c>
      <c r="N430" s="343" t="s">
        <v>43</v>
      </c>
      <c r="O430" s="344" t="str">
        <f>IF(ISBLANK(N430),"",VLOOKUP(N430,[2]Parámetros!$G$2:$H$23,2,FALSE))</f>
        <v>Selección abreviada subasta inversa</v>
      </c>
      <c r="P430" s="345">
        <f t="shared" si="76"/>
        <v>1</v>
      </c>
      <c r="Q430" s="346">
        <f t="shared" si="73"/>
        <v>125715891</v>
      </c>
      <c r="R430" s="346">
        <f t="shared" si="74"/>
        <v>125715891</v>
      </c>
      <c r="S430" s="347">
        <v>0</v>
      </c>
      <c r="T430" s="345">
        <f t="shared" si="77"/>
        <v>0</v>
      </c>
      <c r="U430" s="348" t="str">
        <f t="shared" si="75"/>
        <v>SUBDIRECCION DE GESTION CONTRACTUAL</v>
      </c>
      <c r="V430" s="345" t="str">
        <f t="shared" si="78"/>
        <v>CO-DC</v>
      </c>
      <c r="W430" s="345" t="str">
        <f t="shared" si="79"/>
        <v>Distrito Capital de Bogotá</v>
      </c>
      <c r="X430" s="340" t="s">
        <v>500</v>
      </c>
      <c r="Y430" s="338">
        <v>2427400</v>
      </c>
      <c r="Z430" s="349" t="s">
        <v>131</v>
      </c>
      <c r="AA430" s="350"/>
      <c r="AB430" s="350"/>
      <c r="AC430" s="350"/>
      <c r="AD430" s="350"/>
      <c r="AE430" s="350"/>
      <c r="AF430" s="350"/>
      <c r="AG430" s="350"/>
      <c r="AH430" s="350"/>
      <c r="AI430" s="350"/>
      <c r="AJ430" s="350"/>
      <c r="AK430" s="350"/>
      <c r="AL430" s="350"/>
      <c r="AM430" s="350"/>
      <c r="AN430" s="350"/>
      <c r="AO430" s="350"/>
      <c r="AP430" s="350"/>
      <c r="AQ430" s="350"/>
      <c r="AR430" s="350"/>
      <c r="AS430" s="350"/>
      <c r="AT430" s="350"/>
      <c r="AU430" s="351"/>
      <c r="AV430" s="351"/>
      <c r="AW430" s="351"/>
      <c r="AX430" s="351"/>
      <c r="AY430" s="351"/>
      <c r="AZ430" s="351"/>
      <c r="BA430" s="351"/>
      <c r="BB430" s="351"/>
      <c r="BC430" s="351"/>
      <c r="BD430" s="351"/>
      <c r="BE430" s="351"/>
      <c r="BF430" s="351"/>
      <c r="BG430" s="351"/>
      <c r="BH430" s="351"/>
      <c r="BI430" s="351"/>
      <c r="BJ430" s="351"/>
      <c r="BK430" s="351"/>
      <c r="BL430" s="351"/>
      <c r="BM430" s="351"/>
      <c r="BN430" s="351"/>
      <c r="BO430" s="351"/>
      <c r="BP430" s="351"/>
      <c r="BQ430" s="351"/>
      <c r="BR430" s="351"/>
      <c r="BS430" s="351"/>
      <c r="BT430" s="351"/>
      <c r="BU430" s="351"/>
      <c r="BV430" s="351"/>
      <c r="BW430" s="351"/>
      <c r="BX430" s="351"/>
      <c r="BY430" s="351"/>
      <c r="BZ430" s="351"/>
      <c r="CA430" s="351"/>
      <c r="CB430" s="351"/>
      <c r="CC430" s="351"/>
      <c r="CD430" s="351"/>
      <c r="CE430" s="351"/>
      <c r="CF430" s="351"/>
      <c r="CG430" s="352"/>
    </row>
    <row r="431" spans="1:85" s="353" customFormat="1" ht="13.9" customHeight="1" x14ac:dyDescent="0.2">
      <c r="A431" s="337" t="s">
        <v>126</v>
      </c>
      <c r="B431" s="338">
        <v>29</v>
      </c>
      <c r="C431" s="339" t="s">
        <v>129</v>
      </c>
      <c r="D431" s="340" t="s">
        <v>60</v>
      </c>
      <c r="E431" s="341">
        <v>616611423</v>
      </c>
      <c r="F431" s="341">
        <f>699806076.4+100000000.6</f>
        <v>799806077</v>
      </c>
      <c r="G431" s="341"/>
      <c r="H431" s="354" t="s">
        <v>250</v>
      </c>
      <c r="I431" s="339" t="s">
        <v>520</v>
      </c>
      <c r="J431" s="338">
        <v>1</v>
      </c>
      <c r="K431" s="338">
        <v>1</v>
      </c>
      <c r="L431" s="338">
        <v>7</v>
      </c>
      <c r="M431" s="342">
        <f t="shared" si="72"/>
        <v>1</v>
      </c>
      <c r="N431" s="343" t="s">
        <v>53</v>
      </c>
      <c r="O431" s="344" t="str">
        <f>IF(ISBLANK(N431),"",VLOOKUP(N431,[2]Parámetros!$G$2:$H$23,2,FALSE))</f>
        <v>Seléccion abreviada - acuerdo marco</v>
      </c>
      <c r="P431" s="345">
        <f t="shared" si="76"/>
        <v>1</v>
      </c>
      <c r="Q431" s="346">
        <f t="shared" si="73"/>
        <v>1416417500</v>
      </c>
      <c r="R431" s="346">
        <f t="shared" si="74"/>
        <v>799806077</v>
      </c>
      <c r="S431" s="347" t="s">
        <v>223</v>
      </c>
      <c r="T431" s="345">
        <f t="shared" si="77"/>
        <v>0</v>
      </c>
      <c r="U431" s="348" t="str">
        <f t="shared" si="75"/>
        <v>SUBDIRECCION DE GESTION CONTRACTUAL</v>
      </c>
      <c r="V431" s="342" t="str">
        <f t="shared" si="78"/>
        <v>CO-DC</v>
      </c>
      <c r="W431" s="348" t="str">
        <f t="shared" si="79"/>
        <v>Distrito Capital de Bogotá</v>
      </c>
      <c r="X431" s="340" t="s">
        <v>500</v>
      </c>
      <c r="Y431" s="338">
        <v>2427400</v>
      </c>
      <c r="Z431" s="349" t="s">
        <v>131</v>
      </c>
      <c r="AA431" s="350"/>
      <c r="AB431" s="350"/>
      <c r="AC431" s="350"/>
      <c r="AD431" s="350"/>
      <c r="AE431" s="350"/>
      <c r="AF431" s="350"/>
      <c r="AG431" s="350"/>
      <c r="AH431" s="350"/>
      <c r="AI431" s="350"/>
      <c r="AJ431" s="350"/>
      <c r="AK431" s="350"/>
      <c r="AL431" s="350"/>
      <c r="AM431" s="350"/>
      <c r="AN431" s="350"/>
      <c r="AO431" s="350"/>
      <c r="AP431" s="350"/>
      <c r="AQ431" s="350"/>
      <c r="AR431" s="350"/>
      <c r="AS431" s="350"/>
      <c r="AT431" s="350"/>
      <c r="AU431" s="351"/>
      <c r="AV431" s="351"/>
      <c r="AW431" s="351"/>
      <c r="AX431" s="351"/>
      <c r="AY431" s="351"/>
      <c r="AZ431" s="351"/>
      <c r="BA431" s="351"/>
      <c r="BB431" s="351"/>
      <c r="BC431" s="351"/>
      <c r="BD431" s="351"/>
      <c r="BE431" s="351"/>
      <c r="BF431" s="351"/>
      <c r="BG431" s="351"/>
      <c r="BH431" s="351"/>
      <c r="BI431" s="351"/>
      <c r="BJ431" s="351"/>
      <c r="BK431" s="351"/>
      <c r="BL431" s="351"/>
      <c r="BM431" s="351"/>
      <c r="BN431" s="351"/>
      <c r="BO431" s="351"/>
      <c r="BP431" s="351"/>
      <c r="BQ431" s="351"/>
      <c r="BR431" s="351"/>
      <c r="BS431" s="351"/>
      <c r="BT431" s="351"/>
      <c r="BU431" s="351"/>
      <c r="BV431" s="351"/>
      <c r="BW431" s="351"/>
      <c r="BX431" s="351"/>
      <c r="BY431" s="351"/>
      <c r="BZ431" s="351"/>
      <c r="CA431" s="351"/>
      <c r="CB431" s="351"/>
      <c r="CC431" s="351"/>
      <c r="CD431" s="351"/>
      <c r="CE431" s="351"/>
      <c r="CF431" s="351"/>
      <c r="CG431" s="352"/>
    </row>
    <row r="432" spans="1:85" s="353" customFormat="1" ht="13.9" customHeight="1" x14ac:dyDescent="0.2">
      <c r="A432" s="337" t="s">
        <v>126</v>
      </c>
      <c r="B432" s="338">
        <v>30</v>
      </c>
      <c r="C432" s="339" t="s">
        <v>129</v>
      </c>
      <c r="D432" s="340" t="s">
        <v>60</v>
      </c>
      <c r="E432" s="341"/>
      <c r="F432" s="341">
        <f>284774390+148042037+485258</f>
        <v>433301685</v>
      </c>
      <c r="G432" s="341"/>
      <c r="H432" s="354" t="s">
        <v>250</v>
      </c>
      <c r="I432" s="339" t="s">
        <v>521</v>
      </c>
      <c r="J432" s="338">
        <v>7</v>
      </c>
      <c r="K432" s="338">
        <v>7</v>
      </c>
      <c r="L432" s="338">
        <v>12</v>
      </c>
      <c r="M432" s="342">
        <f t="shared" si="72"/>
        <v>1</v>
      </c>
      <c r="N432" s="343" t="s">
        <v>53</v>
      </c>
      <c r="O432" s="344" t="str">
        <f>IF(ISBLANK(N432),"",VLOOKUP(N432,[2]Parámetros!$G$2:$H$23,2,FALSE))</f>
        <v>Seléccion abreviada - acuerdo marco</v>
      </c>
      <c r="P432" s="345">
        <f t="shared" si="76"/>
        <v>1</v>
      </c>
      <c r="Q432" s="346">
        <f t="shared" si="73"/>
        <v>433301685</v>
      </c>
      <c r="R432" s="346">
        <f t="shared" si="74"/>
        <v>433301685</v>
      </c>
      <c r="S432" s="347" t="s">
        <v>226</v>
      </c>
      <c r="T432" s="345">
        <f t="shared" si="77"/>
        <v>3</v>
      </c>
      <c r="U432" s="348" t="str">
        <f t="shared" si="75"/>
        <v>SUBDIRECCION DE GESTION CONTRACTUAL</v>
      </c>
      <c r="V432" s="342" t="str">
        <f t="shared" si="78"/>
        <v>CO-DC</v>
      </c>
      <c r="W432" s="348" t="str">
        <f t="shared" si="79"/>
        <v>Distrito Capital de Bogotá</v>
      </c>
      <c r="X432" s="340" t="s">
        <v>500</v>
      </c>
      <c r="Y432" s="338">
        <v>2427400</v>
      </c>
      <c r="Z432" s="349" t="s">
        <v>131</v>
      </c>
      <c r="AA432" s="350"/>
      <c r="AB432" s="350"/>
      <c r="AC432" s="350"/>
      <c r="AD432" s="350"/>
      <c r="AE432" s="350"/>
      <c r="AF432" s="350"/>
      <c r="AG432" s="350"/>
      <c r="AH432" s="350"/>
      <c r="AI432" s="350"/>
      <c r="AJ432" s="350"/>
      <c r="AK432" s="350"/>
      <c r="AL432" s="350"/>
      <c r="AM432" s="350"/>
      <c r="AN432" s="350"/>
      <c r="AO432" s="350"/>
      <c r="AP432" s="350"/>
      <c r="AQ432" s="350"/>
      <c r="AR432" s="350"/>
      <c r="AS432" s="350"/>
      <c r="AT432" s="350"/>
      <c r="AU432" s="351"/>
      <c r="AV432" s="351"/>
      <c r="AW432" s="351"/>
      <c r="AX432" s="351"/>
      <c r="AY432" s="351"/>
      <c r="AZ432" s="351"/>
      <c r="BA432" s="351"/>
      <c r="BB432" s="351"/>
      <c r="BC432" s="351"/>
      <c r="BD432" s="351"/>
      <c r="BE432" s="351"/>
      <c r="BF432" s="351"/>
      <c r="BG432" s="351"/>
      <c r="BH432" s="351"/>
      <c r="BI432" s="351"/>
      <c r="BJ432" s="351"/>
      <c r="BK432" s="351"/>
      <c r="BL432" s="351"/>
      <c r="BM432" s="351"/>
      <c r="BN432" s="351"/>
      <c r="BO432" s="351"/>
      <c r="BP432" s="351"/>
      <c r="BQ432" s="351"/>
      <c r="BR432" s="351"/>
      <c r="BS432" s="351"/>
      <c r="BT432" s="351"/>
      <c r="BU432" s="351"/>
      <c r="BV432" s="351"/>
      <c r="BW432" s="351"/>
      <c r="BX432" s="351"/>
      <c r="BY432" s="351"/>
      <c r="BZ432" s="351"/>
      <c r="CA432" s="351"/>
      <c r="CB432" s="351"/>
      <c r="CC432" s="351"/>
      <c r="CD432" s="351"/>
      <c r="CE432" s="351"/>
      <c r="CF432" s="351"/>
      <c r="CG432" s="352"/>
    </row>
    <row r="433" spans="1:85" s="348" customFormat="1" ht="12.75" customHeight="1" x14ac:dyDescent="0.2">
      <c r="A433" s="337" t="s">
        <v>126</v>
      </c>
      <c r="B433" s="338">
        <v>31</v>
      </c>
      <c r="C433" s="339" t="s">
        <v>129</v>
      </c>
      <c r="D433" s="340" t="s">
        <v>63</v>
      </c>
      <c r="E433" s="341">
        <v>1721666</v>
      </c>
      <c r="F433" s="341">
        <v>20251978</v>
      </c>
      <c r="G433" s="341"/>
      <c r="H433" s="340" t="s">
        <v>783</v>
      </c>
      <c r="I433" s="339" t="s">
        <v>522</v>
      </c>
      <c r="J433" s="338">
        <v>1</v>
      </c>
      <c r="K433" s="338">
        <v>1</v>
      </c>
      <c r="L433" s="338">
        <v>11</v>
      </c>
      <c r="M433" s="342">
        <f t="shared" si="72"/>
        <v>1</v>
      </c>
      <c r="N433" s="343" t="s">
        <v>48</v>
      </c>
      <c r="O433" s="344" t="str">
        <f>IF(ISBLANK(N433),"",VLOOKUP(N433,[2]Parámetros!$G$2:$H$23,2,FALSE))</f>
        <v>Mínima cuantía</v>
      </c>
      <c r="P433" s="345">
        <f t="shared" si="76"/>
        <v>1</v>
      </c>
      <c r="Q433" s="346">
        <f t="shared" si="73"/>
        <v>21973644</v>
      </c>
      <c r="R433" s="346">
        <f t="shared" si="74"/>
        <v>20251978</v>
      </c>
      <c r="S433" s="347" t="s">
        <v>223</v>
      </c>
      <c r="T433" s="345">
        <f t="shared" si="77"/>
        <v>0</v>
      </c>
      <c r="U433" s="348" t="str">
        <f t="shared" si="75"/>
        <v>SUBDIRECCION DE GESTION CONTRACTUAL</v>
      </c>
      <c r="V433" s="345" t="str">
        <f t="shared" si="78"/>
        <v>CO-DC</v>
      </c>
      <c r="W433" s="345" t="str">
        <f t="shared" si="79"/>
        <v>Distrito Capital de Bogotá</v>
      </c>
      <c r="X433" s="340" t="s">
        <v>500</v>
      </c>
      <c r="Y433" s="338">
        <v>2427400</v>
      </c>
      <c r="Z433" s="349" t="s">
        <v>131</v>
      </c>
      <c r="AA433" s="350"/>
      <c r="AB433" s="350"/>
      <c r="AC433" s="350"/>
      <c r="AD433" s="350"/>
      <c r="AE433" s="350"/>
      <c r="AF433" s="350"/>
      <c r="AG433" s="350"/>
      <c r="AH433" s="350"/>
      <c r="AI433" s="350"/>
      <c r="AJ433" s="350"/>
      <c r="AK433" s="350"/>
      <c r="AL433" s="350"/>
      <c r="AM433" s="350"/>
      <c r="AN433" s="350"/>
      <c r="AO433" s="350"/>
      <c r="AP433" s="350"/>
      <c r="AQ433" s="350"/>
      <c r="AR433" s="350"/>
      <c r="AS433" s="350"/>
      <c r="AT433" s="350"/>
      <c r="AU433" s="351"/>
      <c r="AV433" s="351"/>
      <c r="AW433" s="351"/>
      <c r="AX433" s="351"/>
      <c r="AY433" s="351"/>
      <c r="AZ433" s="351"/>
      <c r="BA433" s="351"/>
      <c r="BB433" s="351"/>
      <c r="BC433" s="351"/>
      <c r="BD433" s="351"/>
      <c r="BE433" s="351"/>
      <c r="BF433" s="351"/>
      <c r="BG433" s="351"/>
      <c r="BH433" s="351"/>
      <c r="BI433" s="351"/>
      <c r="BJ433" s="351"/>
      <c r="BK433" s="351"/>
      <c r="BL433" s="351"/>
      <c r="BM433" s="351"/>
      <c r="BN433" s="351"/>
      <c r="BO433" s="351"/>
      <c r="BP433" s="351"/>
      <c r="BQ433" s="351"/>
      <c r="BR433" s="351"/>
      <c r="BS433" s="351"/>
      <c r="BT433" s="351"/>
      <c r="BU433" s="351"/>
      <c r="BV433" s="351"/>
      <c r="BW433" s="351"/>
      <c r="BX433" s="351"/>
      <c r="BY433" s="351"/>
      <c r="BZ433" s="351"/>
      <c r="CA433" s="351"/>
      <c r="CB433" s="351"/>
      <c r="CC433" s="351"/>
      <c r="CD433" s="351"/>
      <c r="CE433" s="351"/>
      <c r="CF433" s="351"/>
      <c r="CG433" s="352"/>
    </row>
    <row r="434" spans="1:85" s="353" customFormat="1" ht="13.9" customHeight="1" x14ac:dyDescent="0.2">
      <c r="A434" s="337" t="s">
        <v>126</v>
      </c>
      <c r="B434" s="338">
        <v>32</v>
      </c>
      <c r="C434" s="339" t="s">
        <v>129</v>
      </c>
      <c r="D434" s="340" t="s">
        <v>63</v>
      </c>
      <c r="E434" s="341"/>
      <c r="F434" s="341">
        <v>5328198</v>
      </c>
      <c r="G434" s="341"/>
      <c r="H434" s="340" t="s">
        <v>783</v>
      </c>
      <c r="I434" s="339" t="s">
        <v>523</v>
      </c>
      <c r="J434" s="338">
        <v>10</v>
      </c>
      <c r="K434" s="338">
        <v>11</v>
      </c>
      <c r="L434" s="338">
        <v>12</v>
      </c>
      <c r="M434" s="342">
        <f t="shared" si="72"/>
        <v>1</v>
      </c>
      <c r="N434" s="343" t="s">
        <v>48</v>
      </c>
      <c r="O434" s="344" t="str">
        <f>IF(ISBLANK(N434),"",VLOOKUP(N434,[2]Parámetros!$G$2:$H$23,2,FALSE))</f>
        <v>Mínima cuantía</v>
      </c>
      <c r="P434" s="345">
        <f t="shared" si="76"/>
        <v>1</v>
      </c>
      <c r="Q434" s="346">
        <f t="shared" si="73"/>
        <v>5328198</v>
      </c>
      <c r="R434" s="346">
        <f t="shared" si="74"/>
        <v>5328198</v>
      </c>
      <c r="S434" s="347">
        <v>0</v>
      </c>
      <c r="T434" s="345">
        <f t="shared" si="77"/>
        <v>0</v>
      </c>
      <c r="U434" s="348" t="str">
        <f t="shared" si="75"/>
        <v>SUBDIRECCION DE GESTION CONTRACTUAL</v>
      </c>
      <c r="V434" s="345" t="str">
        <f t="shared" si="78"/>
        <v>CO-DC</v>
      </c>
      <c r="W434" s="345" t="str">
        <f t="shared" si="79"/>
        <v>Distrito Capital de Bogotá</v>
      </c>
      <c r="X434" s="340" t="s">
        <v>500</v>
      </c>
      <c r="Y434" s="338">
        <v>2427400</v>
      </c>
      <c r="Z434" s="349" t="s">
        <v>131</v>
      </c>
      <c r="AA434" s="350"/>
      <c r="AB434" s="350"/>
      <c r="AC434" s="350"/>
      <c r="AD434" s="350"/>
      <c r="AE434" s="350"/>
      <c r="AF434" s="350"/>
      <c r="AG434" s="350"/>
      <c r="AH434" s="350"/>
      <c r="AI434" s="350"/>
      <c r="AJ434" s="350"/>
      <c r="AK434" s="350"/>
      <c r="AL434" s="350"/>
      <c r="AM434" s="350"/>
      <c r="AN434" s="350"/>
      <c r="AO434" s="350"/>
      <c r="AP434" s="350"/>
      <c r="AQ434" s="350"/>
      <c r="AR434" s="350"/>
      <c r="AS434" s="350"/>
      <c r="AT434" s="350"/>
      <c r="AU434" s="351"/>
      <c r="AV434" s="351"/>
      <c r="AW434" s="351"/>
      <c r="AX434" s="351"/>
      <c r="AY434" s="351"/>
      <c r="AZ434" s="351"/>
      <c r="BA434" s="351"/>
      <c r="BB434" s="351"/>
      <c r="BC434" s="351"/>
      <c r="BD434" s="351"/>
      <c r="BE434" s="351"/>
      <c r="BF434" s="351"/>
      <c r="BG434" s="351"/>
      <c r="BH434" s="351"/>
      <c r="BI434" s="351"/>
      <c r="BJ434" s="351"/>
      <c r="BK434" s="351"/>
      <c r="BL434" s="351"/>
      <c r="BM434" s="351"/>
      <c r="BN434" s="351"/>
      <c r="BO434" s="351"/>
      <c r="BP434" s="351"/>
      <c r="BQ434" s="351"/>
      <c r="BR434" s="351"/>
      <c r="BS434" s="351"/>
      <c r="BT434" s="351"/>
      <c r="BU434" s="351"/>
      <c r="BV434" s="351"/>
      <c r="BW434" s="351"/>
      <c r="BX434" s="351"/>
      <c r="BY434" s="351"/>
      <c r="BZ434" s="351"/>
      <c r="CA434" s="351"/>
      <c r="CB434" s="351"/>
      <c r="CC434" s="351"/>
      <c r="CD434" s="351"/>
      <c r="CE434" s="351"/>
      <c r="CF434" s="351"/>
      <c r="CG434" s="352"/>
    </row>
    <row r="435" spans="1:85" s="353" customFormat="1" ht="13.9" customHeight="1" x14ac:dyDescent="0.2">
      <c r="A435" s="337" t="s">
        <v>126</v>
      </c>
      <c r="B435" s="338">
        <v>33</v>
      </c>
      <c r="C435" s="339" t="s">
        <v>129</v>
      </c>
      <c r="D435" s="340" t="s">
        <v>63</v>
      </c>
      <c r="E435" s="341"/>
      <c r="F435" s="341">
        <f>91879901+10000000</f>
        <v>101879901</v>
      </c>
      <c r="G435" s="341"/>
      <c r="H435" s="340" t="s">
        <v>781</v>
      </c>
      <c r="I435" s="339" t="s">
        <v>863</v>
      </c>
      <c r="J435" s="338">
        <v>2</v>
      </c>
      <c r="K435" s="338">
        <v>3</v>
      </c>
      <c r="L435" s="338">
        <v>9</v>
      </c>
      <c r="M435" s="342">
        <f t="shared" si="72"/>
        <v>1</v>
      </c>
      <c r="N435" s="343" t="s">
        <v>36</v>
      </c>
      <c r="O435" s="344" t="str">
        <f>IF(ISBLANK(N435),"",VLOOKUP(N435,[2]Parámetros!$G$2:$H$23,2,FALSE))</f>
        <v xml:space="preserve">Contratación directa (con ofertas) </v>
      </c>
      <c r="P435" s="345">
        <f t="shared" si="76"/>
        <v>1</v>
      </c>
      <c r="Q435" s="346">
        <f t="shared" si="73"/>
        <v>101879901</v>
      </c>
      <c r="R435" s="346">
        <f t="shared" si="74"/>
        <v>101879901</v>
      </c>
      <c r="S435" s="347" t="s">
        <v>223</v>
      </c>
      <c r="T435" s="345">
        <f t="shared" si="77"/>
        <v>0</v>
      </c>
      <c r="U435" s="348" t="str">
        <f t="shared" si="75"/>
        <v>SUBDIRECCION DE GESTION CONTRACTUAL</v>
      </c>
      <c r="V435" s="345" t="str">
        <f t="shared" si="78"/>
        <v>CO-DC</v>
      </c>
      <c r="W435" s="345" t="str">
        <f t="shared" si="79"/>
        <v>Distrito Capital de Bogotá</v>
      </c>
      <c r="X435" s="340" t="s">
        <v>500</v>
      </c>
      <c r="Y435" s="338">
        <v>2427400</v>
      </c>
      <c r="Z435" s="349" t="s">
        <v>131</v>
      </c>
      <c r="AA435" s="350"/>
      <c r="AB435" s="350"/>
      <c r="AC435" s="350"/>
      <c r="AD435" s="350"/>
      <c r="AE435" s="350"/>
      <c r="AF435" s="350"/>
      <c r="AG435" s="350"/>
      <c r="AH435" s="350"/>
      <c r="AI435" s="350"/>
      <c r="AJ435" s="350"/>
      <c r="AK435" s="350"/>
      <c r="AL435" s="350"/>
      <c r="AM435" s="350"/>
      <c r="AN435" s="350"/>
      <c r="AO435" s="350"/>
      <c r="AP435" s="350"/>
      <c r="AQ435" s="350"/>
      <c r="AR435" s="350"/>
      <c r="AS435" s="350"/>
      <c r="AT435" s="350"/>
      <c r="AU435" s="351"/>
      <c r="AV435" s="351"/>
      <c r="AW435" s="351"/>
      <c r="AX435" s="351"/>
      <c r="AY435" s="351"/>
      <c r="AZ435" s="351"/>
      <c r="BA435" s="351"/>
      <c r="BB435" s="351"/>
      <c r="BC435" s="351"/>
      <c r="BD435" s="351"/>
      <c r="BE435" s="351"/>
      <c r="BF435" s="351"/>
      <c r="BG435" s="351"/>
      <c r="BH435" s="351"/>
      <c r="BI435" s="351"/>
      <c r="BJ435" s="351"/>
      <c r="BK435" s="351"/>
      <c r="BL435" s="351"/>
      <c r="BM435" s="351"/>
      <c r="BN435" s="351"/>
      <c r="BO435" s="351"/>
      <c r="BP435" s="351"/>
      <c r="BQ435" s="351"/>
      <c r="BR435" s="351"/>
      <c r="BS435" s="351"/>
      <c r="BT435" s="351"/>
      <c r="BU435" s="351"/>
      <c r="BV435" s="351"/>
      <c r="BW435" s="351"/>
      <c r="BX435" s="351"/>
      <c r="BY435" s="351"/>
      <c r="BZ435" s="351"/>
      <c r="CA435" s="351"/>
      <c r="CB435" s="351"/>
      <c r="CC435" s="351"/>
      <c r="CD435" s="351"/>
      <c r="CE435" s="351"/>
      <c r="CF435" s="351"/>
      <c r="CG435" s="352"/>
    </row>
    <row r="436" spans="1:85" s="353" customFormat="1" ht="13.9" customHeight="1" x14ac:dyDescent="0.2">
      <c r="A436" s="337" t="s">
        <v>126</v>
      </c>
      <c r="B436" s="338">
        <v>34</v>
      </c>
      <c r="C436" s="339" t="s">
        <v>129</v>
      </c>
      <c r="D436" s="340" t="s">
        <v>63</v>
      </c>
      <c r="E436" s="341"/>
      <c r="F436" s="341">
        <f>2289210*11</f>
        <v>25181310</v>
      </c>
      <c r="G436" s="341"/>
      <c r="H436" s="340">
        <v>72101506</v>
      </c>
      <c r="I436" s="339" t="s">
        <v>524</v>
      </c>
      <c r="J436" s="338">
        <v>2</v>
      </c>
      <c r="K436" s="338">
        <v>2</v>
      </c>
      <c r="L436" s="338">
        <v>11</v>
      </c>
      <c r="M436" s="342">
        <f t="shared" si="72"/>
        <v>1</v>
      </c>
      <c r="N436" s="343" t="s">
        <v>36</v>
      </c>
      <c r="O436" s="344" t="str">
        <f>IF(ISBLANK(N436),"",VLOOKUP(N436,[2]Parámetros!$G$2:$H$23,2,FALSE))</f>
        <v xml:space="preserve">Contratación directa (con ofertas) </v>
      </c>
      <c r="P436" s="345">
        <f t="shared" si="76"/>
        <v>1</v>
      </c>
      <c r="Q436" s="346">
        <f t="shared" si="73"/>
        <v>25181310</v>
      </c>
      <c r="R436" s="346">
        <f t="shared" si="74"/>
        <v>25181310</v>
      </c>
      <c r="S436" s="347" t="s">
        <v>223</v>
      </c>
      <c r="T436" s="345">
        <f t="shared" si="77"/>
        <v>0</v>
      </c>
      <c r="U436" s="348" t="str">
        <f t="shared" si="75"/>
        <v>SUBDIRECCION DE GESTION CONTRACTUAL</v>
      </c>
      <c r="V436" s="345" t="str">
        <f t="shared" si="78"/>
        <v>CO-DC</v>
      </c>
      <c r="W436" s="345" t="str">
        <f t="shared" si="79"/>
        <v>Distrito Capital de Bogotá</v>
      </c>
      <c r="X436" s="340" t="s">
        <v>500</v>
      </c>
      <c r="Y436" s="338">
        <v>2427400</v>
      </c>
      <c r="Z436" s="349" t="s">
        <v>131</v>
      </c>
      <c r="AA436" s="350"/>
      <c r="AB436" s="350"/>
      <c r="AC436" s="350"/>
      <c r="AD436" s="350"/>
      <c r="AE436" s="350"/>
      <c r="AF436" s="350"/>
      <c r="AG436" s="350"/>
      <c r="AH436" s="350"/>
      <c r="AI436" s="350"/>
      <c r="AJ436" s="350"/>
      <c r="AK436" s="350"/>
      <c r="AL436" s="350"/>
      <c r="AM436" s="350"/>
      <c r="AN436" s="350"/>
      <c r="AO436" s="350"/>
      <c r="AP436" s="350"/>
      <c r="AQ436" s="350"/>
      <c r="AR436" s="350"/>
      <c r="AS436" s="350"/>
      <c r="AT436" s="350"/>
      <c r="AU436" s="351"/>
      <c r="AV436" s="351"/>
      <c r="AW436" s="351"/>
      <c r="AX436" s="351"/>
      <c r="AY436" s="351"/>
      <c r="AZ436" s="351"/>
      <c r="BA436" s="351"/>
      <c r="BB436" s="351"/>
      <c r="BC436" s="351"/>
      <c r="BD436" s="351"/>
      <c r="BE436" s="351"/>
      <c r="BF436" s="351"/>
      <c r="BG436" s="351"/>
      <c r="BH436" s="351"/>
      <c r="BI436" s="351"/>
      <c r="BJ436" s="351"/>
      <c r="BK436" s="351"/>
      <c r="BL436" s="351"/>
      <c r="BM436" s="351"/>
      <c r="BN436" s="351"/>
      <c r="BO436" s="351"/>
      <c r="BP436" s="351"/>
      <c r="BQ436" s="351"/>
      <c r="BR436" s="351"/>
      <c r="BS436" s="351"/>
      <c r="BT436" s="351"/>
      <c r="BU436" s="351"/>
      <c r="BV436" s="351"/>
      <c r="BW436" s="351"/>
      <c r="BX436" s="351"/>
      <c r="BY436" s="351"/>
      <c r="BZ436" s="351"/>
      <c r="CA436" s="351"/>
      <c r="CB436" s="351"/>
      <c r="CC436" s="351"/>
      <c r="CD436" s="351"/>
      <c r="CE436" s="351"/>
      <c r="CF436" s="351"/>
      <c r="CG436" s="352"/>
    </row>
    <row r="437" spans="1:85" s="353" customFormat="1" ht="13.9" customHeight="1" x14ac:dyDescent="0.2">
      <c r="A437" s="337" t="s">
        <v>126</v>
      </c>
      <c r="B437" s="338">
        <v>35</v>
      </c>
      <c r="C437" s="339" t="s">
        <v>129</v>
      </c>
      <c r="D437" s="340" t="s">
        <v>63</v>
      </c>
      <c r="E437" s="341">
        <v>5564669</v>
      </c>
      <c r="F437" s="341">
        <v>55646690</v>
      </c>
      <c r="G437" s="341"/>
      <c r="H437" s="340" t="s">
        <v>251</v>
      </c>
      <c r="I437" s="339" t="s">
        <v>525</v>
      </c>
      <c r="J437" s="338">
        <v>1</v>
      </c>
      <c r="K437" s="338">
        <v>1</v>
      </c>
      <c r="L437" s="338">
        <v>11</v>
      </c>
      <c r="M437" s="342">
        <f t="shared" si="72"/>
        <v>1</v>
      </c>
      <c r="N437" s="343" t="s">
        <v>48</v>
      </c>
      <c r="O437" s="344" t="str">
        <f>IF(ISBLANK(N437),"",VLOOKUP(N437,[2]Parámetros!$G$2:$H$23,2,FALSE))</f>
        <v>Mínima cuantía</v>
      </c>
      <c r="P437" s="345">
        <f t="shared" si="76"/>
        <v>1</v>
      </c>
      <c r="Q437" s="346">
        <f t="shared" si="73"/>
        <v>61211359</v>
      </c>
      <c r="R437" s="346">
        <f t="shared" si="74"/>
        <v>55646690</v>
      </c>
      <c r="S437" s="347" t="s">
        <v>223</v>
      </c>
      <c r="T437" s="345">
        <f t="shared" si="77"/>
        <v>0</v>
      </c>
      <c r="U437" s="348" t="str">
        <f t="shared" si="75"/>
        <v>SUBDIRECCION DE GESTION CONTRACTUAL</v>
      </c>
      <c r="V437" s="345" t="str">
        <f t="shared" si="78"/>
        <v>CO-DC</v>
      </c>
      <c r="W437" s="345" t="str">
        <f t="shared" si="79"/>
        <v>Distrito Capital de Bogotá</v>
      </c>
      <c r="X437" s="340" t="s">
        <v>511</v>
      </c>
      <c r="Y437" s="338">
        <v>2427400</v>
      </c>
      <c r="Z437" s="349" t="s">
        <v>512</v>
      </c>
      <c r="AA437" s="350"/>
      <c r="AB437" s="350"/>
      <c r="AC437" s="350"/>
      <c r="AD437" s="350"/>
      <c r="AE437" s="350"/>
      <c r="AF437" s="350"/>
      <c r="AG437" s="350"/>
      <c r="AH437" s="350"/>
      <c r="AI437" s="350"/>
      <c r="AJ437" s="350"/>
      <c r="AK437" s="350"/>
      <c r="AL437" s="350"/>
      <c r="AM437" s="350"/>
      <c r="AN437" s="350"/>
      <c r="AO437" s="350"/>
      <c r="AP437" s="350"/>
      <c r="AQ437" s="350"/>
      <c r="AR437" s="350"/>
      <c r="AS437" s="350"/>
      <c r="AT437" s="350"/>
      <c r="AU437" s="351"/>
      <c r="AV437" s="351"/>
      <c r="AW437" s="351"/>
      <c r="AX437" s="351"/>
      <c r="AY437" s="351"/>
      <c r="AZ437" s="351"/>
      <c r="BA437" s="351"/>
      <c r="BB437" s="351"/>
      <c r="BC437" s="351"/>
      <c r="BD437" s="351"/>
      <c r="BE437" s="351"/>
      <c r="BF437" s="351"/>
      <c r="BG437" s="351"/>
      <c r="BH437" s="351"/>
      <c r="BI437" s="351"/>
      <c r="BJ437" s="351"/>
      <c r="BK437" s="351"/>
      <c r="BL437" s="351"/>
      <c r="BM437" s="351"/>
      <c r="BN437" s="351"/>
      <c r="BO437" s="351"/>
      <c r="BP437" s="351"/>
      <c r="BQ437" s="351"/>
      <c r="BR437" s="351"/>
      <c r="BS437" s="351"/>
      <c r="BT437" s="351"/>
      <c r="BU437" s="351"/>
      <c r="BV437" s="351"/>
      <c r="BW437" s="351"/>
      <c r="BX437" s="351"/>
      <c r="BY437" s="351"/>
      <c r="BZ437" s="351"/>
      <c r="CA437" s="351"/>
      <c r="CB437" s="351"/>
      <c r="CC437" s="351"/>
      <c r="CD437" s="351"/>
      <c r="CE437" s="351"/>
      <c r="CF437" s="351"/>
      <c r="CG437" s="352"/>
    </row>
    <row r="438" spans="1:85" s="353" customFormat="1" ht="13.9" customHeight="1" x14ac:dyDescent="0.2">
      <c r="A438" s="337" t="s">
        <v>126</v>
      </c>
      <c r="B438" s="338">
        <v>36</v>
      </c>
      <c r="C438" s="339" t="s">
        <v>129</v>
      </c>
      <c r="D438" s="340" t="s">
        <v>63</v>
      </c>
      <c r="E438" s="341"/>
      <c r="F438" s="341">
        <v>12700000</v>
      </c>
      <c r="G438" s="341"/>
      <c r="H438" s="340" t="s">
        <v>251</v>
      </c>
      <c r="I438" s="339" t="s">
        <v>526</v>
      </c>
      <c r="J438" s="338">
        <v>11</v>
      </c>
      <c r="K438" s="338">
        <v>11</v>
      </c>
      <c r="L438" s="338">
        <v>12</v>
      </c>
      <c r="M438" s="342">
        <f t="shared" si="72"/>
        <v>1</v>
      </c>
      <c r="N438" s="343" t="s">
        <v>53</v>
      </c>
      <c r="O438" s="344" t="str">
        <f>IF(ISBLANK(N438),"",VLOOKUP(N438,[2]Parámetros!$G$2:$H$23,2,FALSE))</f>
        <v>Seléccion abreviada - acuerdo marco</v>
      </c>
      <c r="P438" s="345">
        <f t="shared" si="76"/>
        <v>1</v>
      </c>
      <c r="Q438" s="346">
        <f t="shared" si="73"/>
        <v>12700000</v>
      </c>
      <c r="R438" s="346">
        <f t="shared" si="74"/>
        <v>12700000</v>
      </c>
      <c r="S438" s="347">
        <v>0</v>
      </c>
      <c r="T438" s="345">
        <f t="shared" si="77"/>
        <v>0</v>
      </c>
      <c r="U438" s="348" t="str">
        <f t="shared" si="75"/>
        <v>SUBDIRECCION DE GESTION CONTRACTUAL</v>
      </c>
      <c r="V438" s="345" t="str">
        <f t="shared" si="78"/>
        <v>CO-DC</v>
      </c>
      <c r="W438" s="345" t="str">
        <f t="shared" si="79"/>
        <v>Distrito Capital de Bogotá</v>
      </c>
      <c r="X438" s="340" t="s">
        <v>511</v>
      </c>
      <c r="Y438" s="338">
        <v>2427400</v>
      </c>
      <c r="Z438" s="349" t="s">
        <v>512</v>
      </c>
      <c r="AA438" s="350"/>
      <c r="AB438" s="350"/>
      <c r="AC438" s="350"/>
      <c r="AD438" s="350"/>
      <c r="AE438" s="350"/>
      <c r="AF438" s="350"/>
      <c r="AG438" s="350"/>
      <c r="AH438" s="350"/>
      <c r="AI438" s="350"/>
      <c r="AJ438" s="350"/>
      <c r="AK438" s="350"/>
      <c r="AL438" s="350"/>
      <c r="AM438" s="350"/>
      <c r="AN438" s="350"/>
      <c r="AO438" s="350"/>
      <c r="AP438" s="350"/>
      <c r="AQ438" s="350"/>
      <c r="AR438" s="350"/>
      <c r="AS438" s="350"/>
      <c r="AT438" s="350"/>
      <c r="AU438" s="351"/>
      <c r="AV438" s="351"/>
      <c r="AW438" s="351"/>
      <c r="AX438" s="351"/>
      <c r="AY438" s="351"/>
      <c r="AZ438" s="351"/>
      <c r="BA438" s="351"/>
      <c r="BB438" s="351"/>
      <c r="BC438" s="351"/>
      <c r="BD438" s="351"/>
      <c r="BE438" s="351"/>
      <c r="BF438" s="351"/>
      <c r="BG438" s="351"/>
      <c r="BH438" s="351"/>
      <c r="BI438" s="351"/>
      <c r="BJ438" s="351"/>
      <c r="BK438" s="351"/>
      <c r="BL438" s="351"/>
      <c r="BM438" s="351"/>
      <c r="BN438" s="351"/>
      <c r="BO438" s="351"/>
      <c r="BP438" s="351"/>
      <c r="BQ438" s="351"/>
      <c r="BR438" s="351"/>
      <c r="BS438" s="351"/>
      <c r="BT438" s="351"/>
      <c r="BU438" s="351"/>
      <c r="BV438" s="351"/>
      <c r="BW438" s="351"/>
      <c r="BX438" s="351"/>
      <c r="BY438" s="351"/>
      <c r="BZ438" s="351"/>
      <c r="CA438" s="351"/>
      <c r="CB438" s="351"/>
      <c r="CC438" s="351"/>
      <c r="CD438" s="351"/>
      <c r="CE438" s="351"/>
      <c r="CF438" s="351"/>
      <c r="CG438" s="352"/>
    </row>
    <row r="439" spans="1:85" s="348" customFormat="1" ht="12.75" customHeight="1" x14ac:dyDescent="0.2">
      <c r="A439" s="337" t="s">
        <v>126</v>
      </c>
      <c r="B439" s="338">
        <v>37</v>
      </c>
      <c r="C439" s="339" t="s">
        <v>129</v>
      </c>
      <c r="D439" s="340" t="s">
        <v>63</v>
      </c>
      <c r="E439" s="341">
        <v>8550524</v>
      </c>
      <c r="F439" s="341">
        <v>85505239</v>
      </c>
      <c r="G439" s="341"/>
      <c r="H439" s="340" t="s">
        <v>251</v>
      </c>
      <c r="I439" s="339" t="s">
        <v>527</v>
      </c>
      <c r="J439" s="338">
        <v>1</v>
      </c>
      <c r="K439" s="338">
        <v>1</v>
      </c>
      <c r="L439" s="338">
        <v>11</v>
      </c>
      <c r="M439" s="342">
        <f t="shared" si="72"/>
        <v>1</v>
      </c>
      <c r="N439" s="343" t="s">
        <v>53</v>
      </c>
      <c r="O439" s="344" t="str">
        <f>IF(ISBLANK(N439),"",VLOOKUP(N439,[2]Parámetros!$G$2:$H$23,2,FALSE))</f>
        <v>Seléccion abreviada - acuerdo marco</v>
      </c>
      <c r="P439" s="345">
        <f t="shared" si="76"/>
        <v>1</v>
      </c>
      <c r="Q439" s="346">
        <f t="shared" si="73"/>
        <v>94055763</v>
      </c>
      <c r="R439" s="346">
        <f t="shared" si="74"/>
        <v>85505239</v>
      </c>
      <c r="S439" s="347" t="s">
        <v>223</v>
      </c>
      <c r="T439" s="345">
        <f t="shared" si="77"/>
        <v>0</v>
      </c>
      <c r="U439" s="348" t="str">
        <f t="shared" si="75"/>
        <v>SUBDIRECCION DE GESTION CONTRACTUAL</v>
      </c>
      <c r="V439" s="345" t="str">
        <f t="shared" si="78"/>
        <v>CO-DC</v>
      </c>
      <c r="W439" s="345" t="str">
        <f t="shared" si="79"/>
        <v>Distrito Capital de Bogotá</v>
      </c>
      <c r="X439" s="340" t="s">
        <v>511</v>
      </c>
      <c r="Y439" s="338">
        <v>2427400</v>
      </c>
      <c r="Z439" s="349" t="s">
        <v>512</v>
      </c>
      <c r="AA439" s="350"/>
      <c r="AB439" s="350"/>
      <c r="AC439" s="350"/>
      <c r="AD439" s="350"/>
      <c r="AE439" s="350"/>
      <c r="AF439" s="350"/>
      <c r="AG439" s="350"/>
      <c r="AH439" s="350"/>
      <c r="AI439" s="350"/>
      <c r="AJ439" s="350"/>
      <c r="AK439" s="350"/>
      <c r="AL439" s="350"/>
      <c r="AM439" s="350"/>
      <c r="AN439" s="350"/>
      <c r="AO439" s="350"/>
      <c r="AP439" s="350"/>
      <c r="AQ439" s="350"/>
      <c r="AR439" s="350"/>
      <c r="AS439" s="350"/>
      <c r="AT439" s="350"/>
      <c r="AU439" s="351"/>
      <c r="AV439" s="351"/>
      <c r="AW439" s="351"/>
      <c r="AX439" s="351"/>
      <c r="AY439" s="351"/>
      <c r="AZ439" s="351"/>
      <c r="BA439" s="351"/>
      <c r="BB439" s="351"/>
      <c r="BC439" s="351"/>
      <c r="BD439" s="351"/>
      <c r="BE439" s="351"/>
      <c r="BF439" s="351"/>
      <c r="BG439" s="351"/>
      <c r="BH439" s="351"/>
      <c r="BI439" s="351"/>
      <c r="BJ439" s="351"/>
      <c r="BK439" s="351"/>
      <c r="BL439" s="351"/>
      <c r="BM439" s="351"/>
      <c r="BN439" s="351"/>
      <c r="BO439" s="351"/>
      <c r="BP439" s="351"/>
      <c r="BQ439" s="351"/>
      <c r="BR439" s="351"/>
      <c r="BS439" s="351"/>
      <c r="BT439" s="351"/>
      <c r="BU439" s="351"/>
      <c r="BV439" s="351"/>
      <c r="BW439" s="351"/>
      <c r="BX439" s="351"/>
      <c r="BY439" s="351"/>
      <c r="BZ439" s="351"/>
      <c r="CA439" s="351"/>
      <c r="CB439" s="351"/>
      <c r="CC439" s="351"/>
      <c r="CD439" s="351"/>
      <c r="CE439" s="351"/>
      <c r="CF439" s="351"/>
      <c r="CG439" s="352"/>
    </row>
    <row r="440" spans="1:85" s="353" customFormat="1" ht="13.9" customHeight="1" x14ac:dyDescent="0.2">
      <c r="A440" s="337" t="s">
        <v>126</v>
      </c>
      <c r="B440" s="338">
        <v>38</v>
      </c>
      <c r="C440" s="339" t="s">
        <v>129</v>
      </c>
      <c r="D440" s="340" t="s">
        <v>63</v>
      </c>
      <c r="E440" s="341">
        <v>1000000</v>
      </c>
      <c r="F440" s="341">
        <v>10000000</v>
      </c>
      <c r="G440" s="341"/>
      <c r="H440" s="340" t="s">
        <v>251</v>
      </c>
      <c r="I440" s="339" t="s">
        <v>528</v>
      </c>
      <c r="J440" s="338">
        <v>1</v>
      </c>
      <c r="K440" s="338">
        <v>1</v>
      </c>
      <c r="L440" s="338">
        <v>11</v>
      </c>
      <c r="M440" s="342">
        <f t="shared" si="72"/>
        <v>1</v>
      </c>
      <c r="N440" s="343" t="s">
        <v>53</v>
      </c>
      <c r="O440" s="344" t="str">
        <f>IF(ISBLANK(N440),"",VLOOKUP(N440,[2]Parámetros!$G$2:$H$23,2,FALSE))</f>
        <v>Seléccion abreviada - acuerdo marco</v>
      </c>
      <c r="P440" s="345">
        <f t="shared" si="76"/>
        <v>1</v>
      </c>
      <c r="Q440" s="346">
        <f t="shared" si="73"/>
        <v>11000000</v>
      </c>
      <c r="R440" s="346">
        <f t="shared" si="74"/>
        <v>10000000</v>
      </c>
      <c r="S440" s="347" t="s">
        <v>223</v>
      </c>
      <c r="T440" s="345">
        <f t="shared" si="77"/>
        <v>0</v>
      </c>
      <c r="U440" s="348" t="str">
        <f t="shared" si="75"/>
        <v>SUBDIRECCION DE GESTION CONTRACTUAL</v>
      </c>
      <c r="V440" s="345" t="str">
        <f t="shared" si="78"/>
        <v>CO-DC</v>
      </c>
      <c r="W440" s="345" t="str">
        <f t="shared" si="79"/>
        <v>Distrito Capital de Bogotá</v>
      </c>
      <c r="X440" s="340" t="s">
        <v>511</v>
      </c>
      <c r="Y440" s="338">
        <v>2427400</v>
      </c>
      <c r="Z440" s="349" t="s">
        <v>512</v>
      </c>
      <c r="AA440" s="350"/>
      <c r="AB440" s="350"/>
      <c r="AC440" s="350"/>
      <c r="AD440" s="350"/>
      <c r="AE440" s="350"/>
      <c r="AF440" s="350"/>
      <c r="AG440" s="350"/>
      <c r="AH440" s="350"/>
      <c r="AI440" s="350"/>
      <c r="AJ440" s="350"/>
      <c r="AK440" s="350"/>
      <c r="AL440" s="350"/>
      <c r="AM440" s="350"/>
      <c r="AN440" s="350"/>
      <c r="AO440" s="350"/>
      <c r="AP440" s="350"/>
      <c r="AQ440" s="350"/>
      <c r="AR440" s="350"/>
      <c r="AS440" s="350"/>
      <c r="AT440" s="350"/>
      <c r="AU440" s="351"/>
      <c r="AV440" s="351"/>
      <c r="AW440" s="351"/>
      <c r="AX440" s="351"/>
      <c r="AY440" s="351"/>
      <c r="AZ440" s="351"/>
      <c r="BA440" s="351"/>
      <c r="BB440" s="351"/>
      <c r="BC440" s="351"/>
      <c r="BD440" s="351"/>
      <c r="BE440" s="351"/>
      <c r="BF440" s="351"/>
      <c r="BG440" s="351"/>
      <c r="BH440" s="351"/>
      <c r="BI440" s="351"/>
      <c r="BJ440" s="351"/>
      <c r="BK440" s="351"/>
      <c r="BL440" s="351"/>
      <c r="BM440" s="351"/>
      <c r="BN440" s="351"/>
      <c r="BO440" s="351"/>
      <c r="BP440" s="351"/>
      <c r="BQ440" s="351"/>
      <c r="BR440" s="351"/>
      <c r="BS440" s="351"/>
      <c r="BT440" s="351"/>
      <c r="BU440" s="351"/>
      <c r="BV440" s="351"/>
      <c r="BW440" s="351"/>
      <c r="BX440" s="351"/>
      <c r="BY440" s="351"/>
      <c r="BZ440" s="351"/>
      <c r="CA440" s="351"/>
      <c r="CB440" s="351"/>
      <c r="CC440" s="351"/>
      <c r="CD440" s="351"/>
      <c r="CE440" s="351"/>
      <c r="CF440" s="351"/>
      <c r="CG440" s="352"/>
    </row>
    <row r="441" spans="1:85" s="353" customFormat="1" ht="13.9" customHeight="1" x14ac:dyDescent="0.2">
      <c r="A441" s="337" t="s">
        <v>126</v>
      </c>
      <c r="B441" s="338">
        <v>39</v>
      </c>
      <c r="C441" s="339" t="s">
        <v>129</v>
      </c>
      <c r="D441" s="340" t="s">
        <v>63</v>
      </c>
      <c r="E441" s="341">
        <v>1000000</v>
      </c>
      <c r="F441" s="341">
        <v>10000000</v>
      </c>
      <c r="G441" s="341"/>
      <c r="H441" s="340" t="s">
        <v>251</v>
      </c>
      <c r="I441" s="339" t="s">
        <v>529</v>
      </c>
      <c r="J441" s="338">
        <v>1</v>
      </c>
      <c r="K441" s="338">
        <v>1</v>
      </c>
      <c r="L441" s="338">
        <v>11</v>
      </c>
      <c r="M441" s="342">
        <f t="shared" si="72"/>
        <v>1</v>
      </c>
      <c r="N441" s="343" t="s">
        <v>53</v>
      </c>
      <c r="O441" s="344" t="str">
        <f>IF(ISBLANK(N441),"",VLOOKUP(N441,[2]Parámetros!$G$2:$H$23,2,FALSE))</f>
        <v>Seléccion abreviada - acuerdo marco</v>
      </c>
      <c r="P441" s="345">
        <f t="shared" si="76"/>
        <v>1</v>
      </c>
      <c r="Q441" s="346">
        <f t="shared" si="73"/>
        <v>11000000</v>
      </c>
      <c r="R441" s="346">
        <f t="shared" si="74"/>
        <v>10000000</v>
      </c>
      <c r="S441" s="347" t="s">
        <v>223</v>
      </c>
      <c r="T441" s="345">
        <f t="shared" si="77"/>
        <v>0</v>
      </c>
      <c r="U441" s="348" t="str">
        <f t="shared" si="75"/>
        <v>SUBDIRECCION DE GESTION CONTRACTUAL</v>
      </c>
      <c r="V441" s="345" t="str">
        <f t="shared" si="78"/>
        <v>CO-DC</v>
      </c>
      <c r="W441" s="345" t="str">
        <f t="shared" si="79"/>
        <v>Distrito Capital de Bogotá</v>
      </c>
      <c r="X441" s="340" t="s">
        <v>511</v>
      </c>
      <c r="Y441" s="338">
        <v>2427400</v>
      </c>
      <c r="Z441" s="349" t="s">
        <v>512</v>
      </c>
      <c r="AA441" s="350"/>
      <c r="AB441" s="350"/>
      <c r="AC441" s="350"/>
      <c r="AD441" s="350"/>
      <c r="AE441" s="350"/>
      <c r="AF441" s="350"/>
      <c r="AG441" s="350"/>
      <c r="AH441" s="350"/>
      <c r="AI441" s="350"/>
      <c r="AJ441" s="350"/>
      <c r="AK441" s="350"/>
      <c r="AL441" s="350"/>
      <c r="AM441" s="350"/>
      <c r="AN441" s="350"/>
      <c r="AO441" s="350"/>
      <c r="AP441" s="350"/>
      <c r="AQ441" s="350"/>
      <c r="AR441" s="350"/>
      <c r="AS441" s="350"/>
      <c r="AT441" s="350"/>
      <c r="AU441" s="351"/>
      <c r="AV441" s="351"/>
      <c r="AW441" s="351"/>
      <c r="AX441" s="351"/>
      <c r="AY441" s="351"/>
      <c r="AZ441" s="351"/>
      <c r="BA441" s="351"/>
      <c r="BB441" s="351"/>
      <c r="BC441" s="351"/>
      <c r="BD441" s="351"/>
      <c r="BE441" s="351"/>
      <c r="BF441" s="351"/>
      <c r="BG441" s="351"/>
      <c r="BH441" s="351"/>
      <c r="BI441" s="351"/>
      <c r="BJ441" s="351"/>
      <c r="BK441" s="351"/>
      <c r="BL441" s="351"/>
      <c r="BM441" s="351"/>
      <c r="BN441" s="351"/>
      <c r="BO441" s="351"/>
      <c r="BP441" s="351"/>
      <c r="BQ441" s="351"/>
      <c r="BR441" s="351"/>
      <c r="BS441" s="351"/>
      <c r="BT441" s="351"/>
      <c r="BU441" s="351"/>
      <c r="BV441" s="351"/>
      <c r="BW441" s="351"/>
      <c r="BX441" s="351"/>
      <c r="BY441" s="351"/>
      <c r="BZ441" s="351"/>
      <c r="CA441" s="351"/>
      <c r="CB441" s="351"/>
      <c r="CC441" s="351"/>
      <c r="CD441" s="351"/>
      <c r="CE441" s="351"/>
      <c r="CF441" s="351"/>
      <c r="CG441" s="352"/>
    </row>
    <row r="442" spans="1:85" s="353" customFormat="1" ht="13.9" customHeight="1" x14ac:dyDescent="0.2">
      <c r="A442" s="337" t="s">
        <v>126</v>
      </c>
      <c r="B442" s="338">
        <v>40</v>
      </c>
      <c r="C442" s="339" t="s">
        <v>129</v>
      </c>
      <c r="D442" s="340" t="s">
        <v>63</v>
      </c>
      <c r="E442" s="341">
        <v>1200000</v>
      </c>
      <c r="F442" s="341">
        <v>12000000</v>
      </c>
      <c r="G442" s="341"/>
      <c r="H442" s="340" t="s">
        <v>251</v>
      </c>
      <c r="I442" s="339" t="s">
        <v>530</v>
      </c>
      <c r="J442" s="338">
        <v>1</v>
      </c>
      <c r="K442" s="338">
        <v>1</v>
      </c>
      <c r="L442" s="338">
        <v>11</v>
      </c>
      <c r="M442" s="342">
        <f t="shared" si="72"/>
        <v>1</v>
      </c>
      <c r="N442" s="343" t="s">
        <v>53</v>
      </c>
      <c r="O442" s="344" t="str">
        <f>IF(ISBLANK(N442),"",VLOOKUP(N442,[2]Parámetros!$G$2:$H$23,2,FALSE))</f>
        <v>Seléccion abreviada - acuerdo marco</v>
      </c>
      <c r="P442" s="345">
        <f t="shared" si="76"/>
        <v>1</v>
      </c>
      <c r="Q442" s="346">
        <f t="shared" si="73"/>
        <v>13200000</v>
      </c>
      <c r="R442" s="346">
        <f t="shared" si="74"/>
        <v>12000000</v>
      </c>
      <c r="S442" s="347" t="s">
        <v>223</v>
      </c>
      <c r="T442" s="345">
        <f t="shared" si="77"/>
        <v>0</v>
      </c>
      <c r="U442" s="348" t="str">
        <f t="shared" si="75"/>
        <v>SUBDIRECCION DE GESTION CONTRACTUAL</v>
      </c>
      <c r="V442" s="345" t="str">
        <f t="shared" si="78"/>
        <v>CO-DC</v>
      </c>
      <c r="W442" s="345" t="str">
        <f t="shared" si="79"/>
        <v>Distrito Capital de Bogotá</v>
      </c>
      <c r="X442" s="340" t="s">
        <v>511</v>
      </c>
      <c r="Y442" s="338">
        <v>2427400</v>
      </c>
      <c r="Z442" s="349" t="s">
        <v>512</v>
      </c>
      <c r="AA442" s="350"/>
      <c r="AB442" s="350"/>
      <c r="AC442" s="350"/>
      <c r="AD442" s="350"/>
      <c r="AE442" s="350"/>
      <c r="AF442" s="350"/>
      <c r="AG442" s="350"/>
      <c r="AH442" s="350"/>
      <c r="AI442" s="350"/>
      <c r="AJ442" s="350"/>
      <c r="AK442" s="350"/>
      <c r="AL442" s="350"/>
      <c r="AM442" s="350"/>
      <c r="AN442" s="350"/>
      <c r="AO442" s="350"/>
      <c r="AP442" s="350"/>
      <c r="AQ442" s="350"/>
      <c r="AR442" s="350"/>
      <c r="AS442" s="350"/>
      <c r="AT442" s="350"/>
      <c r="AU442" s="351"/>
      <c r="AV442" s="351"/>
      <c r="AW442" s="351"/>
      <c r="AX442" s="351"/>
      <c r="AY442" s="351"/>
      <c r="AZ442" s="351"/>
      <c r="BA442" s="351"/>
      <c r="BB442" s="351"/>
      <c r="BC442" s="351"/>
      <c r="BD442" s="351"/>
      <c r="BE442" s="351"/>
      <c r="BF442" s="351"/>
      <c r="BG442" s="351"/>
      <c r="BH442" s="351"/>
      <c r="BI442" s="351"/>
      <c r="BJ442" s="351"/>
      <c r="BK442" s="351"/>
      <c r="BL442" s="351"/>
      <c r="BM442" s="351"/>
      <c r="BN442" s="351"/>
      <c r="BO442" s="351"/>
      <c r="BP442" s="351"/>
      <c r="BQ442" s="351"/>
      <c r="BR442" s="351"/>
      <c r="BS442" s="351"/>
      <c r="BT442" s="351"/>
      <c r="BU442" s="351"/>
      <c r="BV442" s="351"/>
      <c r="BW442" s="351"/>
      <c r="BX442" s="351"/>
      <c r="BY442" s="351"/>
      <c r="BZ442" s="351"/>
      <c r="CA442" s="351"/>
      <c r="CB442" s="351"/>
      <c r="CC442" s="351"/>
      <c r="CD442" s="351"/>
      <c r="CE442" s="351"/>
      <c r="CF442" s="351"/>
      <c r="CG442" s="352"/>
    </row>
    <row r="443" spans="1:85" s="353" customFormat="1" ht="13.9" customHeight="1" x14ac:dyDescent="0.2">
      <c r="A443" s="337" t="s">
        <v>126</v>
      </c>
      <c r="B443" s="338">
        <v>41</v>
      </c>
      <c r="C443" s="339" t="s">
        <v>129</v>
      </c>
      <c r="D443" s="340" t="s">
        <v>63</v>
      </c>
      <c r="E443" s="341">
        <v>1145296</v>
      </c>
      <c r="F443" s="341">
        <v>11452963</v>
      </c>
      <c r="G443" s="341"/>
      <c r="H443" s="340" t="s">
        <v>251</v>
      </c>
      <c r="I443" s="339" t="s">
        <v>531</v>
      </c>
      <c r="J443" s="338">
        <v>1</v>
      </c>
      <c r="K443" s="338">
        <v>1</v>
      </c>
      <c r="L443" s="338">
        <v>11</v>
      </c>
      <c r="M443" s="342">
        <f t="shared" si="72"/>
        <v>1</v>
      </c>
      <c r="N443" s="343" t="s">
        <v>53</v>
      </c>
      <c r="O443" s="344" t="str">
        <f>IF(ISBLANK(N443),"",VLOOKUP(N443,[2]Parámetros!$G$2:$H$23,2,FALSE))</f>
        <v>Seléccion abreviada - acuerdo marco</v>
      </c>
      <c r="P443" s="345">
        <f t="shared" si="76"/>
        <v>1</v>
      </c>
      <c r="Q443" s="346">
        <f t="shared" si="73"/>
        <v>12598259</v>
      </c>
      <c r="R443" s="346">
        <f t="shared" si="74"/>
        <v>11452963</v>
      </c>
      <c r="S443" s="347" t="s">
        <v>223</v>
      </c>
      <c r="T443" s="345">
        <f t="shared" si="77"/>
        <v>0</v>
      </c>
      <c r="U443" s="348" t="str">
        <f t="shared" si="75"/>
        <v>SUBDIRECCION DE GESTION CONTRACTUAL</v>
      </c>
      <c r="V443" s="345" t="str">
        <f t="shared" si="78"/>
        <v>CO-DC</v>
      </c>
      <c r="W443" s="345" t="str">
        <f t="shared" si="79"/>
        <v>Distrito Capital de Bogotá</v>
      </c>
      <c r="X443" s="340" t="s">
        <v>511</v>
      </c>
      <c r="Y443" s="338">
        <v>2427400</v>
      </c>
      <c r="Z443" s="349" t="s">
        <v>512</v>
      </c>
      <c r="AA443" s="350"/>
      <c r="AB443" s="350"/>
      <c r="AC443" s="350"/>
      <c r="AD443" s="350"/>
      <c r="AE443" s="350"/>
      <c r="AF443" s="350"/>
      <c r="AG443" s="350"/>
      <c r="AH443" s="350"/>
      <c r="AI443" s="350"/>
      <c r="AJ443" s="350"/>
      <c r="AK443" s="350"/>
      <c r="AL443" s="350"/>
      <c r="AM443" s="350"/>
      <c r="AN443" s="350"/>
      <c r="AO443" s="350"/>
      <c r="AP443" s="350"/>
      <c r="AQ443" s="350"/>
      <c r="AR443" s="350"/>
      <c r="AS443" s="350"/>
      <c r="AT443" s="350"/>
      <c r="AU443" s="351"/>
      <c r="AV443" s="351"/>
      <c r="AW443" s="351"/>
      <c r="AX443" s="351"/>
      <c r="AY443" s="351"/>
      <c r="AZ443" s="351"/>
      <c r="BA443" s="351"/>
      <c r="BB443" s="351"/>
      <c r="BC443" s="351"/>
      <c r="BD443" s="351"/>
      <c r="BE443" s="351"/>
      <c r="BF443" s="351"/>
      <c r="BG443" s="351"/>
      <c r="BH443" s="351"/>
      <c r="BI443" s="351"/>
      <c r="BJ443" s="351"/>
      <c r="BK443" s="351"/>
      <c r="BL443" s="351"/>
      <c r="BM443" s="351"/>
      <c r="BN443" s="351"/>
      <c r="BO443" s="351"/>
      <c r="BP443" s="351"/>
      <c r="BQ443" s="351"/>
      <c r="BR443" s="351"/>
      <c r="BS443" s="351"/>
      <c r="BT443" s="351"/>
      <c r="BU443" s="351"/>
      <c r="BV443" s="351"/>
      <c r="BW443" s="351"/>
      <c r="BX443" s="351"/>
      <c r="BY443" s="351"/>
      <c r="BZ443" s="351"/>
      <c r="CA443" s="351"/>
      <c r="CB443" s="351"/>
      <c r="CC443" s="351"/>
      <c r="CD443" s="351"/>
      <c r="CE443" s="351"/>
      <c r="CF443" s="351"/>
      <c r="CG443" s="352"/>
    </row>
    <row r="444" spans="1:85" s="353" customFormat="1" ht="13.9" customHeight="1" x14ac:dyDescent="0.2">
      <c r="A444" s="337" t="s">
        <v>126</v>
      </c>
      <c r="B444" s="338">
        <v>42</v>
      </c>
      <c r="C444" s="339" t="s">
        <v>129</v>
      </c>
      <c r="D444" s="340" t="s">
        <v>63</v>
      </c>
      <c r="E444" s="341">
        <v>3000000</v>
      </c>
      <c r="F444" s="341">
        <v>30000000</v>
      </c>
      <c r="G444" s="341"/>
      <c r="H444" s="340" t="s">
        <v>251</v>
      </c>
      <c r="I444" s="339" t="s">
        <v>532</v>
      </c>
      <c r="J444" s="338">
        <v>1</v>
      </c>
      <c r="K444" s="338">
        <v>1</v>
      </c>
      <c r="L444" s="338">
        <v>11</v>
      </c>
      <c r="M444" s="342">
        <f t="shared" si="72"/>
        <v>1</v>
      </c>
      <c r="N444" s="343" t="s">
        <v>53</v>
      </c>
      <c r="O444" s="344" t="str">
        <f>IF(ISBLANK(N444),"",VLOOKUP(N444,[2]Parámetros!$G$2:$H$23,2,FALSE))</f>
        <v>Seléccion abreviada - acuerdo marco</v>
      </c>
      <c r="P444" s="345">
        <f t="shared" si="76"/>
        <v>1</v>
      </c>
      <c r="Q444" s="346">
        <f t="shared" si="73"/>
        <v>33000000</v>
      </c>
      <c r="R444" s="346">
        <f t="shared" si="74"/>
        <v>30000000</v>
      </c>
      <c r="S444" s="347" t="s">
        <v>223</v>
      </c>
      <c r="T444" s="345">
        <f t="shared" si="77"/>
        <v>0</v>
      </c>
      <c r="U444" s="348" t="str">
        <f t="shared" si="75"/>
        <v>SUBDIRECCION DE GESTION CONTRACTUAL</v>
      </c>
      <c r="V444" s="345" t="str">
        <f t="shared" si="78"/>
        <v>CO-DC</v>
      </c>
      <c r="W444" s="345" t="str">
        <f t="shared" si="79"/>
        <v>Distrito Capital de Bogotá</v>
      </c>
      <c r="X444" s="340" t="s">
        <v>511</v>
      </c>
      <c r="Y444" s="338">
        <v>2427400</v>
      </c>
      <c r="Z444" s="349" t="s">
        <v>512</v>
      </c>
      <c r="AA444" s="350"/>
      <c r="AB444" s="350"/>
      <c r="AC444" s="350"/>
      <c r="AD444" s="350"/>
      <c r="AE444" s="350"/>
      <c r="AF444" s="350"/>
      <c r="AG444" s="350"/>
      <c r="AH444" s="350"/>
      <c r="AI444" s="350"/>
      <c r="AJ444" s="350"/>
      <c r="AK444" s="350"/>
      <c r="AL444" s="350"/>
      <c r="AM444" s="350"/>
      <c r="AN444" s="350"/>
      <c r="AO444" s="350"/>
      <c r="AP444" s="350"/>
      <c r="AQ444" s="350"/>
      <c r="AR444" s="350"/>
      <c r="AS444" s="350"/>
      <c r="AT444" s="350"/>
      <c r="AU444" s="351"/>
      <c r="AV444" s="351"/>
      <c r="AW444" s="351"/>
      <c r="AX444" s="351"/>
      <c r="AY444" s="351"/>
      <c r="AZ444" s="351"/>
      <c r="BA444" s="351"/>
      <c r="BB444" s="351"/>
      <c r="BC444" s="351"/>
      <c r="BD444" s="351"/>
      <c r="BE444" s="351"/>
      <c r="BF444" s="351"/>
      <c r="BG444" s="351"/>
      <c r="BH444" s="351"/>
      <c r="BI444" s="351"/>
      <c r="BJ444" s="351"/>
      <c r="BK444" s="351"/>
      <c r="BL444" s="351"/>
      <c r="BM444" s="351"/>
      <c r="BN444" s="351"/>
      <c r="BO444" s="351"/>
      <c r="BP444" s="351"/>
      <c r="BQ444" s="351"/>
      <c r="BR444" s="351"/>
      <c r="BS444" s="351"/>
      <c r="BT444" s="351"/>
      <c r="BU444" s="351"/>
      <c r="BV444" s="351"/>
      <c r="BW444" s="351"/>
      <c r="BX444" s="351"/>
      <c r="BY444" s="351"/>
      <c r="BZ444" s="351"/>
      <c r="CA444" s="351"/>
      <c r="CB444" s="351"/>
      <c r="CC444" s="351"/>
      <c r="CD444" s="351"/>
      <c r="CE444" s="351"/>
      <c r="CF444" s="351"/>
      <c r="CG444" s="352"/>
    </row>
    <row r="445" spans="1:85" s="348" customFormat="1" ht="12.75" customHeight="1" x14ac:dyDescent="0.2">
      <c r="A445" s="337" t="s">
        <v>126</v>
      </c>
      <c r="B445" s="338">
        <v>43</v>
      </c>
      <c r="C445" s="339" t="s">
        <v>129</v>
      </c>
      <c r="D445" s="340" t="s">
        <v>63</v>
      </c>
      <c r="E445" s="341">
        <f>7672731+1200000</f>
        <v>8872731</v>
      </c>
      <c r="F445" s="341">
        <v>88727312</v>
      </c>
      <c r="G445" s="341"/>
      <c r="H445" s="340" t="s">
        <v>251</v>
      </c>
      <c r="I445" s="339" t="s">
        <v>533</v>
      </c>
      <c r="J445" s="338">
        <v>1</v>
      </c>
      <c r="K445" s="338">
        <v>1</v>
      </c>
      <c r="L445" s="338">
        <v>11</v>
      </c>
      <c r="M445" s="342">
        <f t="shared" si="72"/>
        <v>1</v>
      </c>
      <c r="N445" s="343" t="s">
        <v>53</v>
      </c>
      <c r="O445" s="344" t="str">
        <f>IF(ISBLANK(N445),"",VLOOKUP(N445,[2]Parámetros!$G$2:$H$23,2,FALSE))</f>
        <v>Seléccion abreviada - acuerdo marco</v>
      </c>
      <c r="P445" s="345">
        <f t="shared" si="76"/>
        <v>1</v>
      </c>
      <c r="Q445" s="346">
        <f t="shared" si="73"/>
        <v>97600043</v>
      </c>
      <c r="R445" s="346">
        <f t="shared" si="74"/>
        <v>88727312</v>
      </c>
      <c r="S445" s="347" t="s">
        <v>223</v>
      </c>
      <c r="T445" s="345">
        <f t="shared" si="77"/>
        <v>0</v>
      </c>
      <c r="U445" s="348" t="str">
        <f t="shared" si="75"/>
        <v>SUBDIRECCION DE GESTION CONTRACTUAL</v>
      </c>
      <c r="V445" s="345" t="str">
        <f t="shared" si="78"/>
        <v>CO-DC</v>
      </c>
      <c r="W445" s="345" t="str">
        <f t="shared" si="79"/>
        <v>Distrito Capital de Bogotá</v>
      </c>
      <c r="X445" s="340" t="s">
        <v>511</v>
      </c>
      <c r="Y445" s="338">
        <v>2427400</v>
      </c>
      <c r="Z445" s="349" t="s">
        <v>512</v>
      </c>
      <c r="AA445" s="350"/>
      <c r="AB445" s="350"/>
      <c r="AC445" s="350"/>
      <c r="AD445" s="350"/>
      <c r="AE445" s="350"/>
      <c r="AF445" s="350"/>
      <c r="AG445" s="350"/>
      <c r="AH445" s="350"/>
      <c r="AI445" s="350"/>
      <c r="AJ445" s="350"/>
      <c r="AK445" s="350"/>
      <c r="AL445" s="350"/>
      <c r="AM445" s="350"/>
      <c r="AN445" s="350"/>
      <c r="AO445" s="350"/>
      <c r="AP445" s="350"/>
      <c r="AQ445" s="350"/>
      <c r="AR445" s="350"/>
      <c r="AS445" s="350"/>
      <c r="AT445" s="350"/>
      <c r="AU445" s="351"/>
      <c r="AV445" s="351"/>
      <c r="AW445" s="351"/>
      <c r="AX445" s="351"/>
      <c r="AY445" s="351"/>
      <c r="AZ445" s="351"/>
      <c r="BA445" s="351"/>
      <c r="BB445" s="351"/>
      <c r="BC445" s="351"/>
      <c r="BD445" s="351"/>
      <c r="BE445" s="351"/>
      <c r="BF445" s="351"/>
      <c r="BG445" s="351"/>
      <c r="BH445" s="351"/>
      <c r="BI445" s="351"/>
      <c r="BJ445" s="351"/>
      <c r="BK445" s="351"/>
      <c r="BL445" s="351"/>
      <c r="BM445" s="351"/>
      <c r="BN445" s="351"/>
      <c r="BO445" s="351"/>
      <c r="BP445" s="351"/>
      <c r="BQ445" s="351"/>
      <c r="BR445" s="351"/>
      <c r="BS445" s="351"/>
      <c r="BT445" s="351"/>
      <c r="BU445" s="351"/>
      <c r="BV445" s="351"/>
      <c r="BW445" s="351"/>
      <c r="BX445" s="351"/>
      <c r="BY445" s="351"/>
      <c r="BZ445" s="351"/>
      <c r="CA445" s="351"/>
      <c r="CB445" s="351"/>
      <c r="CC445" s="351"/>
      <c r="CD445" s="351"/>
      <c r="CE445" s="351"/>
      <c r="CF445" s="351"/>
      <c r="CG445" s="352"/>
    </row>
    <row r="446" spans="1:85" s="353" customFormat="1" ht="13.9" customHeight="1" x14ac:dyDescent="0.2">
      <c r="A446" s="337" t="s">
        <v>126</v>
      </c>
      <c r="B446" s="338">
        <v>44</v>
      </c>
      <c r="C446" s="339" t="s">
        <v>129</v>
      </c>
      <c r="D446" s="340" t="s">
        <v>63</v>
      </c>
      <c r="E446" s="341">
        <f>1100000*3+1400000</f>
        <v>4700000</v>
      </c>
      <c r="F446" s="341">
        <v>47000000</v>
      </c>
      <c r="G446" s="341"/>
      <c r="H446" s="340" t="s">
        <v>251</v>
      </c>
      <c r="I446" s="339" t="s">
        <v>534</v>
      </c>
      <c r="J446" s="338">
        <v>1</v>
      </c>
      <c r="K446" s="338">
        <v>1</v>
      </c>
      <c r="L446" s="338">
        <v>11</v>
      </c>
      <c r="M446" s="342">
        <f t="shared" si="72"/>
        <v>1</v>
      </c>
      <c r="N446" s="343" t="s">
        <v>53</v>
      </c>
      <c r="O446" s="344" t="str">
        <f>IF(ISBLANK(N446),"",VLOOKUP(N446,[2]Parámetros!$G$2:$H$23,2,FALSE))</f>
        <v>Seléccion abreviada - acuerdo marco</v>
      </c>
      <c r="P446" s="345">
        <f t="shared" si="76"/>
        <v>1</v>
      </c>
      <c r="Q446" s="346">
        <f t="shared" si="73"/>
        <v>51700000</v>
      </c>
      <c r="R446" s="346">
        <f t="shared" si="74"/>
        <v>47000000</v>
      </c>
      <c r="S446" s="347" t="s">
        <v>223</v>
      </c>
      <c r="T446" s="345">
        <f t="shared" si="77"/>
        <v>0</v>
      </c>
      <c r="U446" s="348" t="str">
        <f t="shared" si="75"/>
        <v>SUBDIRECCION DE GESTION CONTRACTUAL</v>
      </c>
      <c r="V446" s="345" t="str">
        <f t="shared" si="78"/>
        <v>CO-DC</v>
      </c>
      <c r="W446" s="345" t="str">
        <f t="shared" si="79"/>
        <v>Distrito Capital de Bogotá</v>
      </c>
      <c r="X446" s="340" t="s">
        <v>511</v>
      </c>
      <c r="Y446" s="338">
        <v>2427400</v>
      </c>
      <c r="Z446" s="349" t="s">
        <v>512</v>
      </c>
      <c r="AA446" s="350"/>
      <c r="AB446" s="350"/>
      <c r="AC446" s="350"/>
      <c r="AD446" s="350"/>
      <c r="AE446" s="350"/>
      <c r="AF446" s="350"/>
      <c r="AG446" s="350"/>
      <c r="AH446" s="350"/>
      <c r="AI446" s="350"/>
      <c r="AJ446" s="350"/>
      <c r="AK446" s="350"/>
      <c r="AL446" s="350"/>
      <c r="AM446" s="350"/>
      <c r="AN446" s="350"/>
      <c r="AO446" s="350"/>
      <c r="AP446" s="350"/>
      <c r="AQ446" s="350"/>
      <c r="AR446" s="350"/>
      <c r="AS446" s="350"/>
      <c r="AT446" s="350"/>
      <c r="AU446" s="351"/>
      <c r="AV446" s="351"/>
      <c r="AW446" s="351"/>
      <c r="AX446" s="351"/>
      <c r="AY446" s="351"/>
      <c r="AZ446" s="351"/>
      <c r="BA446" s="351"/>
      <c r="BB446" s="351"/>
      <c r="BC446" s="351"/>
      <c r="BD446" s="351"/>
      <c r="BE446" s="351"/>
      <c r="BF446" s="351"/>
      <c r="BG446" s="351"/>
      <c r="BH446" s="351"/>
      <c r="BI446" s="351"/>
      <c r="BJ446" s="351"/>
      <c r="BK446" s="351"/>
      <c r="BL446" s="351"/>
      <c r="BM446" s="351"/>
      <c r="BN446" s="351"/>
      <c r="BO446" s="351"/>
      <c r="BP446" s="351"/>
      <c r="BQ446" s="351"/>
      <c r="BR446" s="351"/>
      <c r="BS446" s="351"/>
      <c r="BT446" s="351"/>
      <c r="BU446" s="351"/>
      <c r="BV446" s="351"/>
      <c r="BW446" s="351"/>
      <c r="BX446" s="351"/>
      <c r="BY446" s="351"/>
      <c r="BZ446" s="351"/>
      <c r="CA446" s="351"/>
      <c r="CB446" s="351"/>
      <c r="CC446" s="351"/>
      <c r="CD446" s="351"/>
      <c r="CE446" s="351"/>
      <c r="CF446" s="351"/>
      <c r="CG446" s="352"/>
    </row>
    <row r="447" spans="1:85" s="348" customFormat="1" ht="12.75" customHeight="1" x14ac:dyDescent="0.2">
      <c r="A447" s="337" t="s">
        <v>126</v>
      </c>
      <c r="B447" s="338">
        <v>45</v>
      </c>
      <c r="C447" s="339" t="s">
        <v>129</v>
      </c>
      <c r="D447" s="340" t="s">
        <v>63</v>
      </c>
      <c r="E447" s="341">
        <f>1100000*2</f>
        <v>2200000</v>
      </c>
      <c r="F447" s="341">
        <v>22000000</v>
      </c>
      <c r="G447" s="341"/>
      <c r="H447" s="340" t="s">
        <v>251</v>
      </c>
      <c r="I447" s="339" t="s">
        <v>862</v>
      </c>
      <c r="J447" s="338">
        <v>1</v>
      </c>
      <c r="K447" s="338">
        <v>1</v>
      </c>
      <c r="L447" s="338">
        <v>11</v>
      </c>
      <c r="M447" s="342">
        <f t="shared" si="72"/>
        <v>1</v>
      </c>
      <c r="N447" s="343" t="s">
        <v>53</v>
      </c>
      <c r="O447" s="344" t="str">
        <f>IF(ISBLANK(N447),"",VLOOKUP(N447,[2]Parámetros!$G$2:$H$23,2,FALSE))</f>
        <v>Seléccion abreviada - acuerdo marco</v>
      </c>
      <c r="P447" s="345">
        <f t="shared" si="76"/>
        <v>1</v>
      </c>
      <c r="Q447" s="346">
        <f t="shared" si="73"/>
        <v>24200000</v>
      </c>
      <c r="R447" s="346">
        <f t="shared" si="74"/>
        <v>22000000</v>
      </c>
      <c r="S447" s="347" t="s">
        <v>223</v>
      </c>
      <c r="T447" s="345">
        <f t="shared" si="77"/>
        <v>0</v>
      </c>
      <c r="U447" s="348" t="str">
        <f t="shared" si="75"/>
        <v>SUBDIRECCION DE GESTION CONTRACTUAL</v>
      </c>
      <c r="V447" s="345" t="str">
        <f t="shared" si="78"/>
        <v>CO-DC</v>
      </c>
      <c r="W447" s="345" t="str">
        <f t="shared" si="79"/>
        <v>Distrito Capital de Bogotá</v>
      </c>
      <c r="X447" s="340" t="s">
        <v>511</v>
      </c>
      <c r="Y447" s="338">
        <v>2427400</v>
      </c>
      <c r="Z447" s="349" t="s">
        <v>512</v>
      </c>
      <c r="AA447" s="350"/>
      <c r="AB447" s="350"/>
      <c r="AC447" s="350"/>
      <c r="AD447" s="350"/>
      <c r="AE447" s="350"/>
      <c r="AF447" s="350"/>
      <c r="AG447" s="350"/>
      <c r="AH447" s="350"/>
      <c r="AI447" s="350"/>
      <c r="AJ447" s="350"/>
      <c r="AK447" s="350"/>
      <c r="AL447" s="350"/>
      <c r="AM447" s="350"/>
      <c r="AN447" s="350"/>
      <c r="AO447" s="350"/>
      <c r="AP447" s="350"/>
      <c r="AQ447" s="350"/>
      <c r="AR447" s="350"/>
      <c r="AS447" s="350"/>
      <c r="AT447" s="350"/>
      <c r="AU447" s="351"/>
      <c r="AV447" s="351"/>
      <c r="AW447" s="351"/>
      <c r="AX447" s="351"/>
      <c r="AY447" s="351"/>
      <c r="AZ447" s="351"/>
      <c r="BA447" s="351"/>
      <c r="BB447" s="351"/>
      <c r="BC447" s="351"/>
      <c r="BD447" s="351"/>
      <c r="BE447" s="351"/>
      <c r="BF447" s="351"/>
      <c r="BG447" s="351"/>
      <c r="BH447" s="351"/>
      <c r="BI447" s="351"/>
      <c r="BJ447" s="351"/>
      <c r="BK447" s="351"/>
      <c r="BL447" s="351"/>
      <c r="BM447" s="351"/>
      <c r="BN447" s="351"/>
      <c r="BO447" s="351"/>
      <c r="BP447" s="351"/>
      <c r="BQ447" s="351"/>
      <c r="BR447" s="351"/>
      <c r="BS447" s="351"/>
      <c r="BT447" s="351"/>
      <c r="BU447" s="351"/>
      <c r="BV447" s="351"/>
      <c r="BW447" s="351"/>
      <c r="BX447" s="351"/>
      <c r="BY447" s="351"/>
      <c r="BZ447" s="351"/>
      <c r="CA447" s="351"/>
      <c r="CB447" s="351"/>
      <c r="CC447" s="351"/>
      <c r="CD447" s="351"/>
      <c r="CE447" s="351"/>
      <c r="CF447" s="351"/>
      <c r="CG447" s="352"/>
    </row>
    <row r="448" spans="1:85" s="353" customFormat="1" ht="13.9" customHeight="1" x14ac:dyDescent="0.2">
      <c r="A448" s="337" t="s">
        <v>126</v>
      </c>
      <c r="B448" s="338">
        <v>46</v>
      </c>
      <c r="C448" s="339" t="s">
        <v>129</v>
      </c>
      <c r="D448" s="340" t="s">
        <v>63</v>
      </c>
      <c r="E448" s="341">
        <v>0</v>
      </c>
      <c r="F448" s="341">
        <v>0</v>
      </c>
      <c r="G448" s="341"/>
      <c r="H448" s="340" t="s">
        <v>251</v>
      </c>
      <c r="I448" s="339" t="s">
        <v>866</v>
      </c>
      <c r="J448" s="338">
        <v>1</v>
      </c>
      <c r="K448" s="338">
        <v>1</v>
      </c>
      <c r="L448" s="338">
        <v>11</v>
      </c>
      <c r="M448" s="342">
        <f t="shared" si="72"/>
        <v>1</v>
      </c>
      <c r="N448" s="343" t="s">
        <v>53</v>
      </c>
      <c r="O448" s="344" t="str">
        <f>IF(ISBLANK(N448),"",VLOOKUP(N448,[2]Parámetros!$G$2:$H$23,2,FALSE))</f>
        <v>Seléccion abreviada - acuerdo marco</v>
      </c>
      <c r="P448" s="345">
        <f t="shared" si="76"/>
        <v>1</v>
      </c>
      <c r="Q448" s="346">
        <f t="shared" si="73"/>
        <v>0</v>
      </c>
      <c r="R448" s="346">
        <f t="shared" si="74"/>
        <v>0</v>
      </c>
      <c r="S448" s="347" t="s">
        <v>223</v>
      </c>
      <c r="T448" s="345">
        <f t="shared" si="77"/>
        <v>0</v>
      </c>
      <c r="U448" s="348" t="str">
        <f t="shared" si="75"/>
        <v>SUBDIRECCION DE GESTION CONTRACTUAL</v>
      </c>
      <c r="V448" s="345" t="str">
        <f t="shared" si="78"/>
        <v>CO-DC</v>
      </c>
      <c r="W448" s="345" t="str">
        <f t="shared" si="79"/>
        <v>Distrito Capital de Bogotá</v>
      </c>
      <c r="X448" s="340" t="s">
        <v>511</v>
      </c>
      <c r="Y448" s="338">
        <v>2427400</v>
      </c>
      <c r="Z448" s="349" t="s">
        <v>512</v>
      </c>
      <c r="AA448" s="350"/>
      <c r="AB448" s="350"/>
      <c r="AC448" s="350"/>
      <c r="AD448" s="350"/>
      <c r="AE448" s="350"/>
      <c r="AF448" s="350"/>
      <c r="AG448" s="350"/>
      <c r="AH448" s="350"/>
      <c r="AI448" s="350"/>
      <c r="AJ448" s="350"/>
      <c r="AK448" s="350"/>
      <c r="AL448" s="350"/>
      <c r="AM448" s="350"/>
      <c r="AN448" s="350"/>
      <c r="AO448" s="350"/>
      <c r="AP448" s="350"/>
      <c r="AQ448" s="350"/>
      <c r="AR448" s="350"/>
      <c r="AS448" s="350"/>
      <c r="AT448" s="350"/>
      <c r="AU448" s="351"/>
      <c r="AV448" s="351"/>
      <c r="AW448" s="351"/>
      <c r="AX448" s="351"/>
      <c r="AY448" s="351"/>
      <c r="AZ448" s="351"/>
      <c r="BA448" s="351"/>
      <c r="BB448" s="351"/>
      <c r="BC448" s="351"/>
      <c r="BD448" s="351"/>
      <c r="BE448" s="351"/>
      <c r="BF448" s="351"/>
      <c r="BG448" s="351"/>
      <c r="BH448" s="351"/>
      <c r="BI448" s="351"/>
      <c r="BJ448" s="351"/>
      <c r="BK448" s="351"/>
      <c r="BL448" s="351"/>
      <c r="BM448" s="351"/>
      <c r="BN448" s="351"/>
      <c r="BO448" s="351"/>
      <c r="BP448" s="351"/>
      <c r="BQ448" s="351"/>
      <c r="BR448" s="351"/>
      <c r="BS448" s="351"/>
      <c r="BT448" s="351"/>
      <c r="BU448" s="351"/>
      <c r="BV448" s="351"/>
      <c r="BW448" s="351"/>
      <c r="BX448" s="351"/>
      <c r="BY448" s="351"/>
      <c r="BZ448" s="351"/>
      <c r="CA448" s="351"/>
      <c r="CB448" s="351"/>
      <c r="CC448" s="351"/>
      <c r="CD448" s="351"/>
      <c r="CE448" s="351"/>
      <c r="CF448" s="351"/>
      <c r="CG448" s="352"/>
    </row>
    <row r="449" spans="1:85" s="348" customFormat="1" ht="12.75" customHeight="1" x14ac:dyDescent="0.2">
      <c r="A449" s="337" t="s">
        <v>126</v>
      </c>
      <c r="B449" s="338">
        <v>47</v>
      </c>
      <c r="C449" s="339" t="s">
        <v>129</v>
      </c>
      <c r="D449" s="340" t="s">
        <v>63</v>
      </c>
      <c r="E449" s="341"/>
      <c r="F449" s="341">
        <v>18533351</v>
      </c>
      <c r="G449" s="341"/>
      <c r="H449" s="340" t="s">
        <v>251</v>
      </c>
      <c r="I449" s="339" t="s">
        <v>535</v>
      </c>
      <c r="J449" s="338">
        <v>11</v>
      </c>
      <c r="K449" s="338">
        <v>11</v>
      </c>
      <c r="L449" s="338">
        <v>12</v>
      </c>
      <c r="M449" s="342">
        <f t="shared" si="72"/>
        <v>1</v>
      </c>
      <c r="N449" s="347" t="s">
        <v>53</v>
      </c>
      <c r="O449" s="355" t="str">
        <f>IF(ISBLANK(N449),"",VLOOKUP(N449,[2]Parámetros!$G$2:$H$23,2,FALSE))</f>
        <v>Seléccion abreviada - acuerdo marco</v>
      </c>
      <c r="P449" s="345">
        <f t="shared" si="76"/>
        <v>1</v>
      </c>
      <c r="Q449" s="346">
        <f t="shared" si="73"/>
        <v>18533351</v>
      </c>
      <c r="R449" s="346">
        <f t="shared" si="74"/>
        <v>18533351</v>
      </c>
      <c r="S449" s="347" t="s">
        <v>223</v>
      </c>
      <c r="T449" s="345">
        <f t="shared" si="77"/>
        <v>0</v>
      </c>
      <c r="U449" s="348" t="str">
        <f t="shared" si="75"/>
        <v>SUBDIRECCION DE GESTION CONTRACTUAL</v>
      </c>
      <c r="V449" s="342" t="str">
        <f t="shared" si="78"/>
        <v>CO-DC</v>
      </c>
      <c r="W449" s="345" t="str">
        <f t="shared" si="79"/>
        <v>Distrito Capital de Bogotá</v>
      </c>
      <c r="X449" s="340" t="s">
        <v>511</v>
      </c>
      <c r="Y449" s="338">
        <v>2427400</v>
      </c>
      <c r="Z449" s="349" t="s">
        <v>512</v>
      </c>
      <c r="AA449" s="350"/>
      <c r="AB449" s="350"/>
      <c r="AC449" s="350"/>
      <c r="AD449" s="350"/>
      <c r="AE449" s="350"/>
      <c r="AF449" s="350"/>
      <c r="AG449" s="350"/>
      <c r="AH449" s="350"/>
      <c r="AI449" s="350"/>
      <c r="AJ449" s="350"/>
      <c r="AK449" s="350"/>
      <c r="AL449" s="350"/>
      <c r="AM449" s="350"/>
      <c r="AN449" s="350"/>
      <c r="AO449" s="350"/>
      <c r="AP449" s="350"/>
      <c r="AQ449" s="350"/>
      <c r="AR449" s="350"/>
      <c r="AS449" s="350"/>
      <c r="AT449" s="350"/>
      <c r="AU449" s="351"/>
      <c r="AV449" s="351"/>
      <c r="AW449" s="351"/>
      <c r="AX449" s="351"/>
      <c r="AY449" s="351"/>
      <c r="AZ449" s="351"/>
      <c r="BA449" s="351"/>
      <c r="BB449" s="351"/>
      <c r="BC449" s="351"/>
      <c r="BD449" s="351"/>
      <c r="BE449" s="351"/>
      <c r="BF449" s="351"/>
      <c r="BG449" s="351"/>
      <c r="BH449" s="351"/>
      <c r="BI449" s="351"/>
      <c r="BJ449" s="351"/>
      <c r="BK449" s="351"/>
      <c r="BL449" s="351"/>
      <c r="BM449" s="351"/>
      <c r="BN449" s="351"/>
      <c r="BO449" s="351"/>
      <c r="BP449" s="351"/>
      <c r="BQ449" s="351"/>
      <c r="BR449" s="351"/>
      <c r="BS449" s="351"/>
      <c r="BT449" s="351"/>
      <c r="BU449" s="351"/>
      <c r="BV449" s="351"/>
      <c r="BW449" s="351"/>
      <c r="BX449" s="351"/>
      <c r="BY449" s="351"/>
      <c r="BZ449" s="351"/>
      <c r="CA449" s="351"/>
      <c r="CB449" s="351"/>
      <c r="CC449" s="351"/>
      <c r="CD449" s="351"/>
      <c r="CE449" s="351"/>
      <c r="CF449" s="351"/>
      <c r="CG449" s="352"/>
    </row>
    <row r="450" spans="1:85" s="348" customFormat="1" ht="12.75" customHeight="1" x14ac:dyDescent="0.2">
      <c r="A450" s="337" t="s">
        <v>126</v>
      </c>
      <c r="B450" s="338">
        <v>48</v>
      </c>
      <c r="C450" s="339" t="s">
        <v>129</v>
      </c>
      <c r="D450" s="340" t="s">
        <v>144</v>
      </c>
      <c r="E450" s="341"/>
      <c r="F450" s="341">
        <f>26000000</f>
        <v>26000000</v>
      </c>
      <c r="G450" s="341"/>
      <c r="H450" s="340">
        <v>82121700</v>
      </c>
      <c r="I450" s="339" t="s">
        <v>536</v>
      </c>
      <c r="J450" s="338">
        <v>2</v>
      </c>
      <c r="K450" s="338">
        <v>3</v>
      </c>
      <c r="L450" s="338">
        <v>11</v>
      </c>
      <c r="M450" s="342">
        <f t="shared" si="72"/>
        <v>1</v>
      </c>
      <c r="N450" s="343" t="s">
        <v>48</v>
      </c>
      <c r="O450" s="344" t="str">
        <f>IF(ISBLANK(N450),"",VLOOKUP(N450,[2]Parámetros!$G$2:$H$23,2,FALSE))</f>
        <v>Mínima cuantía</v>
      </c>
      <c r="P450" s="345">
        <f t="shared" ref="P450:P469" si="80">IF(ISBLANK(N450),"",1)</f>
        <v>1</v>
      </c>
      <c r="Q450" s="346">
        <f t="shared" si="73"/>
        <v>26000000</v>
      </c>
      <c r="R450" s="346">
        <f t="shared" si="74"/>
        <v>26000000</v>
      </c>
      <c r="S450" s="347" t="s">
        <v>223</v>
      </c>
      <c r="T450" s="345">
        <f t="shared" ref="T450:T469" si="81">IF(ISBLANK(S450),"",IF(VALUE(S450)=0,0,IF(VALUE(S450)=1,3,"")))</f>
        <v>0</v>
      </c>
      <c r="U450" s="348" t="str">
        <f t="shared" si="75"/>
        <v>SUBDIRECCION DE GESTION CONTRACTUAL</v>
      </c>
      <c r="V450" s="345" t="str">
        <f t="shared" si="78"/>
        <v>CO-DC</v>
      </c>
      <c r="W450" s="345" t="str">
        <f t="shared" si="79"/>
        <v>Distrito Capital de Bogotá</v>
      </c>
      <c r="X450" s="340" t="s">
        <v>500</v>
      </c>
      <c r="Y450" s="338">
        <v>2427400</v>
      </c>
      <c r="Z450" s="349" t="s">
        <v>131</v>
      </c>
      <c r="AA450" s="350"/>
      <c r="AB450" s="350"/>
      <c r="AC450" s="350"/>
      <c r="AD450" s="350"/>
      <c r="AE450" s="350"/>
      <c r="AF450" s="350"/>
      <c r="AG450" s="350"/>
      <c r="AH450" s="350"/>
      <c r="AI450" s="350"/>
      <c r="AJ450" s="350"/>
      <c r="AK450" s="350"/>
      <c r="AL450" s="350"/>
      <c r="AM450" s="350"/>
      <c r="AN450" s="350"/>
      <c r="AO450" s="350"/>
      <c r="AP450" s="350"/>
      <c r="AQ450" s="350"/>
      <c r="AR450" s="350"/>
      <c r="AS450" s="350"/>
      <c r="AT450" s="350"/>
      <c r="AU450" s="351"/>
      <c r="AV450" s="351"/>
      <c r="AW450" s="351"/>
      <c r="AX450" s="351"/>
      <c r="AY450" s="351"/>
      <c r="AZ450" s="351"/>
      <c r="BA450" s="351"/>
      <c r="BB450" s="351"/>
      <c r="BC450" s="351"/>
      <c r="BD450" s="351"/>
      <c r="BE450" s="351"/>
      <c r="BF450" s="351"/>
      <c r="BG450" s="351"/>
      <c r="BH450" s="351"/>
      <c r="BI450" s="351"/>
      <c r="BJ450" s="351"/>
      <c r="BK450" s="351"/>
      <c r="BL450" s="351"/>
      <c r="BM450" s="351"/>
      <c r="BN450" s="351"/>
      <c r="BO450" s="351"/>
      <c r="BP450" s="351"/>
      <c r="BQ450" s="351"/>
      <c r="BR450" s="351"/>
      <c r="BS450" s="351"/>
      <c r="BT450" s="351"/>
      <c r="BU450" s="351"/>
      <c r="BV450" s="351"/>
      <c r="BW450" s="351"/>
      <c r="BX450" s="351"/>
      <c r="BY450" s="351"/>
      <c r="BZ450" s="351"/>
      <c r="CA450" s="351"/>
      <c r="CB450" s="351"/>
      <c r="CC450" s="351"/>
      <c r="CD450" s="351"/>
      <c r="CE450" s="351"/>
      <c r="CF450" s="351"/>
      <c r="CG450" s="352"/>
    </row>
    <row r="451" spans="1:85" s="348" customFormat="1" ht="12.75" customHeight="1" x14ac:dyDescent="0.2">
      <c r="A451" s="337" t="s">
        <v>126</v>
      </c>
      <c r="B451" s="338">
        <v>49</v>
      </c>
      <c r="C451" s="339" t="s">
        <v>129</v>
      </c>
      <c r="D451" s="340" t="s">
        <v>123</v>
      </c>
      <c r="E451" s="341"/>
      <c r="F451" s="341">
        <f>11013429</f>
        <v>11013429</v>
      </c>
      <c r="G451" s="341"/>
      <c r="H451" s="340" t="s">
        <v>279</v>
      </c>
      <c r="I451" s="339" t="s">
        <v>537</v>
      </c>
      <c r="J451" s="338">
        <v>3</v>
      </c>
      <c r="K451" s="338">
        <v>4</v>
      </c>
      <c r="L451" s="338">
        <v>8</v>
      </c>
      <c r="M451" s="342">
        <f t="shared" si="72"/>
        <v>1</v>
      </c>
      <c r="N451" s="343" t="s">
        <v>43</v>
      </c>
      <c r="O451" s="344" t="str">
        <f>IF(ISBLANK(N451),"",VLOOKUP(N451,[2]Parámetros!$G$2:$H$23,2,FALSE))</f>
        <v>Selección abreviada subasta inversa</v>
      </c>
      <c r="P451" s="345">
        <f t="shared" si="80"/>
        <v>1</v>
      </c>
      <c r="Q451" s="346">
        <f t="shared" si="73"/>
        <v>11013429</v>
      </c>
      <c r="R451" s="346">
        <f t="shared" si="74"/>
        <v>11013429</v>
      </c>
      <c r="S451" s="347" t="s">
        <v>223</v>
      </c>
      <c r="T451" s="345">
        <f t="shared" si="81"/>
        <v>0</v>
      </c>
      <c r="U451" s="348" t="str">
        <f t="shared" si="75"/>
        <v>SUBDIRECCION DE GESTION CONTRACTUAL</v>
      </c>
      <c r="V451" s="345" t="str">
        <f t="shared" si="78"/>
        <v>CO-DC</v>
      </c>
      <c r="W451" s="345" t="str">
        <f t="shared" si="79"/>
        <v>Distrito Capital de Bogotá</v>
      </c>
      <c r="X451" s="340" t="s">
        <v>73</v>
      </c>
      <c r="Y451" s="338">
        <v>2427400</v>
      </c>
      <c r="Z451" s="349" t="s">
        <v>74</v>
      </c>
      <c r="AA451" s="350"/>
      <c r="AB451" s="350"/>
      <c r="AC451" s="350"/>
      <c r="AD451" s="350"/>
      <c r="AE451" s="350"/>
      <c r="AF451" s="350"/>
      <c r="AG451" s="350"/>
      <c r="AH451" s="350"/>
      <c r="AI451" s="350"/>
      <c r="AJ451" s="350"/>
      <c r="AK451" s="350"/>
      <c r="AL451" s="350"/>
      <c r="AM451" s="350"/>
      <c r="AN451" s="350"/>
      <c r="AO451" s="350"/>
      <c r="AP451" s="350"/>
      <c r="AQ451" s="350"/>
      <c r="AR451" s="350"/>
      <c r="AS451" s="350"/>
      <c r="AT451" s="350"/>
      <c r="AU451" s="351"/>
      <c r="AV451" s="351"/>
      <c r="AW451" s="351"/>
      <c r="AX451" s="351"/>
      <c r="AY451" s="351"/>
      <c r="AZ451" s="351"/>
      <c r="BA451" s="351"/>
      <c r="BB451" s="351"/>
      <c r="BC451" s="351"/>
      <c r="BD451" s="351"/>
      <c r="BE451" s="351"/>
      <c r="BF451" s="351"/>
      <c r="BG451" s="351"/>
      <c r="BH451" s="351"/>
      <c r="BI451" s="351"/>
      <c r="BJ451" s="351"/>
      <c r="BK451" s="351"/>
      <c r="BL451" s="351"/>
      <c r="BM451" s="351"/>
      <c r="BN451" s="351"/>
      <c r="BO451" s="351"/>
      <c r="BP451" s="351"/>
      <c r="BQ451" s="351"/>
      <c r="BR451" s="351"/>
      <c r="BS451" s="351"/>
      <c r="BT451" s="351"/>
      <c r="BU451" s="351"/>
      <c r="BV451" s="351"/>
      <c r="BW451" s="351"/>
      <c r="BX451" s="351"/>
      <c r="BY451" s="351"/>
      <c r="BZ451" s="351"/>
      <c r="CA451" s="351"/>
      <c r="CB451" s="351"/>
      <c r="CC451" s="351"/>
      <c r="CD451" s="351"/>
      <c r="CE451" s="351"/>
      <c r="CF451" s="351"/>
      <c r="CG451" s="352"/>
    </row>
    <row r="452" spans="1:85" s="348" customFormat="1" ht="12.75" customHeight="1" x14ac:dyDescent="0.2">
      <c r="A452" s="337" t="s">
        <v>126</v>
      </c>
      <c r="B452" s="338">
        <v>50</v>
      </c>
      <c r="C452" s="339" t="s">
        <v>129</v>
      </c>
      <c r="D452" s="340" t="s">
        <v>146</v>
      </c>
      <c r="E452" s="341">
        <v>23218050</v>
      </c>
      <c r="F452" s="341">
        <v>513351091</v>
      </c>
      <c r="G452" s="341"/>
      <c r="H452" s="340" t="s">
        <v>789</v>
      </c>
      <c r="I452" s="339" t="s">
        <v>538</v>
      </c>
      <c r="J452" s="356">
        <v>1</v>
      </c>
      <c r="K452" s="356">
        <v>1</v>
      </c>
      <c r="L452" s="356">
        <v>8</v>
      </c>
      <c r="M452" s="342">
        <f t="shared" si="72"/>
        <v>1</v>
      </c>
      <c r="N452" s="343" t="s">
        <v>36</v>
      </c>
      <c r="O452" s="344" t="str">
        <f>IF(ISBLANK(N452),"",VLOOKUP(N452,[2]Parámetros!$G$2:$H$23,2,FALSE))</f>
        <v xml:space="preserve">Contratación directa (con ofertas) </v>
      </c>
      <c r="P452" s="345">
        <f t="shared" si="80"/>
        <v>1</v>
      </c>
      <c r="Q452" s="346">
        <f t="shared" si="73"/>
        <v>536569141</v>
      </c>
      <c r="R452" s="346">
        <f t="shared" si="74"/>
        <v>513351091</v>
      </c>
      <c r="S452" s="347" t="s">
        <v>223</v>
      </c>
      <c r="T452" s="345">
        <f t="shared" si="81"/>
        <v>0</v>
      </c>
      <c r="U452" s="348" t="str">
        <f t="shared" si="75"/>
        <v>SUBDIRECCION DE GESTION CONTRACTUAL</v>
      </c>
      <c r="V452" s="345" t="str">
        <f t="shared" si="78"/>
        <v>CO-DC</v>
      </c>
      <c r="W452" s="345" t="str">
        <f t="shared" si="79"/>
        <v>Distrito Capital de Bogotá</v>
      </c>
      <c r="X452" s="340" t="s">
        <v>500</v>
      </c>
      <c r="Y452" s="338">
        <v>2427400</v>
      </c>
      <c r="Z452" s="349" t="s">
        <v>131</v>
      </c>
      <c r="AA452" s="350"/>
      <c r="AB452" s="350"/>
      <c r="AC452" s="350"/>
      <c r="AD452" s="350"/>
      <c r="AE452" s="350"/>
      <c r="AF452" s="350"/>
      <c r="AG452" s="350"/>
      <c r="AH452" s="350"/>
      <c r="AI452" s="350"/>
      <c r="AJ452" s="350"/>
      <c r="AK452" s="350"/>
      <c r="AL452" s="350"/>
      <c r="AM452" s="350"/>
      <c r="AN452" s="350"/>
      <c r="AO452" s="350"/>
      <c r="AP452" s="350"/>
      <c r="AQ452" s="350"/>
      <c r="AR452" s="350"/>
      <c r="AS452" s="350"/>
      <c r="AT452" s="350"/>
      <c r="AU452" s="351"/>
      <c r="AV452" s="351"/>
      <c r="AW452" s="351"/>
      <c r="AX452" s="351"/>
      <c r="AY452" s="351"/>
      <c r="AZ452" s="351"/>
      <c r="BA452" s="351"/>
      <c r="BB452" s="351"/>
      <c r="BC452" s="351"/>
      <c r="BD452" s="351"/>
      <c r="BE452" s="351"/>
      <c r="BF452" s="351"/>
      <c r="BG452" s="351"/>
      <c r="BH452" s="351"/>
      <c r="BI452" s="351"/>
      <c r="BJ452" s="351"/>
      <c r="BK452" s="351"/>
      <c r="BL452" s="351"/>
      <c r="BM452" s="351"/>
      <c r="BN452" s="351"/>
      <c r="BO452" s="351"/>
      <c r="BP452" s="351"/>
      <c r="BQ452" s="351"/>
      <c r="BR452" s="351"/>
      <c r="BS452" s="351"/>
      <c r="BT452" s="351"/>
      <c r="BU452" s="351"/>
      <c r="BV452" s="351"/>
      <c r="BW452" s="351"/>
      <c r="BX452" s="351"/>
      <c r="BY452" s="351"/>
      <c r="BZ452" s="351"/>
      <c r="CA452" s="351"/>
      <c r="CB452" s="351"/>
      <c r="CC452" s="351"/>
      <c r="CD452" s="351"/>
      <c r="CE452" s="351"/>
      <c r="CF452" s="351"/>
      <c r="CG452" s="352"/>
    </row>
    <row r="453" spans="1:85" s="358" customFormat="1" ht="12.75" customHeight="1" x14ac:dyDescent="0.2">
      <c r="A453" s="357" t="s">
        <v>126</v>
      </c>
      <c r="B453" s="338">
        <v>51</v>
      </c>
      <c r="C453" s="339" t="s">
        <v>129</v>
      </c>
      <c r="D453" s="340" t="s">
        <v>146</v>
      </c>
      <c r="E453" s="341"/>
      <c r="F453" s="341">
        <v>1255848909</v>
      </c>
      <c r="G453" s="341"/>
      <c r="H453" s="340" t="s">
        <v>789</v>
      </c>
      <c r="I453" s="339" t="s">
        <v>539</v>
      </c>
      <c r="J453" s="338">
        <v>9</v>
      </c>
      <c r="K453" s="338">
        <v>9</v>
      </c>
      <c r="L453" s="338">
        <v>12</v>
      </c>
      <c r="M453" s="342">
        <f t="shared" si="72"/>
        <v>1</v>
      </c>
      <c r="N453" s="343" t="s">
        <v>36</v>
      </c>
      <c r="O453" s="344" t="str">
        <f>IF(ISBLANK(N453),"",VLOOKUP(N453,[2]Parámetros!$G$2:$H$23,2,FALSE))</f>
        <v xml:space="preserve">Contratación directa (con ofertas) </v>
      </c>
      <c r="P453" s="345">
        <f t="shared" si="80"/>
        <v>1</v>
      </c>
      <c r="Q453" s="346">
        <f t="shared" si="73"/>
        <v>1255848909</v>
      </c>
      <c r="R453" s="346">
        <f t="shared" si="74"/>
        <v>1255848909</v>
      </c>
      <c r="S453" s="347" t="s">
        <v>226</v>
      </c>
      <c r="T453" s="345">
        <f t="shared" si="81"/>
        <v>3</v>
      </c>
      <c r="U453" s="348" t="str">
        <f t="shared" si="75"/>
        <v>SUBDIRECCION DE GESTION CONTRACTUAL</v>
      </c>
      <c r="V453" s="345" t="str">
        <f t="shared" si="78"/>
        <v>CO-DC</v>
      </c>
      <c r="W453" s="345" t="str">
        <f t="shared" si="79"/>
        <v>Distrito Capital de Bogotá</v>
      </c>
      <c r="X453" s="340" t="s">
        <v>500</v>
      </c>
      <c r="Y453" s="338">
        <v>2427400</v>
      </c>
      <c r="Z453" s="349" t="s">
        <v>131</v>
      </c>
      <c r="AA453" s="350"/>
      <c r="AB453" s="350"/>
      <c r="AC453" s="350"/>
      <c r="AD453" s="350"/>
      <c r="AE453" s="350"/>
      <c r="AF453" s="350"/>
      <c r="AG453" s="350"/>
      <c r="AH453" s="350"/>
      <c r="AI453" s="350"/>
      <c r="AJ453" s="350"/>
      <c r="AK453" s="350"/>
      <c r="AL453" s="350"/>
      <c r="AM453" s="350"/>
      <c r="AN453" s="350"/>
      <c r="AO453" s="350"/>
      <c r="AP453" s="350"/>
      <c r="AQ453" s="350"/>
      <c r="AR453" s="350"/>
      <c r="AS453" s="350"/>
      <c r="AT453" s="350"/>
      <c r="AU453" s="351"/>
      <c r="AV453" s="351"/>
      <c r="AW453" s="351"/>
      <c r="AX453" s="351"/>
      <c r="AY453" s="351"/>
      <c r="AZ453" s="351"/>
      <c r="BA453" s="351"/>
      <c r="BB453" s="351"/>
      <c r="BC453" s="351"/>
      <c r="BD453" s="351"/>
      <c r="BE453" s="351"/>
      <c r="BF453" s="351"/>
      <c r="BG453" s="351"/>
      <c r="BH453" s="351"/>
      <c r="BI453" s="351"/>
      <c r="BJ453" s="351"/>
      <c r="BK453" s="351"/>
      <c r="BL453" s="351"/>
      <c r="BM453" s="351"/>
      <c r="BN453" s="351"/>
      <c r="BO453" s="351"/>
      <c r="BP453" s="351"/>
      <c r="BQ453" s="351"/>
      <c r="BR453" s="351"/>
      <c r="BS453" s="351"/>
      <c r="BT453" s="351"/>
      <c r="BU453" s="351"/>
      <c r="BV453" s="351"/>
      <c r="BW453" s="351"/>
      <c r="BX453" s="351"/>
      <c r="BY453" s="351"/>
      <c r="BZ453" s="351"/>
      <c r="CA453" s="351"/>
      <c r="CB453" s="351"/>
      <c r="CC453" s="351"/>
      <c r="CD453" s="351"/>
      <c r="CE453" s="351"/>
      <c r="CF453" s="351"/>
      <c r="CG453" s="351"/>
    </row>
    <row r="454" spans="1:85" s="348" customFormat="1" ht="12.75" customHeight="1" x14ac:dyDescent="0.2">
      <c r="A454" s="337" t="s">
        <v>126</v>
      </c>
      <c r="B454" s="338">
        <v>52</v>
      </c>
      <c r="C454" s="339" t="s">
        <v>129</v>
      </c>
      <c r="D454" s="340" t="s">
        <v>147</v>
      </c>
      <c r="E454" s="341">
        <v>0</v>
      </c>
      <c r="F454" s="341">
        <v>0</v>
      </c>
      <c r="G454" s="341"/>
      <c r="H454" s="340" t="s">
        <v>785</v>
      </c>
      <c r="I454" s="339" t="s">
        <v>540</v>
      </c>
      <c r="J454" s="338">
        <v>1</v>
      </c>
      <c r="K454" s="338">
        <v>1</v>
      </c>
      <c r="L454" s="338">
        <v>24</v>
      </c>
      <c r="M454" s="342">
        <f t="shared" si="72"/>
        <v>1</v>
      </c>
      <c r="N454" s="343" t="s">
        <v>148</v>
      </c>
      <c r="O454" s="344" t="str">
        <f>IF(ISBLANK(N454),"",VLOOKUP(N454,[2]Parámetros!$G$2:$H$23,2,FALSE))</f>
        <v>Contratación régimen especial - Régimen especial</v>
      </c>
      <c r="P454" s="345">
        <f t="shared" si="80"/>
        <v>1</v>
      </c>
      <c r="Q454" s="346">
        <f t="shared" si="73"/>
        <v>0</v>
      </c>
      <c r="R454" s="346">
        <f t="shared" si="74"/>
        <v>0</v>
      </c>
      <c r="S454" s="347" t="s">
        <v>223</v>
      </c>
      <c r="T454" s="345">
        <f t="shared" si="81"/>
        <v>0</v>
      </c>
      <c r="U454" s="348" t="str">
        <f t="shared" si="75"/>
        <v>SUBDIRECCION DE GESTION CONTRACTUAL</v>
      </c>
      <c r="V454" s="345" t="str">
        <f t="shared" si="78"/>
        <v>CO-DC</v>
      </c>
      <c r="W454" s="345" t="str">
        <f t="shared" si="79"/>
        <v>Distrito Capital de Bogotá</v>
      </c>
      <c r="X454" s="340" t="s">
        <v>500</v>
      </c>
      <c r="Y454" s="338">
        <v>2427400</v>
      </c>
      <c r="Z454" s="349" t="s">
        <v>131</v>
      </c>
      <c r="AA454" s="350"/>
      <c r="AB454" s="350"/>
      <c r="AC454" s="350"/>
      <c r="AD454" s="350"/>
      <c r="AE454" s="350"/>
      <c r="AF454" s="350"/>
      <c r="AG454" s="350"/>
      <c r="AH454" s="350"/>
      <c r="AI454" s="350"/>
      <c r="AJ454" s="350"/>
      <c r="AK454" s="350"/>
      <c r="AL454" s="350"/>
      <c r="AM454" s="350"/>
      <c r="AN454" s="350"/>
      <c r="AO454" s="350"/>
      <c r="AP454" s="350"/>
      <c r="AQ454" s="350"/>
      <c r="AR454" s="350"/>
      <c r="AS454" s="350"/>
      <c r="AT454" s="350"/>
      <c r="AU454" s="351"/>
      <c r="AV454" s="351"/>
      <c r="AW454" s="351"/>
      <c r="AX454" s="351"/>
      <c r="AY454" s="351"/>
      <c r="AZ454" s="351"/>
      <c r="BA454" s="351"/>
      <c r="BB454" s="351"/>
      <c r="BC454" s="351"/>
      <c r="BD454" s="351"/>
      <c r="BE454" s="351"/>
      <c r="BF454" s="351"/>
      <c r="BG454" s="351"/>
      <c r="BH454" s="351"/>
      <c r="BI454" s="351"/>
      <c r="BJ454" s="351"/>
      <c r="BK454" s="351"/>
      <c r="BL454" s="351"/>
      <c r="BM454" s="351"/>
      <c r="BN454" s="351"/>
      <c r="BO454" s="351"/>
      <c r="BP454" s="351"/>
      <c r="BQ454" s="351"/>
      <c r="BR454" s="351"/>
      <c r="BS454" s="351"/>
      <c r="BT454" s="351"/>
      <c r="BU454" s="351"/>
      <c r="BV454" s="351"/>
      <c r="BW454" s="351"/>
      <c r="BX454" s="351"/>
      <c r="BY454" s="351"/>
      <c r="BZ454" s="351"/>
      <c r="CA454" s="351"/>
      <c r="CB454" s="351"/>
      <c r="CC454" s="351"/>
      <c r="CD454" s="351"/>
      <c r="CE454" s="351"/>
      <c r="CF454" s="351"/>
      <c r="CG454" s="352"/>
    </row>
    <row r="455" spans="1:85" s="353" customFormat="1" ht="13.9" customHeight="1" x14ac:dyDescent="0.2">
      <c r="A455" s="337" t="s">
        <v>180</v>
      </c>
      <c r="B455" s="338">
        <v>1</v>
      </c>
      <c r="C455" s="339" t="s">
        <v>46</v>
      </c>
      <c r="D455" s="340" t="s">
        <v>58</v>
      </c>
      <c r="E455" s="341"/>
      <c r="F455" s="341">
        <v>451000000</v>
      </c>
      <c r="G455" s="341"/>
      <c r="H455" s="340">
        <v>80111600</v>
      </c>
      <c r="I455" s="339" t="s">
        <v>554</v>
      </c>
      <c r="J455" s="338">
        <v>1</v>
      </c>
      <c r="K455" s="338">
        <v>1</v>
      </c>
      <c r="L455" s="338">
        <v>12</v>
      </c>
      <c r="M455" s="342">
        <f t="shared" si="72"/>
        <v>1</v>
      </c>
      <c r="N455" s="343" t="s">
        <v>216</v>
      </c>
      <c r="O455" s="344" t="str">
        <f>IF(ISBLANK(N455),"",VLOOKUP(N455,[17]Parámetros!$G$2:$H$23,2,FALSE))</f>
        <v>Contratación directa.</v>
      </c>
      <c r="P455" s="345">
        <f t="shared" si="80"/>
        <v>1</v>
      </c>
      <c r="Q455" s="346">
        <f t="shared" si="73"/>
        <v>451000000</v>
      </c>
      <c r="R455" s="346">
        <f t="shared" si="74"/>
        <v>451000000</v>
      </c>
      <c r="S455" s="347" t="s">
        <v>223</v>
      </c>
      <c r="T455" s="345">
        <f t="shared" si="81"/>
        <v>0</v>
      </c>
      <c r="U455" s="348" t="str">
        <f t="shared" si="75"/>
        <v>SUBDIRECCION DE GESTION CONTRACTUAL</v>
      </c>
      <c r="V455" s="345" t="str">
        <f t="shared" si="78"/>
        <v>CO-DC</v>
      </c>
      <c r="W455" s="345" t="str">
        <f t="shared" si="79"/>
        <v>Distrito Capital de Bogotá</v>
      </c>
      <c r="X455" s="340" t="s">
        <v>672</v>
      </c>
      <c r="Y455" s="338">
        <v>2427400</v>
      </c>
      <c r="Z455" s="349" t="s">
        <v>555</v>
      </c>
      <c r="AA455" s="350"/>
      <c r="AB455" s="350"/>
      <c r="AC455" s="350"/>
      <c r="AD455" s="350"/>
      <c r="AE455" s="350"/>
      <c r="AF455" s="350"/>
      <c r="AG455" s="350"/>
      <c r="AH455" s="350"/>
      <c r="AI455" s="350"/>
      <c r="AJ455" s="350"/>
      <c r="AK455" s="350"/>
      <c r="AL455" s="350"/>
      <c r="AM455" s="350"/>
      <c r="AN455" s="350"/>
      <c r="AO455" s="350"/>
      <c r="AP455" s="350"/>
      <c r="AQ455" s="350"/>
      <c r="AR455" s="350"/>
      <c r="AS455" s="350"/>
      <c r="AT455" s="350"/>
      <c r="AU455" s="351"/>
      <c r="AV455" s="351"/>
      <c r="AW455" s="351"/>
      <c r="AX455" s="351"/>
      <c r="AY455" s="351"/>
      <c r="AZ455" s="351"/>
      <c r="BA455" s="351"/>
      <c r="BB455" s="351"/>
      <c r="BC455" s="351"/>
      <c r="BD455" s="351"/>
      <c r="BE455" s="351"/>
      <c r="BF455" s="351"/>
      <c r="BG455" s="351"/>
      <c r="BH455" s="351"/>
      <c r="BI455" s="351"/>
      <c r="BJ455" s="351"/>
      <c r="BK455" s="351"/>
      <c r="BL455" s="351"/>
      <c r="BM455" s="351"/>
      <c r="BN455" s="351"/>
      <c r="BO455" s="351"/>
      <c r="BP455" s="351"/>
      <c r="BQ455" s="351"/>
      <c r="BR455" s="351"/>
      <c r="BS455" s="351"/>
      <c r="BT455" s="351"/>
      <c r="BU455" s="351"/>
      <c r="BV455" s="351"/>
      <c r="BW455" s="351"/>
      <c r="BX455" s="351"/>
      <c r="BY455" s="351"/>
      <c r="BZ455" s="351"/>
      <c r="CA455" s="351"/>
      <c r="CB455" s="351"/>
      <c r="CC455" s="351"/>
      <c r="CD455" s="351"/>
      <c r="CE455" s="351"/>
      <c r="CF455" s="351"/>
      <c r="CG455" s="352"/>
    </row>
    <row r="456" spans="1:85" s="353" customFormat="1" ht="13.9" customHeight="1" x14ac:dyDescent="0.2">
      <c r="A456" s="337" t="s">
        <v>149</v>
      </c>
      <c r="B456" s="338">
        <v>1</v>
      </c>
      <c r="C456" s="339" t="s">
        <v>556</v>
      </c>
      <c r="D456" s="340" t="s">
        <v>153</v>
      </c>
      <c r="E456" s="341"/>
      <c r="F456" s="341">
        <v>600000000</v>
      </c>
      <c r="G456" s="341"/>
      <c r="H456" s="340">
        <v>80111600</v>
      </c>
      <c r="I456" s="339" t="s">
        <v>648</v>
      </c>
      <c r="J456" s="338">
        <v>1</v>
      </c>
      <c r="K456" s="338">
        <v>1</v>
      </c>
      <c r="L456" s="338">
        <v>12</v>
      </c>
      <c r="M456" s="342">
        <f t="shared" si="72"/>
        <v>1</v>
      </c>
      <c r="N456" s="343" t="s">
        <v>216</v>
      </c>
      <c r="O456" s="344" t="str">
        <f>IF(ISBLANK(N456),"",VLOOKUP(N456,[19]Parámetros!$G$2:$H$23,2,FALSE))</f>
        <v>Contratación directa.</v>
      </c>
      <c r="P456" s="345">
        <f t="shared" si="80"/>
        <v>1</v>
      </c>
      <c r="Q456" s="346">
        <f t="shared" si="73"/>
        <v>600000000</v>
      </c>
      <c r="R456" s="346">
        <f t="shared" si="74"/>
        <v>600000000</v>
      </c>
      <c r="S456" s="347" t="s">
        <v>223</v>
      </c>
      <c r="T456" s="345">
        <f t="shared" si="81"/>
        <v>0</v>
      </c>
      <c r="U456" s="348" t="str">
        <f t="shared" si="75"/>
        <v>SUBDIRECCION DE GESTION CONTRACTUAL</v>
      </c>
      <c r="V456" s="345" t="str">
        <f t="shared" si="78"/>
        <v>CO-DC</v>
      </c>
      <c r="W456" s="345" t="str">
        <f t="shared" si="79"/>
        <v>Distrito Capital de Bogotá</v>
      </c>
      <c r="X456" s="340" t="s">
        <v>151</v>
      </c>
      <c r="Y456" s="338">
        <v>2427400</v>
      </c>
      <c r="Z456" s="349" t="s">
        <v>152</v>
      </c>
      <c r="AA456" s="350"/>
      <c r="AB456" s="350"/>
      <c r="AC456" s="350"/>
      <c r="AD456" s="350"/>
      <c r="AE456" s="350"/>
      <c r="AF456" s="350"/>
      <c r="AG456" s="350"/>
      <c r="AH456" s="350"/>
      <c r="AI456" s="350"/>
      <c r="AJ456" s="350"/>
      <c r="AK456" s="350"/>
      <c r="AL456" s="350"/>
      <c r="AM456" s="350"/>
      <c r="AN456" s="350"/>
      <c r="AO456" s="350"/>
      <c r="AP456" s="350"/>
      <c r="AQ456" s="350"/>
      <c r="AR456" s="350"/>
      <c r="AS456" s="350"/>
      <c r="AT456" s="350"/>
      <c r="AU456" s="351"/>
      <c r="AV456" s="351"/>
      <c r="AW456" s="351"/>
      <c r="AX456" s="351"/>
      <c r="AY456" s="351"/>
      <c r="AZ456" s="351"/>
      <c r="BA456" s="351"/>
      <c r="BB456" s="351"/>
      <c r="BC456" s="351"/>
      <c r="BD456" s="351"/>
      <c r="BE456" s="351"/>
      <c r="BF456" s="351"/>
      <c r="BG456" s="351"/>
      <c r="BH456" s="351"/>
      <c r="BI456" s="351"/>
      <c r="BJ456" s="351"/>
      <c r="BK456" s="351"/>
      <c r="BL456" s="351"/>
      <c r="BM456" s="351"/>
      <c r="BN456" s="351"/>
      <c r="BO456" s="351"/>
      <c r="BP456" s="351"/>
      <c r="BQ456" s="351"/>
      <c r="BR456" s="351"/>
      <c r="BS456" s="351"/>
      <c r="BT456" s="351"/>
      <c r="BU456" s="351"/>
      <c r="BV456" s="351"/>
      <c r="BW456" s="351"/>
      <c r="BX456" s="351"/>
      <c r="BY456" s="351"/>
      <c r="BZ456" s="351"/>
      <c r="CA456" s="351"/>
      <c r="CB456" s="351"/>
      <c r="CC456" s="351"/>
      <c r="CD456" s="351"/>
      <c r="CE456" s="351"/>
      <c r="CF456" s="351"/>
      <c r="CG456" s="352"/>
    </row>
    <row r="457" spans="1:85" s="353" customFormat="1" ht="13.9" customHeight="1" x14ac:dyDescent="0.2">
      <c r="A457" s="337" t="s">
        <v>149</v>
      </c>
      <c r="B457" s="338">
        <v>2</v>
      </c>
      <c r="C457" s="339" t="s">
        <v>556</v>
      </c>
      <c r="D457" s="340" t="s">
        <v>153</v>
      </c>
      <c r="E457" s="341"/>
      <c r="F457" s="341">
        <v>270100000</v>
      </c>
      <c r="G457" s="341"/>
      <c r="H457" s="354" t="s">
        <v>795</v>
      </c>
      <c r="I457" s="339" t="s">
        <v>619</v>
      </c>
      <c r="J457" s="359">
        <v>2</v>
      </c>
      <c r="K457" s="360">
        <v>3</v>
      </c>
      <c r="L457" s="361">
        <v>9</v>
      </c>
      <c r="M457" s="342">
        <f t="shared" si="72"/>
        <v>1</v>
      </c>
      <c r="N457" s="343" t="s">
        <v>233</v>
      </c>
      <c r="O457" s="344" t="str">
        <f>IF(ISBLANK(N457),"",VLOOKUP(N457,[19]Parámetros!$G$2:$H$23,2,FALSE))</f>
        <v>Licitación pública</v>
      </c>
      <c r="P457" s="345">
        <f t="shared" si="80"/>
        <v>1</v>
      </c>
      <c r="Q457" s="346">
        <f t="shared" si="73"/>
        <v>270100000</v>
      </c>
      <c r="R457" s="346">
        <f t="shared" si="74"/>
        <v>270100000</v>
      </c>
      <c r="S457" s="347" t="s">
        <v>223</v>
      </c>
      <c r="T457" s="345">
        <f t="shared" si="81"/>
        <v>0</v>
      </c>
      <c r="U457" s="348" t="str">
        <f t="shared" si="75"/>
        <v>SUBDIRECCION DE GESTION CONTRACTUAL</v>
      </c>
      <c r="V457" s="345" t="str">
        <f t="shared" si="78"/>
        <v>CO-DC</v>
      </c>
      <c r="W457" s="345" t="str">
        <f t="shared" si="79"/>
        <v>Distrito Capital de Bogotá</v>
      </c>
      <c r="X457" s="340" t="s">
        <v>151</v>
      </c>
      <c r="Y457" s="338">
        <v>2427400</v>
      </c>
      <c r="Z457" s="349" t="s">
        <v>152</v>
      </c>
      <c r="AA457" s="350"/>
      <c r="AB457" s="350"/>
      <c r="AC457" s="350"/>
      <c r="AD457" s="350"/>
      <c r="AE457" s="350"/>
      <c r="AF457" s="350"/>
      <c r="AG457" s="350"/>
      <c r="AH457" s="350"/>
      <c r="AI457" s="350"/>
      <c r="AJ457" s="350"/>
      <c r="AK457" s="350"/>
      <c r="AL457" s="350"/>
      <c r="AM457" s="350"/>
      <c r="AN457" s="350"/>
      <c r="AO457" s="350"/>
      <c r="AP457" s="350"/>
      <c r="AQ457" s="350"/>
      <c r="AR457" s="350"/>
      <c r="AS457" s="350"/>
      <c r="AT457" s="350"/>
      <c r="AU457" s="351"/>
      <c r="AV457" s="351"/>
      <c r="AW457" s="351"/>
      <c r="AX457" s="351"/>
      <c r="AY457" s="351"/>
      <c r="AZ457" s="351"/>
      <c r="BA457" s="351"/>
      <c r="BB457" s="351"/>
      <c r="BC457" s="351"/>
      <c r="BD457" s="351"/>
      <c r="BE457" s="351"/>
      <c r="BF457" s="351"/>
      <c r="BG457" s="351"/>
      <c r="BH457" s="351"/>
      <c r="BI457" s="351"/>
      <c r="BJ457" s="351"/>
      <c r="BK457" s="351"/>
      <c r="BL457" s="351"/>
      <c r="BM457" s="351"/>
      <c r="BN457" s="351"/>
      <c r="BO457" s="351"/>
      <c r="BP457" s="351"/>
      <c r="BQ457" s="351"/>
      <c r="BR457" s="351"/>
      <c r="BS457" s="351"/>
      <c r="BT457" s="351"/>
      <c r="BU457" s="351"/>
      <c r="BV457" s="351"/>
      <c r="BW457" s="351"/>
      <c r="BX457" s="351"/>
      <c r="BY457" s="351"/>
      <c r="BZ457" s="351"/>
      <c r="CA457" s="351"/>
      <c r="CB457" s="351"/>
      <c r="CC457" s="351"/>
      <c r="CD457" s="351"/>
      <c r="CE457" s="351"/>
      <c r="CF457" s="351"/>
      <c r="CG457" s="352"/>
    </row>
    <row r="458" spans="1:85" s="353" customFormat="1" ht="13.9" customHeight="1" x14ac:dyDescent="0.2">
      <c r="A458" s="337" t="s">
        <v>149</v>
      </c>
      <c r="B458" s="338">
        <v>3</v>
      </c>
      <c r="C458" s="339" t="s">
        <v>556</v>
      </c>
      <c r="D458" s="340" t="s">
        <v>153</v>
      </c>
      <c r="E458" s="341"/>
      <c r="F458" s="341">
        <f>20000000+50000000</f>
        <v>70000000</v>
      </c>
      <c r="G458" s="341"/>
      <c r="H458" s="354" t="s">
        <v>42</v>
      </c>
      <c r="I458" s="339" t="s">
        <v>622</v>
      </c>
      <c r="J458" s="359">
        <v>3</v>
      </c>
      <c r="K458" s="360">
        <v>4</v>
      </c>
      <c r="L458" s="361">
        <v>9</v>
      </c>
      <c r="M458" s="342">
        <f t="shared" si="72"/>
        <v>1</v>
      </c>
      <c r="N458" s="343" t="s">
        <v>61</v>
      </c>
      <c r="O458" s="344" t="str">
        <f>IF(ISBLANK(N458),"",VLOOKUP(N458,[19]Parámetros!$G$2:$H$23,2,FALSE))</f>
        <v>Contratación régimen especial - Selección de comisionista</v>
      </c>
      <c r="P458" s="345">
        <f t="shared" si="80"/>
        <v>1</v>
      </c>
      <c r="Q458" s="346">
        <f t="shared" si="73"/>
        <v>70000000</v>
      </c>
      <c r="R458" s="346">
        <f t="shared" si="74"/>
        <v>70000000</v>
      </c>
      <c r="S458" s="347" t="s">
        <v>223</v>
      </c>
      <c r="T458" s="345">
        <f t="shared" si="81"/>
        <v>0</v>
      </c>
      <c r="U458" s="348" t="str">
        <f t="shared" si="75"/>
        <v>SUBDIRECCION DE GESTION CONTRACTUAL</v>
      </c>
      <c r="V458" s="342" t="str">
        <f t="shared" si="78"/>
        <v>CO-DC</v>
      </c>
      <c r="W458" s="348" t="str">
        <f t="shared" si="79"/>
        <v>Distrito Capital de Bogotá</v>
      </c>
      <c r="X458" s="362" t="s">
        <v>358</v>
      </c>
      <c r="Y458" s="338">
        <v>2427400</v>
      </c>
      <c r="Z458" s="349" t="s">
        <v>75</v>
      </c>
      <c r="AA458" s="350"/>
      <c r="AB458" s="350"/>
      <c r="AC458" s="350"/>
      <c r="AD458" s="350"/>
      <c r="AE458" s="350"/>
      <c r="AF458" s="350"/>
      <c r="AG458" s="350"/>
      <c r="AH458" s="350"/>
      <c r="AI458" s="350"/>
      <c r="AJ458" s="350"/>
      <c r="AK458" s="350"/>
      <c r="AL458" s="350"/>
      <c r="AM458" s="350"/>
      <c r="AN458" s="350"/>
      <c r="AO458" s="350"/>
      <c r="AP458" s="350"/>
      <c r="AQ458" s="350"/>
      <c r="AR458" s="350"/>
      <c r="AS458" s="350"/>
      <c r="AT458" s="350"/>
      <c r="AU458" s="351"/>
      <c r="AV458" s="351"/>
      <c r="AW458" s="351"/>
      <c r="AX458" s="351"/>
      <c r="AY458" s="351"/>
      <c r="AZ458" s="351"/>
      <c r="BA458" s="351"/>
      <c r="BB458" s="351"/>
      <c r="BC458" s="351"/>
      <c r="BD458" s="351"/>
      <c r="BE458" s="351"/>
      <c r="BF458" s="351"/>
      <c r="BG458" s="351"/>
      <c r="BH458" s="351"/>
      <c r="BI458" s="351"/>
      <c r="BJ458" s="351"/>
      <c r="BK458" s="351"/>
      <c r="BL458" s="351"/>
      <c r="BM458" s="351"/>
      <c r="BN458" s="351"/>
      <c r="BO458" s="351"/>
      <c r="BP458" s="351"/>
      <c r="BQ458" s="351"/>
      <c r="BR458" s="351"/>
      <c r="BS458" s="351"/>
      <c r="BT458" s="351"/>
      <c r="BU458" s="351"/>
      <c r="BV458" s="351"/>
      <c r="BW458" s="351"/>
      <c r="BX458" s="351"/>
      <c r="BY458" s="351"/>
      <c r="BZ458" s="351"/>
      <c r="CA458" s="351"/>
      <c r="CB458" s="351"/>
      <c r="CC458" s="351"/>
      <c r="CD458" s="351"/>
      <c r="CE458" s="351"/>
      <c r="CF458" s="351"/>
      <c r="CG458" s="352"/>
    </row>
    <row r="459" spans="1:85" s="353" customFormat="1" ht="13.9" customHeight="1" x14ac:dyDescent="0.2">
      <c r="A459" s="337" t="s">
        <v>149</v>
      </c>
      <c r="B459" s="338">
        <v>4</v>
      </c>
      <c r="C459" s="339" t="s">
        <v>556</v>
      </c>
      <c r="D459" s="340" t="s">
        <v>557</v>
      </c>
      <c r="E459" s="341"/>
      <c r="F459" s="341">
        <v>145200000</v>
      </c>
      <c r="G459" s="341"/>
      <c r="H459" s="340" t="s">
        <v>150</v>
      </c>
      <c r="I459" s="339" t="s">
        <v>650</v>
      </c>
      <c r="J459" s="338">
        <v>5</v>
      </c>
      <c r="K459" s="338">
        <v>5</v>
      </c>
      <c r="L459" s="338">
        <v>7</v>
      </c>
      <c r="M459" s="342">
        <f t="shared" si="72"/>
        <v>1</v>
      </c>
      <c r="N459" s="343" t="s">
        <v>148</v>
      </c>
      <c r="O459" s="344" t="str">
        <f>IF(ISBLANK(N459),"",VLOOKUP(N459,[19]Parámetros!$G$2:$H$23,2,FALSE))</f>
        <v>Contratación régimen especial - Régimen especial</v>
      </c>
      <c r="P459" s="345">
        <f t="shared" si="80"/>
        <v>1</v>
      </c>
      <c r="Q459" s="346">
        <f t="shared" si="73"/>
        <v>145200000</v>
      </c>
      <c r="R459" s="346">
        <f t="shared" si="74"/>
        <v>145200000</v>
      </c>
      <c r="S459" s="347" t="s">
        <v>223</v>
      </c>
      <c r="T459" s="345">
        <f t="shared" si="81"/>
        <v>0</v>
      </c>
      <c r="U459" s="348" t="str">
        <f t="shared" si="75"/>
        <v>SUBDIRECCION DE GESTION CONTRACTUAL</v>
      </c>
      <c r="V459" s="345" t="str">
        <f t="shared" si="78"/>
        <v>CO-DC</v>
      </c>
      <c r="W459" s="345" t="str">
        <f t="shared" si="79"/>
        <v>Distrito Capital de Bogotá</v>
      </c>
      <c r="X459" s="340" t="s">
        <v>151</v>
      </c>
      <c r="Y459" s="338">
        <v>2427401</v>
      </c>
      <c r="Z459" s="349" t="s">
        <v>152</v>
      </c>
      <c r="AA459" s="350"/>
      <c r="AB459" s="350"/>
      <c r="AC459" s="350"/>
      <c r="AD459" s="350"/>
      <c r="AE459" s="350"/>
      <c r="AF459" s="350"/>
      <c r="AG459" s="350"/>
      <c r="AH459" s="350"/>
      <c r="AI459" s="350"/>
      <c r="AJ459" s="350"/>
      <c r="AK459" s="350"/>
      <c r="AL459" s="350"/>
      <c r="AM459" s="350"/>
      <c r="AN459" s="350"/>
      <c r="AO459" s="350"/>
      <c r="AP459" s="350"/>
      <c r="AQ459" s="350"/>
      <c r="AR459" s="350"/>
      <c r="AS459" s="350"/>
      <c r="AT459" s="350"/>
      <c r="AU459" s="351"/>
      <c r="AV459" s="351"/>
      <c r="AW459" s="351"/>
      <c r="AX459" s="351"/>
      <c r="AY459" s="351"/>
      <c r="AZ459" s="351"/>
      <c r="BA459" s="351"/>
      <c r="BB459" s="351"/>
      <c r="BC459" s="351"/>
      <c r="BD459" s="351"/>
      <c r="BE459" s="351"/>
      <c r="BF459" s="351"/>
      <c r="BG459" s="351"/>
      <c r="BH459" s="351"/>
      <c r="BI459" s="351"/>
      <c r="BJ459" s="351"/>
      <c r="BK459" s="351"/>
      <c r="BL459" s="351"/>
      <c r="BM459" s="351"/>
      <c r="BN459" s="351"/>
      <c r="BO459" s="351"/>
      <c r="BP459" s="351"/>
      <c r="BQ459" s="351"/>
      <c r="BR459" s="351"/>
      <c r="BS459" s="351"/>
      <c r="BT459" s="351"/>
      <c r="BU459" s="351"/>
      <c r="BV459" s="351"/>
      <c r="BW459" s="351"/>
      <c r="BX459" s="351"/>
      <c r="BY459" s="351"/>
      <c r="BZ459" s="351"/>
      <c r="CA459" s="351"/>
      <c r="CB459" s="351"/>
      <c r="CC459" s="351"/>
      <c r="CD459" s="351"/>
      <c r="CE459" s="351"/>
      <c r="CF459" s="351"/>
      <c r="CG459" s="352"/>
    </row>
    <row r="460" spans="1:85" s="353" customFormat="1" ht="13.9" customHeight="1" x14ac:dyDescent="0.2">
      <c r="A460" s="337" t="s">
        <v>149</v>
      </c>
      <c r="B460" s="338">
        <v>5</v>
      </c>
      <c r="C460" s="339" t="s">
        <v>154</v>
      </c>
      <c r="D460" s="340" t="s">
        <v>558</v>
      </c>
      <c r="E460" s="341"/>
      <c r="F460" s="341">
        <v>500000000</v>
      </c>
      <c r="G460" s="341"/>
      <c r="H460" s="340" t="s">
        <v>844</v>
      </c>
      <c r="I460" s="339" t="s">
        <v>649</v>
      </c>
      <c r="J460" s="338">
        <v>3</v>
      </c>
      <c r="K460" s="338">
        <v>3</v>
      </c>
      <c r="L460" s="338">
        <v>9</v>
      </c>
      <c r="M460" s="342">
        <f t="shared" si="72"/>
        <v>1</v>
      </c>
      <c r="N460" s="343" t="s">
        <v>36</v>
      </c>
      <c r="O460" s="344" t="str">
        <f>IF(ISBLANK(N460),"",VLOOKUP(N460,[19]Parámetros!$G$2:$H$23,2,FALSE))</f>
        <v xml:space="preserve">Contratación directa (con ofertas) </v>
      </c>
      <c r="P460" s="345">
        <f t="shared" si="80"/>
        <v>1</v>
      </c>
      <c r="Q460" s="346">
        <f t="shared" si="73"/>
        <v>500000000</v>
      </c>
      <c r="R460" s="346">
        <f t="shared" si="74"/>
        <v>500000000</v>
      </c>
      <c r="S460" s="347" t="s">
        <v>223</v>
      </c>
      <c r="T460" s="345">
        <f t="shared" si="81"/>
        <v>0</v>
      </c>
      <c r="U460" s="348" t="str">
        <f t="shared" si="75"/>
        <v>SUBDIRECCION DE GESTION CONTRACTUAL</v>
      </c>
      <c r="V460" s="345" t="str">
        <f t="shared" si="78"/>
        <v>CO-DC</v>
      </c>
      <c r="W460" s="345" t="str">
        <f t="shared" si="79"/>
        <v>Distrito Capital de Bogotá</v>
      </c>
      <c r="X460" s="340" t="s">
        <v>151</v>
      </c>
      <c r="Y460" s="338">
        <v>2427401</v>
      </c>
      <c r="Z460" s="349" t="s">
        <v>152</v>
      </c>
      <c r="AA460" s="350"/>
      <c r="AB460" s="350"/>
      <c r="AC460" s="350"/>
      <c r="AD460" s="350"/>
      <c r="AE460" s="350"/>
      <c r="AF460" s="350"/>
      <c r="AG460" s="350"/>
      <c r="AH460" s="350"/>
      <c r="AI460" s="350"/>
      <c r="AJ460" s="350"/>
      <c r="AK460" s="350"/>
      <c r="AL460" s="350"/>
      <c r="AM460" s="350"/>
      <c r="AN460" s="350"/>
      <c r="AO460" s="350"/>
      <c r="AP460" s="350"/>
      <c r="AQ460" s="350"/>
      <c r="AR460" s="350"/>
      <c r="AS460" s="350"/>
      <c r="AT460" s="350"/>
      <c r="AU460" s="351"/>
      <c r="AV460" s="351"/>
      <c r="AW460" s="351"/>
      <c r="AX460" s="351"/>
      <c r="AY460" s="351"/>
      <c r="AZ460" s="351"/>
      <c r="BA460" s="351"/>
      <c r="BB460" s="351"/>
      <c r="BC460" s="351"/>
      <c r="BD460" s="351"/>
      <c r="BE460" s="351"/>
      <c r="BF460" s="351"/>
      <c r="BG460" s="351"/>
      <c r="BH460" s="351"/>
      <c r="BI460" s="351"/>
      <c r="BJ460" s="351"/>
      <c r="BK460" s="351"/>
      <c r="BL460" s="351"/>
      <c r="BM460" s="351"/>
      <c r="BN460" s="351"/>
      <c r="BO460" s="351"/>
      <c r="BP460" s="351"/>
      <c r="BQ460" s="351"/>
      <c r="BR460" s="351"/>
      <c r="BS460" s="351"/>
      <c r="BT460" s="351"/>
      <c r="BU460" s="351"/>
      <c r="BV460" s="351"/>
      <c r="BW460" s="351"/>
      <c r="BX460" s="351"/>
      <c r="BY460" s="351"/>
      <c r="BZ460" s="351"/>
      <c r="CA460" s="351"/>
      <c r="CB460" s="351"/>
      <c r="CC460" s="351"/>
      <c r="CD460" s="351"/>
      <c r="CE460" s="351"/>
      <c r="CF460" s="351"/>
      <c r="CG460" s="352"/>
    </row>
    <row r="461" spans="1:85" s="353" customFormat="1" ht="13.9" customHeight="1" x14ac:dyDescent="0.2">
      <c r="A461" s="337" t="s">
        <v>149</v>
      </c>
      <c r="B461" s="338">
        <v>6</v>
      </c>
      <c r="C461" s="339" t="s">
        <v>154</v>
      </c>
      <c r="D461" s="340" t="s">
        <v>558</v>
      </c>
      <c r="E461" s="341"/>
      <c r="F461" s="341">
        <f>500000000-400000000</f>
        <v>100000000</v>
      </c>
      <c r="G461" s="341"/>
      <c r="H461" s="340" t="s">
        <v>791</v>
      </c>
      <c r="I461" s="339" t="s">
        <v>651</v>
      </c>
      <c r="J461" s="338">
        <v>3</v>
      </c>
      <c r="K461" s="338">
        <v>3</v>
      </c>
      <c r="L461" s="338">
        <v>9</v>
      </c>
      <c r="M461" s="342">
        <f t="shared" si="72"/>
        <v>1</v>
      </c>
      <c r="N461" s="343" t="s">
        <v>36</v>
      </c>
      <c r="O461" s="344" t="str">
        <f>IF(ISBLANK(N461),"",VLOOKUP(N461,[19]Parámetros!$G$2:$H$23,2,FALSE))</f>
        <v xml:space="preserve">Contratación directa (con ofertas) </v>
      </c>
      <c r="P461" s="345">
        <f t="shared" si="80"/>
        <v>1</v>
      </c>
      <c r="Q461" s="346">
        <f t="shared" si="73"/>
        <v>100000000</v>
      </c>
      <c r="R461" s="346">
        <f t="shared" si="74"/>
        <v>100000000</v>
      </c>
      <c r="S461" s="347" t="s">
        <v>223</v>
      </c>
      <c r="T461" s="345">
        <f t="shared" si="81"/>
        <v>0</v>
      </c>
      <c r="U461" s="348" t="str">
        <f t="shared" si="75"/>
        <v>SUBDIRECCION DE GESTION CONTRACTUAL</v>
      </c>
      <c r="V461" s="345" t="str">
        <f t="shared" si="78"/>
        <v>CO-DC</v>
      </c>
      <c r="W461" s="345" t="str">
        <f t="shared" si="79"/>
        <v>Distrito Capital de Bogotá</v>
      </c>
      <c r="X461" s="340" t="s">
        <v>151</v>
      </c>
      <c r="Y461" s="338">
        <v>2427401</v>
      </c>
      <c r="Z461" s="349" t="s">
        <v>152</v>
      </c>
      <c r="AA461" s="350"/>
      <c r="AB461" s="350"/>
      <c r="AC461" s="350"/>
      <c r="AD461" s="350"/>
      <c r="AE461" s="350"/>
      <c r="AF461" s="350"/>
      <c r="AG461" s="350"/>
      <c r="AH461" s="350"/>
      <c r="AI461" s="350"/>
      <c r="AJ461" s="350"/>
      <c r="AK461" s="350"/>
      <c r="AL461" s="350"/>
      <c r="AM461" s="350"/>
      <c r="AN461" s="350"/>
      <c r="AO461" s="350"/>
      <c r="AP461" s="350"/>
      <c r="AQ461" s="350"/>
      <c r="AR461" s="350"/>
      <c r="AS461" s="350"/>
      <c r="AT461" s="350"/>
      <c r="AU461" s="351"/>
      <c r="AV461" s="351"/>
      <c r="AW461" s="351"/>
      <c r="AX461" s="351"/>
      <c r="AY461" s="351"/>
      <c r="AZ461" s="351"/>
      <c r="BA461" s="351"/>
      <c r="BB461" s="351"/>
      <c r="BC461" s="351"/>
      <c r="BD461" s="351"/>
      <c r="BE461" s="351"/>
      <c r="BF461" s="351"/>
      <c r="BG461" s="351"/>
      <c r="BH461" s="351"/>
      <c r="BI461" s="351"/>
      <c r="BJ461" s="351"/>
      <c r="BK461" s="351"/>
      <c r="BL461" s="351"/>
      <c r="BM461" s="351"/>
      <c r="BN461" s="351"/>
      <c r="BO461" s="351"/>
      <c r="BP461" s="351"/>
      <c r="BQ461" s="351"/>
      <c r="BR461" s="351"/>
      <c r="BS461" s="351"/>
      <c r="BT461" s="351"/>
      <c r="BU461" s="351"/>
      <c r="BV461" s="351"/>
      <c r="BW461" s="351"/>
      <c r="BX461" s="351"/>
      <c r="BY461" s="351"/>
      <c r="BZ461" s="351"/>
      <c r="CA461" s="351"/>
      <c r="CB461" s="351"/>
      <c r="CC461" s="351"/>
      <c r="CD461" s="351"/>
      <c r="CE461" s="351"/>
      <c r="CF461" s="351"/>
      <c r="CG461" s="352"/>
    </row>
    <row r="462" spans="1:85" s="353" customFormat="1" ht="13.9" customHeight="1" x14ac:dyDescent="0.2">
      <c r="A462" s="337" t="s">
        <v>149</v>
      </c>
      <c r="B462" s="338">
        <v>7</v>
      </c>
      <c r="C462" s="339" t="s">
        <v>559</v>
      </c>
      <c r="D462" s="340" t="s">
        <v>558</v>
      </c>
      <c r="E462" s="341"/>
      <c r="F462" s="341">
        <v>658100000</v>
      </c>
      <c r="G462" s="341"/>
      <c r="H462" s="340">
        <v>80111600</v>
      </c>
      <c r="I462" s="339" t="s">
        <v>652</v>
      </c>
      <c r="J462" s="338">
        <v>1</v>
      </c>
      <c r="K462" s="338">
        <v>1</v>
      </c>
      <c r="L462" s="338">
        <v>12</v>
      </c>
      <c r="M462" s="342">
        <f t="shared" si="72"/>
        <v>1</v>
      </c>
      <c r="N462" s="343" t="s">
        <v>216</v>
      </c>
      <c r="O462" s="344" t="str">
        <f>IF(ISBLANK(N462),"",VLOOKUP(N462,[19]Parámetros!$G$2:$H$23,2,FALSE))</f>
        <v>Contratación directa.</v>
      </c>
      <c r="P462" s="345">
        <f t="shared" si="80"/>
        <v>1</v>
      </c>
      <c r="Q462" s="346">
        <f t="shared" si="73"/>
        <v>658100000</v>
      </c>
      <c r="R462" s="346">
        <f t="shared" si="74"/>
        <v>658100000</v>
      </c>
      <c r="S462" s="347" t="s">
        <v>223</v>
      </c>
      <c r="T462" s="345">
        <f t="shared" si="81"/>
        <v>0</v>
      </c>
      <c r="U462" s="348" t="str">
        <f t="shared" si="75"/>
        <v>SUBDIRECCION DE GESTION CONTRACTUAL</v>
      </c>
      <c r="V462" s="345" t="str">
        <f t="shared" si="78"/>
        <v>CO-DC</v>
      </c>
      <c r="W462" s="345" t="str">
        <f t="shared" si="79"/>
        <v>Distrito Capital de Bogotá</v>
      </c>
      <c r="X462" s="340" t="s">
        <v>151</v>
      </c>
      <c r="Y462" s="338">
        <v>2427401</v>
      </c>
      <c r="Z462" s="349" t="s">
        <v>152</v>
      </c>
      <c r="AA462" s="350"/>
      <c r="AB462" s="350"/>
      <c r="AC462" s="350"/>
      <c r="AD462" s="350"/>
      <c r="AE462" s="350"/>
      <c r="AF462" s="350"/>
      <c r="AG462" s="350"/>
      <c r="AH462" s="350"/>
      <c r="AI462" s="350"/>
      <c r="AJ462" s="350"/>
      <c r="AK462" s="350"/>
      <c r="AL462" s="350"/>
      <c r="AM462" s="350"/>
      <c r="AN462" s="350"/>
      <c r="AO462" s="350"/>
      <c r="AP462" s="350"/>
      <c r="AQ462" s="350"/>
      <c r="AR462" s="350"/>
      <c r="AS462" s="350"/>
      <c r="AT462" s="350"/>
      <c r="AU462" s="351"/>
      <c r="AV462" s="351"/>
      <c r="AW462" s="351"/>
      <c r="AX462" s="351"/>
      <c r="AY462" s="351"/>
      <c r="AZ462" s="351"/>
      <c r="BA462" s="351"/>
      <c r="BB462" s="351"/>
      <c r="BC462" s="351"/>
      <c r="BD462" s="351"/>
      <c r="BE462" s="351"/>
      <c r="BF462" s="351"/>
      <c r="BG462" s="351"/>
      <c r="BH462" s="351"/>
      <c r="BI462" s="351"/>
      <c r="BJ462" s="351"/>
      <c r="BK462" s="351"/>
      <c r="BL462" s="351"/>
      <c r="BM462" s="351"/>
      <c r="BN462" s="351"/>
      <c r="BO462" s="351"/>
      <c r="BP462" s="351"/>
      <c r="BQ462" s="351"/>
      <c r="BR462" s="351"/>
      <c r="BS462" s="351"/>
      <c r="BT462" s="351"/>
      <c r="BU462" s="351"/>
      <c r="BV462" s="351"/>
      <c r="BW462" s="351"/>
      <c r="BX462" s="351"/>
      <c r="BY462" s="351"/>
      <c r="BZ462" s="351"/>
      <c r="CA462" s="351"/>
      <c r="CB462" s="351"/>
      <c r="CC462" s="351"/>
      <c r="CD462" s="351"/>
      <c r="CE462" s="351"/>
      <c r="CF462" s="351"/>
      <c r="CG462" s="352"/>
    </row>
    <row r="463" spans="1:85" s="353" customFormat="1" ht="13.9" customHeight="1" x14ac:dyDescent="0.2">
      <c r="A463" s="337" t="s">
        <v>149</v>
      </c>
      <c r="B463" s="338">
        <v>8</v>
      </c>
      <c r="C463" s="339" t="s">
        <v>560</v>
      </c>
      <c r="D463" s="340" t="s">
        <v>849</v>
      </c>
      <c r="E463" s="341"/>
      <c r="F463" s="341">
        <v>634400000</v>
      </c>
      <c r="G463" s="341"/>
      <c r="H463" s="340" t="s">
        <v>791</v>
      </c>
      <c r="I463" s="339" t="s">
        <v>651</v>
      </c>
      <c r="J463" s="338">
        <v>3</v>
      </c>
      <c r="K463" s="338">
        <v>3</v>
      </c>
      <c r="L463" s="338">
        <v>9</v>
      </c>
      <c r="M463" s="342">
        <f t="shared" si="72"/>
        <v>1</v>
      </c>
      <c r="N463" s="343" t="s">
        <v>36</v>
      </c>
      <c r="O463" s="344" t="str">
        <f>IF(ISBLANK(N463),"",VLOOKUP(N463,[19]Parámetros!$G$2:$H$23,2,FALSE))</f>
        <v xml:space="preserve">Contratación directa (con ofertas) </v>
      </c>
      <c r="P463" s="345">
        <f t="shared" si="80"/>
        <v>1</v>
      </c>
      <c r="Q463" s="346">
        <f t="shared" si="73"/>
        <v>634400000</v>
      </c>
      <c r="R463" s="346">
        <f t="shared" si="74"/>
        <v>634400000</v>
      </c>
      <c r="S463" s="347" t="s">
        <v>223</v>
      </c>
      <c r="T463" s="345">
        <f t="shared" si="81"/>
        <v>0</v>
      </c>
      <c r="U463" s="348" t="str">
        <f t="shared" si="75"/>
        <v>SUBDIRECCION DE GESTION CONTRACTUAL</v>
      </c>
      <c r="V463" s="345" t="str">
        <f t="shared" si="78"/>
        <v>CO-DC</v>
      </c>
      <c r="W463" s="345" t="str">
        <f t="shared" si="79"/>
        <v>Distrito Capital de Bogotá</v>
      </c>
      <c r="X463" s="340" t="s">
        <v>151</v>
      </c>
      <c r="Y463" s="338">
        <v>2427401</v>
      </c>
      <c r="Z463" s="349" t="s">
        <v>152</v>
      </c>
      <c r="AA463" s="350"/>
      <c r="AB463" s="350"/>
      <c r="AC463" s="350"/>
      <c r="AD463" s="350"/>
      <c r="AE463" s="350"/>
      <c r="AF463" s="350"/>
      <c r="AG463" s="350"/>
      <c r="AH463" s="350"/>
      <c r="AI463" s="350"/>
      <c r="AJ463" s="350"/>
      <c r="AK463" s="350"/>
      <c r="AL463" s="350"/>
      <c r="AM463" s="350"/>
      <c r="AN463" s="350"/>
      <c r="AO463" s="350"/>
      <c r="AP463" s="350"/>
      <c r="AQ463" s="350"/>
      <c r="AR463" s="350"/>
      <c r="AS463" s="350"/>
      <c r="AT463" s="350"/>
      <c r="AU463" s="351"/>
      <c r="AV463" s="351"/>
      <c r="AW463" s="351"/>
      <c r="AX463" s="351"/>
      <c r="AY463" s="351"/>
      <c r="AZ463" s="351"/>
      <c r="BA463" s="351"/>
      <c r="BB463" s="351"/>
      <c r="BC463" s="351"/>
      <c r="BD463" s="351"/>
      <c r="BE463" s="351"/>
      <c r="BF463" s="351"/>
      <c r="BG463" s="351"/>
      <c r="BH463" s="351"/>
      <c r="BI463" s="351"/>
      <c r="BJ463" s="351"/>
      <c r="BK463" s="351"/>
      <c r="BL463" s="351"/>
      <c r="BM463" s="351"/>
      <c r="BN463" s="351"/>
      <c r="BO463" s="351"/>
      <c r="BP463" s="351"/>
      <c r="BQ463" s="351"/>
      <c r="BR463" s="351"/>
      <c r="BS463" s="351"/>
      <c r="BT463" s="351"/>
      <c r="BU463" s="351"/>
      <c r="BV463" s="351"/>
      <c r="BW463" s="351"/>
      <c r="BX463" s="351"/>
      <c r="BY463" s="351"/>
      <c r="BZ463" s="351"/>
      <c r="CA463" s="351"/>
      <c r="CB463" s="351"/>
      <c r="CC463" s="351"/>
      <c r="CD463" s="351"/>
      <c r="CE463" s="351"/>
      <c r="CF463" s="351"/>
      <c r="CG463" s="352"/>
    </row>
    <row r="464" spans="1:85" s="353" customFormat="1" ht="13.9" customHeight="1" x14ac:dyDescent="0.2">
      <c r="A464" s="337" t="s">
        <v>149</v>
      </c>
      <c r="B464" s="338">
        <v>9</v>
      </c>
      <c r="C464" s="339" t="s">
        <v>561</v>
      </c>
      <c r="D464" s="340" t="s">
        <v>849</v>
      </c>
      <c r="E464" s="341"/>
      <c r="F464" s="341">
        <v>40000000</v>
      </c>
      <c r="G464" s="341"/>
      <c r="H464" s="340" t="s">
        <v>791</v>
      </c>
      <c r="I464" s="339" t="s">
        <v>651</v>
      </c>
      <c r="J464" s="338">
        <v>3</v>
      </c>
      <c r="K464" s="338">
        <v>3</v>
      </c>
      <c r="L464" s="338">
        <v>9</v>
      </c>
      <c r="M464" s="342">
        <f t="shared" si="72"/>
        <v>1</v>
      </c>
      <c r="N464" s="343" t="s">
        <v>36</v>
      </c>
      <c r="O464" s="344" t="str">
        <f>IF(ISBLANK(N464),"",VLOOKUP(N464,[19]Parámetros!$G$2:$H$23,2,FALSE))</f>
        <v xml:space="preserve">Contratación directa (con ofertas) </v>
      </c>
      <c r="P464" s="345">
        <f t="shared" si="80"/>
        <v>1</v>
      </c>
      <c r="Q464" s="346">
        <f t="shared" si="73"/>
        <v>40000000</v>
      </c>
      <c r="R464" s="346">
        <f t="shared" si="74"/>
        <v>40000000</v>
      </c>
      <c r="S464" s="347" t="s">
        <v>223</v>
      </c>
      <c r="T464" s="345">
        <f t="shared" si="81"/>
        <v>0</v>
      </c>
      <c r="U464" s="348" t="str">
        <f t="shared" si="75"/>
        <v>SUBDIRECCION DE GESTION CONTRACTUAL</v>
      </c>
      <c r="V464" s="345" t="str">
        <f t="shared" si="78"/>
        <v>CO-DC</v>
      </c>
      <c r="W464" s="345" t="str">
        <f t="shared" si="79"/>
        <v>Distrito Capital de Bogotá</v>
      </c>
      <c r="X464" s="340" t="s">
        <v>151</v>
      </c>
      <c r="Y464" s="338">
        <v>2427401</v>
      </c>
      <c r="Z464" s="349" t="s">
        <v>152</v>
      </c>
      <c r="AA464" s="350"/>
      <c r="AB464" s="350"/>
      <c r="AC464" s="350"/>
      <c r="AD464" s="350"/>
      <c r="AE464" s="350"/>
      <c r="AF464" s="350"/>
      <c r="AG464" s="350"/>
      <c r="AH464" s="350"/>
      <c r="AI464" s="350"/>
      <c r="AJ464" s="350"/>
      <c r="AK464" s="350"/>
      <c r="AL464" s="350"/>
      <c r="AM464" s="350"/>
      <c r="AN464" s="350"/>
      <c r="AO464" s="350"/>
      <c r="AP464" s="350"/>
      <c r="AQ464" s="350"/>
      <c r="AR464" s="350"/>
      <c r="AS464" s="350"/>
      <c r="AT464" s="350"/>
      <c r="AU464" s="351"/>
      <c r="AV464" s="351"/>
      <c r="AW464" s="351"/>
      <c r="AX464" s="351"/>
      <c r="AY464" s="351"/>
      <c r="AZ464" s="351"/>
      <c r="BA464" s="351"/>
      <c r="BB464" s="351"/>
      <c r="BC464" s="351"/>
      <c r="BD464" s="351"/>
      <c r="BE464" s="351"/>
      <c r="BF464" s="351"/>
      <c r="BG464" s="351"/>
      <c r="BH464" s="351"/>
      <c r="BI464" s="351"/>
      <c r="BJ464" s="351"/>
      <c r="BK464" s="351"/>
      <c r="BL464" s="351"/>
      <c r="BM464" s="351"/>
      <c r="BN464" s="351"/>
      <c r="BO464" s="351"/>
      <c r="BP464" s="351"/>
      <c r="BQ464" s="351"/>
      <c r="BR464" s="351"/>
      <c r="BS464" s="351"/>
      <c r="BT464" s="351"/>
      <c r="BU464" s="351"/>
      <c r="BV464" s="351"/>
      <c r="BW464" s="351"/>
      <c r="BX464" s="351"/>
      <c r="BY464" s="351"/>
      <c r="BZ464" s="351"/>
      <c r="CA464" s="351"/>
      <c r="CB464" s="351"/>
      <c r="CC464" s="351"/>
      <c r="CD464" s="351"/>
      <c r="CE464" s="351"/>
      <c r="CF464" s="351"/>
      <c r="CG464" s="352"/>
    </row>
    <row r="465" spans="1:85" s="353" customFormat="1" ht="13.9" customHeight="1" x14ac:dyDescent="0.2">
      <c r="A465" s="337" t="s">
        <v>149</v>
      </c>
      <c r="B465" s="338">
        <v>10</v>
      </c>
      <c r="C465" s="339" t="s">
        <v>562</v>
      </c>
      <c r="D465" s="340" t="s">
        <v>849</v>
      </c>
      <c r="E465" s="341"/>
      <c r="F465" s="341">
        <v>325600000</v>
      </c>
      <c r="G465" s="341"/>
      <c r="H465" s="340" t="s">
        <v>844</v>
      </c>
      <c r="I465" s="339" t="s">
        <v>649</v>
      </c>
      <c r="J465" s="338">
        <v>3</v>
      </c>
      <c r="K465" s="338">
        <v>3</v>
      </c>
      <c r="L465" s="338">
        <v>9</v>
      </c>
      <c r="M465" s="342">
        <f t="shared" si="72"/>
        <v>1</v>
      </c>
      <c r="N465" s="343" t="s">
        <v>36</v>
      </c>
      <c r="O465" s="344" t="str">
        <f>IF(ISBLANK(N465),"",VLOOKUP(N465,[19]Parámetros!$G$2:$H$23,2,FALSE))</f>
        <v xml:space="preserve">Contratación directa (con ofertas) </v>
      </c>
      <c r="P465" s="345">
        <f t="shared" si="80"/>
        <v>1</v>
      </c>
      <c r="Q465" s="346">
        <f t="shared" si="73"/>
        <v>325600000</v>
      </c>
      <c r="R465" s="346">
        <f t="shared" si="74"/>
        <v>325600000</v>
      </c>
      <c r="S465" s="347" t="s">
        <v>223</v>
      </c>
      <c r="T465" s="345">
        <f t="shared" si="81"/>
        <v>0</v>
      </c>
      <c r="U465" s="348" t="str">
        <f t="shared" si="75"/>
        <v>SUBDIRECCION DE GESTION CONTRACTUAL</v>
      </c>
      <c r="V465" s="345" t="str">
        <f t="shared" si="78"/>
        <v>CO-DC</v>
      </c>
      <c r="W465" s="345" t="str">
        <f t="shared" si="79"/>
        <v>Distrito Capital de Bogotá</v>
      </c>
      <c r="X465" s="340" t="s">
        <v>151</v>
      </c>
      <c r="Y465" s="338">
        <v>2427401</v>
      </c>
      <c r="Z465" s="349" t="s">
        <v>152</v>
      </c>
      <c r="AA465" s="350"/>
      <c r="AB465" s="350"/>
      <c r="AC465" s="350"/>
      <c r="AD465" s="350"/>
      <c r="AE465" s="350"/>
      <c r="AF465" s="350"/>
      <c r="AG465" s="350"/>
      <c r="AH465" s="350"/>
      <c r="AI465" s="350"/>
      <c r="AJ465" s="350"/>
      <c r="AK465" s="350"/>
      <c r="AL465" s="350"/>
      <c r="AM465" s="350"/>
      <c r="AN465" s="350"/>
      <c r="AO465" s="350"/>
      <c r="AP465" s="350"/>
      <c r="AQ465" s="350"/>
      <c r="AR465" s="350"/>
      <c r="AS465" s="350"/>
      <c r="AT465" s="350"/>
      <c r="AU465" s="351"/>
      <c r="AV465" s="351"/>
      <c r="AW465" s="351"/>
      <c r="AX465" s="351"/>
      <c r="AY465" s="351"/>
      <c r="AZ465" s="351"/>
      <c r="BA465" s="351"/>
      <c r="BB465" s="351"/>
      <c r="BC465" s="351"/>
      <c r="BD465" s="351"/>
      <c r="BE465" s="351"/>
      <c r="BF465" s="351"/>
      <c r="BG465" s="351"/>
      <c r="BH465" s="351"/>
      <c r="BI465" s="351"/>
      <c r="BJ465" s="351"/>
      <c r="BK465" s="351"/>
      <c r="BL465" s="351"/>
      <c r="BM465" s="351"/>
      <c r="BN465" s="351"/>
      <c r="BO465" s="351"/>
      <c r="BP465" s="351"/>
      <c r="BQ465" s="351"/>
      <c r="BR465" s="351"/>
      <c r="BS465" s="351"/>
      <c r="BT465" s="351"/>
      <c r="BU465" s="351"/>
      <c r="BV465" s="351"/>
      <c r="BW465" s="351"/>
      <c r="BX465" s="351"/>
      <c r="BY465" s="351"/>
      <c r="BZ465" s="351"/>
      <c r="CA465" s="351"/>
      <c r="CB465" s="351"/>
      <c r="CC465" s="351"/>
      <c r="CD465" s="351"/>
      <c r="CE465" s="351"/>
      <c r="CF465" s="351"/>
      <c r="CG465" s="352"/>
    </row>
    <row r="466" spans="1:85" s="353" customFormat="1" ht="13.9" customHeight="1" x14ac:dyDescent="0.2">
      <c r="A466" s="337" t="s">
        <v>149</v>
      </c>
      <c r="B466" s="338">
        <v>11</v>
      </c>
      <c r="C466" s="339" t="s">
        <v>155</v>
      </c>
      <c r="D466" s="340" t="s">
        <v>175</v>
      </c>
      <c r="E466" s="341"/>
      <c r="F466" s="341">
        <f>4950000000-20000000</f>
        <v>4930000000</v>
      </c>
      <c r="G466" s="341"/>
      <c r="H466" s="340">
        <v>80111600</v>
      </c>
      <c r="I466" s="339" t="s">
        <v>652</v>
      </c>
      <c r="J466" s="338">
        <v>1</v>
      </c>
      <c r="K466" s="338">
        <v>1</v>
      </c>
      <c r="L466" s="338">
        <v>12</v>
      </c>
      <c r="M466" s="342">
        <f t="shared" si="72"/>
        <v>1</v>
      </c>
      <c r="N466" s="343" t="s">
        <v>216</v>
      </c>
      <c r="O466" s="344" t="str">
        <f>IF(ISBLANK(N466),"",VLOOKUP(N466,[19]Parámetros!$G$2:$H$23,2,FALSE))</f>
        <v>Contratación directa.</v>
      </c>
      <c r="P466" s="345">
        <f t="shared" si="80"/>
        <v>1</v>
      </c>
      <c r="Q466" s="346">
        <f t="shared" si="73"/>
        <v>4930000000</v>
      </c>
      <c r="R466" s="346">
        <f t="shared" si="74"/>
        <v>4930000000</v>
      </c>
      <c r="S466" s="347" t="s">
        <v>223</v>
      </c>
      <c r="T466" s="345">
        <f t="shared" si="81"/>
        <v>0</v>
      </c>
      <c r="U466" s="348" t="str">
        <f t="shared" si="75"/>
        <v>SUBDIRECCION DE GESTION CONTRACTUAL</v>
      </c>
      <c r="V466" s="345" t="str">
        <f t="shared" si="78"/>
        <v>CO-DC</v>
      </c>
      <c r="W466" s="345" t="str">
        <f t="shared" si="79"/>
        <v>Distrito Capital de Bogotá</v>
      </c>
      <c r="X466" s="340" t="s">
        <v>151</v>
      </c>
      <c r="Y466" s="338">
        <v>2427401</v>
      </c>
      <c r="Z466" s="349" t="s">
        <v>152</v>
      </c>
      <c r="AA466" s="350"/>
      <c r="AB466" s="350"/>
      <c r="AC466" s="350"/>
      <c r="AD466" s="350"/>
      <c r="AE466" s="350"/>
      <c r="AF466" s="350"/>
      <c r="AG466" s="350"/>
      <c r="AH466" s="350"/>
      <c r="AI466" s="350"/>
      <c r="AJ466" s="350"/>
      <c r="AK466" s="350"/>
      <c r="AL466" s="350"/>
      <c r="AM466" s="350"/>
      <c r="AN466" s="350"/>
      <c r="AO466" s="350"/>
      <c r="AP466" s="350"/>
      <c r="AQ466" s="350"/>
      <c r="AR466" s="350"/>
      <c r="AS466" s="350"/>
      <c r="AT466" s="350"/>
      <c r="AU466" s="351"/>
      <c r="AV466" s="351"/>
      <c r="AW466" s="351"/>
      <c r="AX466" s="351"/>
      <c r="AY466" s="351"/>
      <c r="AZ466" s="351"/>
      <c r="BA466" s="351"/>
      <c r="BB466" s="351"/>
      <c r="BC466" s="351"/>
      <c r="BD466" s="351"/>
      <c r="BE466" s="351"/>
      <c r="BF466" s="351"/>
      <c r="BG466" s="351"/>
      <c r="BH466" s="351"/>
      <c r="BI466" s="351"/>
      <c r="BJ466" s="351"/>
      <c r="BK466" s="351"/>
      <c r="BL466" s="351"/>
      <c r="BM466" s="351"/>
      <c r="BN466" s="351"/>
      <c r="BO466" s="351"/>
      <c r="BP466" s="351"/>
      <c r="BQ466" s="351"/>
      <c r="BR466" s="351"/>
      <c r="BS466" s="351"/>
      <c r="BT466" s="351"/>
      <c r="BU466" s="351"/>
      <c r="BV466" s="351"/>
      <c r="BW466" s="351"/>
      <c r="BX466" s="351"/>
      <c r="BY466" s="351"/>
      <c r="BZ466" s="351"/>
      <c r="CA466" s="351"/>
      <c r="CB466" s="351"/>
      <c r="CC466" s="351"/>
      <c r="CD466" s="351"/>
      <c r="CE466" s="351"/>
      <c r="CF466" s="351"/>
      <c r="CG466" s="352"/>
    </row>
    <row r="467" spans="1:85" s="353" customFormat="1" ht="13.9" customHeight="1" x14ac:dyDescent="0.2">
      <c r="A467" s="337" t="s">
        <v>149</v>
      </c>
      <c r="B467" s="338">
        <v>12</v>
      </c>
      <c r="C467" s="339" t="s">
        <v>155</v>
      </c>
      <c r="D467" s="340" t="s">
        <v>175</v>
      </c>
      <c r="E467" s="341"/>
      <c r="F467" s="341">
        <v>80000000</v>
      </c>
      <c r="G467" s="341"/>
      <c r="H467" s="340" t="s">
        <v>51</v>
      </c>
      <c r="I467" s="339" t="s">
        <v>659</v>
      </c>
      <c r="J467" s="338">
        <v>4</v>
      </c>
      <c r="K467" s="338">
        <v>6</v>
      </c>
      <c r="L467" s="338">
        <v>1</v>
      </c>
      <c r="M467" s="342">
        <f t="shared" si="72"/>
        <v>1</v>
      </c>
      <c r="N467" s="343" t="s">
        <v>43</v>
      </c>
      <c r="O467" s="344" t="str">
        <f>IF(ISBLANK(N467),"",VLOOKUP(N467,[19]Parámetros!$G$2:$H$23,2,FALSE))</f>
        <v>Selección abreviada subasta inversa</v>
      </c>
      <c r="P467" s="345">
        <f t="shared" si="80"/>
        <v>1</v>
      </c>
      <c r="Q467" s="346">
        <f t="shared" si="73"/>
        <v>80000000</v>
      </c>
      <c r="R467" s="346">
        <f t="shared" si="74"/>
        <v>80000000</v>
      </c>
      <c r="S467" s="347" t="s">
        <v>223</v>
      </c>
      <c r="T467" s="345">
        <f t="shared" si="81"/>
        <v>0</v>
      </c>
      <c r="U467" s="348" t="str">
        <f t="shared" si="75"/>
        <v>SUBDIRECCION DE GESTION CONTRACTUAL</v>
      </c>
      <c r="V467" s="345" t="str">
        <f t="shared" si="78"/>
        <v>CO-DC</v>
      </c>
      <c r="W467" s="345" t="str">
        <f t="shared" si="79"/>
        <v>Distrito Capital de Bogotá</v>
      </c>
      <c r="X467" s="340" t="s">
        <v>73</v>
      </c>
      <c r="Y467" s="338">
        <v>2427400</v>
      </c>
      <c r="Z467" s="349" t="s">
        <v>74</v>
      </c>
      <c r="AA467" s="350"/>
      <c r="AB467" s="350"/>
      <c r="AC467" s="350"/>
      <c r="AD467" s="350"/>
      <c r="AE467" s="350"/>
      <c r="AF467" s="350"/>
      <c r="AG467" s="350"/>
      <c r="AH467" s="350"/>
      <c r="AI467" s="350"/>
      <c r="AJ467" s="350"/>
      <c r="AK467" s="350"/>
      <c r="AL467" s="350"/>
      <c r="AM467" s="350"/>
      <c r="AN467" s="350"/>
      <c r="AO467" s="350"/>
      <c r="AP467" s="350"/>
      <c r="AQ467" s="350"/>
      <c r="AR467" s="350"/>
      <c r="AS467" s="350"/>
      <c r="AT467" s="350"/>
      <c r="AU467" s="351"/>
      <c r="AV467" s="351"/>
      <c r="AW467" s="351"/>
      <c r="AX467" s="351"/>
      <c r="AY467" s="351"/>
      <c r="AZ467" s="351"/>
      <c r="BA467" s="351"/>
      <c r="BB467" s="351"/>
      <c r="BC467" s="351"/>
      <c r="BD467" s="351"/>
      <c r="BE467" s="351"/>
      <c r="BF467" s="351"/>
      <c r="BG467" s="351"/>
      <c r="BH467" s="351"/>
      <c r="BI467" s="351"/>
      <c r="BJ467" s="351"/>
      <c r="BK467" s="351"/>
      <c r="BL467" s="351"/>
      <c r="BM467" s="351"/>
      <c r="BN467" s="351"/>
      <c r="BO467" s="351"/>
      <c r="BP467" s="351"/>
      <c r="BQ467" s="351"/>
      <c r="BR467" s="351"/>
      <c r="BS467" s="351"/>
      <c r="BT467" s="351"/>
      <c r="BU467" s="351"/>
      <c r="BV467" s="351"/>
      <c r="BW467" s="351"/>
      <c r="BX467" s="351"/>
      <c r="BY467" s="351"/>
      <c r="BZ467" s="351"/>
      <c r="CA467" s="351"/>
      <c r="CB467" s="351"/>
      <c r="CC467" s="351"/>
      <c r="CD467" s="351"/>
      <c r="CE467" s="351"/>
      <c r="CF467" s="351"/>
      <c r="CG467" s="352"/>
    </row>
    <row r="468" spans="1:85" s="353" customFormat="1" ht="13.9" customHeight="1" x14ac:dyDescent="0.2">
      <c r="A468" s="337" t="s">
        <v>149</v>
      </c>
      <c r="B468" s="338">
        <v>13</v>
      </c>
      <c r="C468" s="339" t="s">
        <v>155</v>
      </c>
      <c r="D468" s="340" t="s">
        <v>175</v>
      </c>
      <c r="E468" s="341"/>
      <c r="F468" s="341">
        <v>100000000</v>
      </c>
      <c r="G468" s="341"/>
      <c r="H468" s="354" t="s">
        <v>249</v>
      </c>
      <c r="I468" s="339" t="s">
        <v>643</v>
      </c>
      <c r="J468" s="363">
        <v>3</v>
      </c>
      <c r="K468" s="363">
        <v>4</v>
      </c>
      <c r="L468" s="363">
        <v>8</v>
      </c>
      <c r="M468" s="342">
        <f t="shared" si="72"/>
        <v>1</v>
      </c>
      <c r="N468" s="343" t="s">
        <v>53</v>
      </c>
      <c r="O468" s="344" t="str">
        <f>IF(ISBLANK(N468),"",VLOOKUP(N468,[19]Parámetros!$G$2:$H$23,2,FALSE))</f>
        <v>Seléccion abreviada - acuerdo marco</v>
      </c>
      <c r="P468" s="345">
        <f t="shared" si="80"/>
        <v>1</v>
      </c>
      <c r="Q468" s="346">
        <f t="shared" si="73"/>
        <v>100000000</v>
      </c>
      <c r="R468" s="346">
        <f t="shared" si="74"/>
        <v>100000000</v>
      </c>
      <c r="S468" s="347" t="s">
        <v>223</v>
      </c>
      <c r="T468" s="345">
        <f t="shared" si="81"/>
        <v>0</v>
      </c>
      <c r="U468" s="348" t="str">
        <f t="shared" si="75"/>
        <v>SUBDIRECCION DE GESTION CONTRACTUAL</v>
      </c>
      <c r="V468" s="345" t="str">
        <f t="shared" si="78"/>
        <v>CO-DC</v>
      </c>
      <c r="W468" s="345" t="str">
        <f t="shared" si="79"/>
        <v>Distrito Capital de Bogotá</v>
      </c>
      <c r="X468" s="340" t="s">
        <v>77</v>
      </c>
      <c r="Y468" s="338">
        <v>2427400</v>
      </c>
      <c r="Z468" s="349" t="s">
        <v>78</v>
      </c>
      <c r="AA468" s="350"/>
      <c r="AB468" s="350"/>
      <c r="AC468" s="350"/>
      <c r="AD468" s="350"/>
      <c r="AE468" s="350"/>
      <c r="AF468" s="350"/>
      <c r="AG468" s="350"/>
      <c r="AH468" s="350"/>
      <c r="AI468" s="350"/>
      <c r="AJ468" s="350"/>
      <c r="AK468" s="350"/>
      <c r="AL468" s="350"/>
      <c r="AM468" s="350"/>
      <c r="AN468" s="350"/>
      <c r="AO468" s="350"/>
      <c r="AP468" s="350"/>
      <c r="AQ468" s="350"/>
      <c r="AR468" s="350"/>
      <c r="AS468" s="350"/>
      <c r="AT468" s="350"/>
      <c r="AU468" s="351"/>
      <c r="AV468" s="351"/>
      <c r="AW468" s="351"/>
      <c r="AX468" s="351"/>
      <c r="AY468" s="351"/>
      <c r="AZ468" s="351"/>
      <c r="BA468" s="351"/>
      <c r="BB468" s="351"/>
      <c r="BC468" s="351"/>
      <c r="BD468" s="351"/>
      <c r="BE468" s="351"/>
      <c r="BF468" s="351"/>
      <c r="BG468" s="351"/>
      <c r="BH468" s="351"/>
      <c r="BI468" s="351"/>
      <c r="BJ468" s="351"/>
      <c r="BK468" s="351"/>
      <c r="BL468" s="351"/>
      <c r="BM468" s="351"/>
      <c r="BN468" s="351"/>
      <c r="BO468" s="351"/>
      <c r="BP468" s="351"/>
      <c r="BQ468" s="351"/>
      <c r="BR468" s="351"/>
      <c r="BS468" s="351"/>
      <c r="BT468" s="351"/>
      <c r="BU468" s="351"/>
      <c r="BV468" s="351"/>
      <c r="BW468" s="351"/>
      <c r="BX468" s="351"/>
      <c r="BY468" s="351"/>
      <c r="BZ468" s="351"/>
      <c r="CA468" s="351"/>
      <c r="CB468" s="351"/>
      <c r="CC468" s="351"/>
      <c r="CD468" s="351"/>
      <c r="CE468" s="351"/>
      <c r="CF468" s="351"/>
      <c r="CG468" s="352"/>
    </row>
    <row r="469" spans="1:85" s="353" customFormat="1" ht="13.9" customHeight="1" x14ac:dyDescent="0.2">
      <c r="A469" s="337" t="s">
        <v>149</v>
      </c>
      <c r="B469" s="338">
        <v>14</v>
      </c>
      <c r="C469" s="339" t="s">
        <v>155</v>
      </c>
      <c r="D469" s="340" t="s">
        <v>175</v>
      </c>
      <c r="E469" s="341"/>
      <c r="F469" s="341">
        <v>100000000</v>
      </c>
      <c r="G469" s="341"/>
      <c r="H469" s="340" t="s">
        <v>563</v>
      </c>
      <c r="I469" s="339" t="s">
        <v>647</v>
      </c>
      <c r="J469" s="338">
        <v>3</v>
      </c>
      <c r="K469" s="338">
        <v>3</v>
      </c>
      <c r="L469" s="338">
        <v>5</v>
      </c>
      <c r="M469" s="342">
        <f t="shared" si="72"/>
        <v>1</v>
      </c>
      <c r="N469" s="343" t="s">
        <v>53</v>
      </c>
      <c r="O469" s="344" t="str">
        <f>IF(ISBLANK(N469),"",VLOOKUP(N469,[19]Parámetros!$G$2:$H$23,2,FALSE))</f>
        <v>Seléccion abreviada - acuerdo marco</v>
      </c>
      <c r="P469" s="345">
        <f t="shared" si="80"/>
        <v>1</v>
      </c>
      <c r="Q469" s="346">
        <f t="shared" si="73"/>
        <v>100000000</v>
      </c>
      <c r="R469" s="346">
        <f t="shared" si="74"/>
        <v>100000000</v>
      </c>
      <c r="S469" s="347" t="s">
        <v>223</v>
      </c>
      <c r="T469" s="345">
        <f t="shared" si="81"/>
        <v>0</v>
      </c>
      <c r="U469" s="348" t="str">
        <f t="shared" si="75"/>
        <v>SUBDIRECCION DE GESTION CONTRACTUAL</v>
      </c>
      <c r="V469" s="345" t="str">
        <f t="shared" si="78"/>
        <v>CO-DC</v>
      </c>
      <c r="W469" s="345" t="str">
        <f t="shared" si="79"/>
        <v>Distrito Capital de Bogotá</v>
      </c>
      <c r="X469" s="340" t="s">
        <v>151</v>
      </c>
      <c r="Y469" s="338">
        <v>2427401</v>
      </c>
      <c r="Z469" s="349" t="s">
        <v>152</v>
      </c>
      <c r="AA469" s="350"/>
      <c r="AB469" s="350"/>
      <c r="AC469" s="350"/>
      <c r="AD469" s="350"/>
      <c r="AE469" s="350"/>
      <c r="AF469" s="350"/>
      <c r="AG469" s="350"/>
      <c r="AH469" s="350"/>
      <c r="AI469" s="350"/>
      <c r="AJ469" s="350"/>
      <c r="AK469" s="350"/>
      <c r="AL469" s="350"/>
      <c r="AM469" s="350"/>
      <c r="AN469" s="350"/>
      <c r="AO469" s="350"/>
      <c r="AP469" s="350"/>
      <c r="AQ469" s="350"/>
      <c r="AR469" s="350"/>
      <c r="AS469" s="350"/>
      <c r="AT469" s="350"/>
      <c r="AU469" s="351"/>
      <c r="AV469" s="351"/>
      <c r="AW469" s="351"/>
      <c r="AX469" s="351"/>
      <c r="AY469" s="351"/>
      <c r="AZ469" s="351"/>
      <c r="BA469" s="351"/>
      <c r="BB469" s="351"/>
      <c r="BC469" s="351"/>
      <c r="BD469" s="351"/>
      <c r="BE469" s="351"/>
      <c r="BF469" s="351"/>
      <c r="BG469" s="351"/>
      <c r="BH469" s="351"/>
      <c r="BI469" s="351"/>
      <c r="BJ469" s="351"/>
      <c r="BK469" s="351"/>
      <c r="BL469" s="351"/>
      <c r="BM469" s="351"/>
      <c r="BN469" s="351"/>
      <c r="BO469" s="351"/>
      <c r="BP469" s="351"/>
      <c r="BQ469" s="351"/>
      <c r="BR469" s="351"/>
      <c r="BS469" s="351"/>
      <c r="BT469" s="351"/>
      <c r="BU469" s="351"/>
      <c r="BV469" s="351"/>
      <c r="BW469" s="351"/>
      <c r="BX469" s="351"/>
      <c r="BY469" s="351"/>
      <c r="BZ469" s="351"/>
      <c r="CA469" s="351"/>
      <c r="CB469" s="351"/>
      <c r="CC469" s="351"/>
      <c r="CD469" s="351"/>
      <c r="CE469" s="351"/>
      <c r="CF469" s="351"/>
      <c r="CG469" s="352"/>
    </row>
    <row r="470" spans="1:85" s="353" customFormat="1" ht="13.9" customHeight="1" x14ac:dyDescent="0.2">
      <c r="A470" s="337" t="s">
        <v>149</v>
      </c>
      <c r="B470" s="338">
        <v>15</v>
      </c>
      <c r="C470" s="339" t="s">
        <v>556</v>
      </c>
      <c r="D470" s="340" t="s">
        <v>153</v>
      </c>
      <c r="E470" s="341"/>
      <c r="F470" s="341">
        <v>89900000</v>
      </c>
      <c r="G470" s="341"/>
      <c r="H470" s="354" t="s">
        <v>795</v>
      </c>
      <c r="I470" s="339" t="s">
        <v>619</v>
      </c>
      <c r="J470" s="364">
        <v>1</v>
      </c>
      <c r="K470" s="364">
        <v>2</v>
      </c>
      <c r="L470" s="364">
        <v>3</v>
      </c>
      <c r="M470" s="342">
        <f t="shared" ref="M470:M533" si="82">IF(ISBLANK(J470),"",1)</f>
        <v>1</v>
      </c>
      <c r="N470" s="343" t="s">
        <v>36</v>
      </c>
      <c r="O470" s="344" t="str">
        <f>IF(ISBLANK(N470),"",VLOOKUP(N470,[19]Parámetros!$G$2:$H$23,2,FALSE))</f>
        <v xml:space="preserve">Contratación directa (con ofertas) </v>
      </c>
      <c r="P470" s="345">
        <v>1</v>
      </c>
      <c r="Q470" s="346">
        <f t="shared" ref="Q470:Q533" si="83">+E470+F470+G470</f>
        <v>89900000</v>
      </c>
      <c r="R470" s="346">
        <f t="shared" ref="R470:R533" si="84">+F470</f>
        <v>89900000</v>
      </c>
      <c r="S470" s="347" t="s">
        <v>223</v>
      </c>
      <c r="T470" s="345">
        <v>0</v>
      </c>
      <c r="U470" s="348" t="str">
        <f t="shared" ref="U470:U533" si="85">IF(ISBLANK(N470),"","SUBDIRECCION DE GESTION CONTRACTUAL")</f>
        <v>SUBDIRECCION DE GESTION CONTRACTUAL</v>
      </c>
      <c r="V470" s="345" t="str">
        <f t="shared" si="78"/>
        <v>CO-DC</v>
      </c>
      <c r="W470" s="345" t="str">
        <f t="shared" si="79"/>
        <v>Distrito Capital de Bogotá</v>
      </c>
      <c r="X470" s="340" t="s">
        <v>151</v>
      </c>
      <c r="Y470" s="338">
        <v>2427400</v>
      </c>
      <c r="Z470" s="349" t="s">
        <v>152</v>
      </c>
      <c r="AA470" s="350"/>
      <c r="AB470" s="350"/>
      <c r="AC470" s="350"/>
      <c r="AD470" s="350"/>
      <c r="AE470" s="350"/>
      <c r="AF470" s="350"/>
      <c r="AG470" s="350"/>
      <c r="AH470" s="350"/>
      <c r="AI470" s="350"/>
      <c r="AJ470" s="350"/>
      <c r="AK470" s="350"/>
      <c r="AL470" s="350"/>
      <c r="AM470" s="350"/>
      <c r="AN470" s="350"/>
      <c r="AO470" s="350"/>
      <c r="AP470" s="350"/>
      <c r="AQ470" s="350"/>
      <c r="AR470" s="350"/>
      <c r="AS470" s="350"/>
      <c r="AT470" s="350"/>
      <c r="AU470" s="351"/>
      <c r="AV470" s="351"/>
      <c r="AW470" s="351"/>
      <c r="AX470" s="351"/>
      <c r="AY470" s="351"/>
      <c r="AZ470" s="351"/>
      <c r="BA470" s="351"/>
      <c r="BB470" s="351"/>
      <c r="BC470" s="351"/>
      <c r="BD470" s="351"/>
      <c r="BE470" s="351"/>
      <c r="BF470" s="351"/>
      <c r="BG470" s="351"/>
      <c r="BH470" s="351"/>
      <c r="BI470" s="351"/>
      <c r="BJ470" s="351"/>
      <c r="BK470" s="351"/>
      <c r="BL470" s="351"/>
      <c r="BM470" s="351"/>
      <c r="BN470" s="351"/>
      <c r="BO470" s="351"/>
      <c r="BP470" s="351"/>
      <c r="BQ470" s="351"/>
      <c r="BR470" s="351"/>
      <c r="BS470" s="351"/>
      <c r="BT470" s="351"/>
      <c r="BU470" s="351"/>
      <c r="BV470" s="351"/>
      <c r="BW470" s="351"/>
      <c r="BX470" s="351"/>
      <c r="BY470" s="351"/>
      <c r="BZ470" s="351"/>
      <c r="CA470" s="351"/>
      <c r="CB470" s="351"/>
      <c r="CC470" s="351"/>
      <c r="CD470" s="351"/>
      <c r="CE470" s="351"/>
      <c r="CF470" s="351"/>
      <c r="CG470" s="352"/>
    </row>
    <row r="471" spans="1:85" s="353" customFormat="1" ht="13.9" customHeight="1" x14ac:dyDescent="0.2">
      <c r="A471" s="337" t="s">
        <v>149</v>
      </c>
      <c r="B471" s="338">
        <v>16</v>
      </c>
      <c r="C471" s="339" t="s">
        <v>155</v>
      </c>
      <c r="D471" s="340" t="s">
        <v>175</v>
      </c>
      <c r="E471" s="341"/>
      <c r="F471" s="341">
        <v>350000000</v>
      </c>
      <c r="G471" s="341"/>
      <c r="H471" s="354" t="s">
        <v>795</v>
      </c>
      <c r="I471" s="339" t="s">
        <v>619</v>
      </c>
      <c r="J471" s="359">
        <v>2</v>
      </c>
      <c r="K471" s="360">
        <v>3</v>
      </c>
      <c r="L471" s="361">
        <v>9</v>
      </c>
      <c r="M471" s="342">
        <f t="shared" si="82"/>
        <v>1</v>
      </c>
      <c r="N471" s="343" t="s">
        <v>233</v>
      </c>
      <c r="O471" s="344" t="str">
        <f>IF(ISBLANK(N471),"",VLOOKUP(N471,[19]Parámetros!$G$2:$H$23,2,FALSE))</f>
        <v>Licitación pública</v>
      </c>
      <c r="P471" s="345">
        <f>IF(ISBLANK(N471),"",1)</f>
        <v>1</v>
      </c>
      <c r="Q471" s="346">
        <f t="shared" si="83"/>
        <v>350000000</v>
      </c>
      <c r="R471" s="346">
        <f t="shared" si="84"/>
        <v>350000000</v>
      </c>
      <c r="S471" s="347" t="s">
        <v>223</v>
      </c>
      <c r="T471" s="345">
        <f>IF(ISBLANK(S471),"",IF(VALUE(S471)=0,0,IF(VALUE(S471)=1,3,"")))</f>
        <v>0</v>
      </c>
      <c r="U471" s="348" t="str">
        <f t="shared" si="85"/>
        <v>SUBDIRECCION DE GESTION CONTRACTUAL</v>
      </c>
      <c r="V471" s="345" t="str">
        <f t="shared" si="78"/>
        <v>CO-DC</v>
      </c>
      <c r="W471" s="345" t="str">
        <f t="shared" si="79"/>
        <v>Distrito Capital de Bogotá</v>
      </c>
      <c r="X471" s="340" t="s">
        <v>151</v>
      </c>
      <c r="Y471" s="338">
        <v>2427401</v>
      </c>
      <c r="Z471" s="349" t="s">
        <v>152</v>
      </c>
      <c r="AA471" s="350"/>
      <c r="AB471" s="350"/>
      <c r="AC471" s="350"/>
      <c r="AD471" s="350"/>
      <c r="AE471" s="350"/>
      <c r="AF471" s="350"/>
      <c r="AG471" s="350"/>
      <c r="AH471" s="350"/>
      <c r="AI471" s="350"/>
      <c r="AJ471" s="350"/>
      <c r="AK471" s="350"/>
      <c r="AL471" s="350"/>
      <c r="AM471" s="350"/>
      <c r="AN471" s="350"/>
      <c r="AO471" s="350"/>
      <c r="AP471" s="350"/>
      <c r="AQ471" s="350"/>
      <c r="AR471" s="350"/>
      <c r="AS471" s="350"/>
      <c r="AT471" s="350"/>
      <c r="AU471" s="351"/>
      <c r="AV471" s="351"/>
      <c r="AW471" s="351"/>
      <c r="AX471" s="351"/>
      <c r="AY471" s="351"/>
      <c r="AZ471" s="351"/>
      <c r="BA471" s="351"/>
      <c r="BB471" s="351"/>
      <c r="BC471" s="351"/>
      <c r="BD471" s="351"/>
      <c r="BE471" s="351"/>
      <c r="BF471" s="351"/>
      <c r="BG471" s="351"/>
      <c r="BH471" s="351"/>
      <c r="BI471" s="351"/>
      <c r="BJ471" s="351"/>
      <c r="BK471" s="351"/>
      <c r="BL471" s="351"/>
      <c r="BM471" s="351"/>
      <c r="BN471" s="351"/>
      <c r="BO471" s="351"/>
      <c r="BP471" s="351"/>
      <c r="BQ471" s="351"/>
      <c r="BR471" s="351"/>
      <c r="BS471" s="351"/>
      <c r="BT471" s="351"/>
      <c r="BU471" s="351"/>
      <c r="BV471" s="351"/>
      <c r="BW471" s="351"/>
      <c r="BX471" s="351"/>
      <c r="BY471" s="351"/>
      <c r="BZ471" s="351"/>
      <c r="CA471" s="351"/>
      <c r="CB471" s="351"/>
      <c r="CC471" s="351"/>
      <c r="CD471" s="351"/>
      <c r="CE471" s="351"/>
      <c r="CF471" s="351"/>
      <c r="CG471" s="352"/>
    </row>
    <row r="472" spans="1:85" s="353" customFormat="1" ht="13.9" customHeight="1" x14ac:dyDescent="0.2">
      <c r="A472" s="337" t="s">
        <v>149</v>
      </c>
      <c r="B472" s="338">
        <v>17</v>
      </c>
      <c r="C472" s="339" t="s">
        <v>155</v>
      </c>
      <c r="D472" s="340" t="s">
        <v>175</v>
      </c>
      <c r="E472" s="341"/>
      <c r="F472" s="341">
        <v>150000000</v>
      </c>
      <c r="G472" s="341"/>
      <c r="H472" s="354" t="s">
        <v>42</v>
      </c>
      <c r="I472" s="339" t="s">
        <v>622</v>
      </c>
      <c r="J472" s="359">
        <v>3</v>
      </c>
      <c r="K472" s="360">
        <v>4</v>
      </c>
      <c r="L472" s="361">
        <v>9</v>
      </c>
      <c r="M472" s="342">
        <f t="shared" si="82"/>
        <v>1</v>
      </c>
      <c r="N472" s="343" t="s">
        <v>61</v>
      </c>
      <c r="O472" s="344" t="str">
        <f>IF(ISBLANK(N472),"",VLOOKUP(N472,[19]Parámetros!$G$2:$H$23,2,FALSE))</f>
        <v>Contratación régimen especial - Selección de comisionista</v>
      </c>
      <c r="P472" s="345">
        <f>IF(ISBLANK(N472),"",1)</f>
        <v>1</v>
      </c>
      <c r="Q472" s="346">
        <f t="shared" si="83"/>
        <v>150000000</v>
      </c>
      <c r="R472" s="346">
        <f t="shared" si="84"/>
        <v>150000000</v>
      </c>
      <c r="S472" s="347" t="s">
        <v>223</v>
      </c>
      <c r="T472" s="345">
        <f>IF(ISBLANK(S472),"",IF(VALUE(S472)=0,0,IF(VALUE(S472)=1,3,"")))</f>
        <v>0</v>
      </c>
      <c r="U472" s="348" t="str">
        <f t="shared" si="85"/>
        <v>SUBDIRECCION DE GESTION CONTRACTUAL</v>
      </c>
      <c r="V472" s="342" t="str">
        <f t="shared" si="78"/>
        <v>CO-DC</v>
      </c>
      <c r="W472" s="348" t="str">
        <f t="shared" si="79"/>
        <v>Distrito Capital de Bogotá</v>
      </c>
      <c r="X472" s="362" t="s">
        <v>358</v>
      </c>
      <c r="Y472" s="338">
        <v>2427400</v>
      </c>
      <c r="Z472" s="349" t="s">
        <v>75</v>
      </c>
      <c r="AA472" s="350"/>
      <c r="AB472" s="350"/>
      <c r="AC472" s="350"/>
      <c r="AD472" s="350"/>
      <c r="AE472" s="350"/>
      <c r="AF472" s="350"/>
      <c r="AG472" s="350"/>
      <c r="AH472" s="350"/>
      <c r="AI472" s="350"/>
      <c r="AJ472" s="350"/>
      <c r="AK472" s="350"/>
      <c r="AL472" s="350"/>
      <c r="AM472" s="350"/>
      <c r="AN472" s="350"/>
      <c r="AO472" s="350"/>
      <c r="AP472" s="350"/>
      <c r="AQ472" s="350"/>
      <c r="AR472" s="350"/>
      <c r="AS472" s="350"/>
      <c r="AT472" s="350"/>
      <c r="AU472" s="351"/>
      <c r="AV472" s="351"/>
      <c r="AW472" s="351"/>
      <c r="AX472" s="351"/>
      <c r="AY472" s="351"/>
      <c r="AZ472" s="351"/>
      <c r="BA472" s="351"/>
      <c r="BB472" s="351"/>
      <c r="BC472" s="351"/>
      <c r="BD472" s="351"/>
      <c r="BE472" s="351"/>
      <c r="BF472" s="351"/>
      <c r="BG472" s="351"/>
      <c r="BH472" s="351"/>
      <c r="BI472" s="351"/>
      <c r="BJ472" s="351"/>
      <c r="BK472" s="351"/>
      <c r="BL472" s="351"/>
      <c r="BM472" s="351"/>
      <c r="BN472" s="351"/>
      <c r="BO472" s="351"/>
      <c r="BP472" s="351"/>
      <c r="BQ472" s="351"/>
      <c r="BR472" s="351"/>
      <c r="BS472" s="351"/>
      <c r="BT472" s="351"/>
      <c r="BU472" s="351"/>
      <c r="BV472" s="351"/>
      <c r="BW472" s="351"/>
      <c r="BX472" s="351"/>
      <c r="BY472" s="351"/>
      <c r="BZ472" s="351"/>
      <c r="CA472" s="351"/>
      <c r="CB472" s="351"/>
      <c r="CC472" s="351"/>
      <c r="CD472" s="351"/>
      <c r="CE472" s="351"/>
      <c r="CF472" s="351"/>
      <c r="CG472" s="352"/>
    </row>
    <row r="473" spans="1:85" s="353" customFormat="1" ht="13.9" customHeight="1" x14ac:dyDescent="0.2">
      <c r="A473" s="337" t="s">
        <v>149</v>
      </c>
      <c r="B473" s="338">
        <v>18</v>
      </c>
      <c r="C473" s="339" t="s">
        <v>155</v>
      </c>
      <c r="D473" s="340" t="s">
        <v>175</v>
      </c>
      <c r="E473" s="341"/>
      <c r="F473" s="341">
        <f>100000000+20000000</f>
        <v>120000000</v>
      </c>
      <c r="G473" s="341"/>
      <c r="H473" s="354" t="s">
        <v>103</v>
      </c>
      <c r="I473" s="339" t="s">
        <v>633</v>
      </c>
      <c r="J473" s="359">
        <v>2</v>
      </c>
      <c r="K473" s="360">
        <v>3</v>
      </c>
      <c r="L473" s="361">
        <v>10</v>
      </c>
      <c r="M473" s="342">
        <f t="shared" si="82"/>
        <v>1</v>
      </c>
      <c r="N473" s="343" t="s">
        <v>36</v>
      </c>
      <c r="O473" s="344" t="str">
        <f>IF(ISBLANK(N473),"",VLOOKUP(N473,[1]Parámetros!$G$2:$H$23,2,FALSE))</f>
        <v xml:space="preserve">Contratación directa (con ofertas) </v>
      </c>
      <c r="P473" s="345">
        <v>1</v>
      </c>
      <c r="Q473" s="346">
        <f t="shared" si="83"/>
        <v>120000000</v>
      </c>
      <c r="R473" s="346">
        <f t="shared" si="84"/>
        <v>120000000</v>
      </c>
      <c r="S473" s="347" t="s">
        <v>226</v>
      </c>
      <c r="T473" s="345">
        <v>3</v>
      </c>
      <c r="U473" s="348" t="str">
        <f t="shared" si="85"/>
        <v>SUBDIRECCION DE GESTION CONTRACTUAL</v>
      </c>
      <c r="V473" s="345" t="s">
        <v>39</v>
      </c>
      <c r="W473" s="345" t="s">
        <v>38</v>
      </c>
      <c r="X473" s="340" t="s">
        <v>151</v>
      </c>
      <c r="Y473" s="338">
        <v>2427400</v>
      </c>
      <c r="Z473" s="349" t="s">
        <v>152</v>
      </c>
      <c r="AA473" s="350"/>
      <c r="AB473" s="350"/>
      <c r="AC473" s="350"/>
      <c r="AD473" s="350"/>
      <c r="AE473" s="350"/>
      <c r="AF473" s="350"/>
      <c r="AG473" s="350"/>
      <c r="AH473" s="350"/>
      <c r="AI473" s="350"/>
      <c r="AJ473" s="350"/>
      <c r="AK473" s="350"/>
      <c r="AL473" s="350"/>
      <c r="AM473" s="350"/>
      <c r="AN473" s="350"/>
      <c r="AO473" s="350"/>
      <c r="AP473" s="350"/>
      <c r="AQ473" s="350"/>
      <c r="AR473" s="350"/>
      <c r="AS473" s="350"/>
      <c r="AT473" s="350"/>
      <c r="AU473" s="351"/>
      <c r="AV473" s="351"/>
      <c r="AW473" s="351"/>
      <c r="AX473" s="351"/>
      <c r="AY473" s="351"/>
      <c r="AZ473" s="351"/>
      <c r="BA473" s="351"/>
      <c r="BB473" s="351"/>
      <c r="BC473" s="351"/>
      <c r="BD473" s="351"/>
      <c r="BE473" s="351"/>
      <c r="BF473" s="351"/>
      <c r="BG473" s="351"/>
      <c r="BH473" s="351"/>
      <c r="BI473" s="351"/>
      <c r="BJ473" s="351"/>
      <c r="BK473" s="351"/>
      <c r="BL473" s="351"/>
      <c r="BM473" s="351"/>
      <c r="BN473" s="351"/>
      <c r="BO473" s="351"/>
      <c r="BP473" s="351"/>
      <c r="BQ473" s="351"/>
      <c r="BR473" s="351"/>
      <c r="BS473" s="351"/>
      <c r="BT473" s="351"/>
      <c r="BU473" s="351"/>
      <c r="BV473" s="351"/>
      <c r="BW473" s="351"/>
      <c r="BX473" s="351"/>
      <c r="BY473" s="351"/>
      <c r="BZ473" s="351"/>
      <c r="CA473" s="351"/>
      <c r="CB473" s="351"/>
      <c r="CC473" s="351"/>
      <c r="CD473" s="351"/>
      <c r="CE473" s="351"/>
      <c r="CF473" s="351"/>
      <c r="CG473" s="352"/>
    </row>
    <row r="474" spans="1:85" s="353" customFormat="1" ht="13.9" customHeight="1" x14ac:dyDescent="0.2">
      <c r="A474" s="337" t="s">
        <v>149</v>
      </c>
      <c r="B474" s="338">
        <v>19</v>
      </c>
      <c r="C474" s="339" t="s">
        <v>155</v>
      </c>
      <c r="D474" s="340" t="s">
        <v>175</v>
      </c>
      <c r="E474" s="341"/>
      <c r="F474" s="341">
        <v>1500000000</v>
      </c>
      <c r="G474" s="341"/>
      <c r="H474" s="340" t="s">
        <v>844</v>
      </c>
      <c r="I474" s="339" t="s">
        <v>649</v>
      </c>
      <c r="J474" s="338">
        <v>3</v>
      </c>
      <c r="K474" s="338">
        <v>3</v>
      </c>
      <c r="L474" s="338">
        <v>9</v>
      </c>
      <c r="M474" s="342">
        <f t="shared" si="82"/>
        <v>1</v>
      </c>
      <c r="N474" s="343" t="s">
        <v>36</v>
      </c>
      <c r="O474" s="344" t="str">
        <f>IF(ISBLANK(N474),"",VLOOKUP(N474,[19]Parámetros!$G$2:$H$23,2,FALSE))</f>
        <v xml:space="preserve">Contratación directa (con ofertas) </v>
      </c>
      <c r="P474" s="345">
        <f>IF(ISBLANK(N474),"",1)</f>
        <v>1</v>
      </c>
      <c r="Q474" s="346">
        <f t="shared" si="83"/>
        <v>1500000000</v>
      </c>
      <c r="R474" s="346">
        <f t="shared" si="84"/>
        <v>1500000000</v>
      </c>
      <c r="S474" s="347" t="s">
        <v>223</v>
      </c>
      <c r="T474" s="345">
        <f>IF(ISBLANK(S474),"",IF(VALUE(S474)=0,0,IF(VALUE(S474)=1,3,"")))</f>
        <v>0</v>
      </c>
      <c r="U474" s="348" t="str">
        <f t="shared" si="85"/>
        <v>SUBDIRECCION DE GESTION CONTRACTUAL</v>
      </c>
      <c r="V474" s="345" t="str">
        <f t="shared" ref="V474:V496" si="86">IF(ISBLANK(N474),"","CO-DC")</f>
        <v>CO-DC</v>
      </c>
      <c r="W474" s="348" t="str">
        <f t="shared" ref="W474:W496" si="87">IF(ISBLANK(N474),"","Distrito Capital de Bogotá")</f>
        <v>Distrito Capital de Bogotá</v>
      </c>
      <c r="X474" s="340" t="s">
        <v>151</v>
      </c>
      <c r="Y474" s="338">
        <v>2427400</v>
      </c>
      <c r="Z474" s="365" t="s">
        <v>152</v>
      </c>
      <c r="AA474" s="350"/>
      <c r="AB474" s="350"/>
      <c r="AC474" s="350"/>
      <c r="AD474" s="350"/>
      <c r="AE474" s="350"/>
      <c r="AF474" s="350"/>
      <c r="AG474" s="350"/>
      <c r="AH474" s="350"/>
      <c r="AI474" s="350"/>
      <c r="AJ474" s="350"/>
      <c r="AK474" s="350"/>
      <c r="AL474" s="350"/>
      <c r="AM474" s="350"/>
      <c r="AN474" s="350"/>
      <c r="AO474" s="350"/>
      <c r="AP474" s="350"/>
      <c r="AQ474" s="350"/>
      <c r="AR474" s="350"/>
      <c r="AS474" s="350"/>
      <c r="AT474" s="350"/>
      <c r="AU474" s="351"/>
      <c r="AV474" s="351"/>
      <c r="AW474" s="351"/>
      <c r="AX474" s="351"/>
      <c r="AY474" s="351"/>
      <c r="AZ474" s="351"/>
      <c r="BA474" s="351"/>
      <c r="BB474" s="351"/>
      <c r="BC474" s="351"/>
      <c r="BD474" s="351"/>
      <c r="BE474" s="351"/>
      <c r="BF474" s="351"/>
      <c r="BG474" s="351"/>
      <c r="BH474" s="351"/>
      <c r="BI474" s="351"/>
      <c r="BJ474" s="351"/>
      <c r="BK474" s="351"/>
      <c r="BL474" s="351"/>
      <c r="BM474" s="351"/>
      <c r="BN474" s="351"/>
      <c r="BO474" s="351"/>
      <c r="BP474" s="351"/>
      <c r="BQ474" s="351"/>
      <c r="BR474" s="351"/>
      <c r="BS474" s="351"/>
      <c r="BT474" s="351"/>
      <c r="BU474" s="351"/>
      <c r="BV474" s="351"/>
      <c r="BW474" s="351"/>
      <c r="BX474" s="351"/>
      <c r="BY474" s="351"/>
      <c r="BZ474" s="351"/>
      <c r="CA474" s="351"/>
      <c r="CB474" s="351"/>
      <c r="CC474" s="351"/>
      <c r="CD474" s="351"/>
      <c r="CE474" s="351"/>
      <c r="CF474" s="351"/>
      <c r="CG474" s="352"/>
    </row>
    <row r="475" spans="1:85" s="353" customFormat="1" ht="13.9" customHeight="1" x14ac:dyDescent="0.2">
      <c r="A475" s="337" t="s">
        <v>149</v>
      </c>
      <c r="B475" s="338">
        <v>20</v>
      </c>
      <c r="C475" s="339" t="s">
        <v>155</v>
      </c>
      <c r="D475" s="340" t="s">
        <v>175</v>
      </c>
      <c r="E475" s="341"/>
      <c r="F475" s="341">
        <v>2500000000</v>
      </c>
      <c r="G475" s="341"/>
      <c r="H475" s="340" t="s">
        <v>845</v>
      </c>
      <c r="I475" s="339" t="s">
        <v>655</v>
      </c>
      <c r="J475" s="338">
        <v>4</v>
      </c>
      <c r="K475" s="338">
        <v>4</v>
      </c>
      <c r="L475" s="338">
        <v>8</v>
      </c>
      <c r="M475" s="342">
        <f t="shared" si="82"/>
        <v>1</v>
      </c>
      <c r="N475" s="343" t="s">
        <v>36</v>
      </c>
      <c r="O475" s="344" t="str">
        <f>IF(ISBLANK(N475),"",VLOOKUP(N475,[19]Parámetros!$G$2:$H$23,2,FALSE))</f>
        <v xml:space="preserve">Contratación directa (con ofertas) </v>
      </c>
      <c r="P475" s="345">
        <f>IF(ISBLANK(N475),"",1)</f>
        <v>1</v>
      </c>
      <c r="Q475" s="346">
        <f t="shared" si="83"/>
        <v>2500000000</v>
      </c>
      <c r="R475" s="346">
        <f t="shared" si="84"/>
        <v>2500000000</v>
      </c>
      <c r="S475" s="347" t="s">
        <v>223</v>
      </c>
      <c r="T475" s="345">
        <f>IF(ISBLANK(S475),"",IF(VALUE(S475)=0,0,IF(VALUE(S475)=1,3,"")))</f>
        <v>0</v>
      </c>
      <c r="U475" s="348" t="str">
        <f t="shared" si="85"/>
        <v>SUBDIRECCION DE GESTION CONTRACTUAL</v>
      </c>
      <c r="V475" s="345" t="str">
        <f t="shared" si="86"/>
        <v>CO-DC</v>
      </c>
      <c r="W475" s="345" t="str">
        <f t="shared" si="87"/>
        <v>Distrito Capital de Bogotá</v>
      </c>
      <c r="X475" s="340" t="s">
        <v>151</v>
      </c>
      <c r="Y475" s="338">
        <v>2427401</v>
      </c>
      <c r="Z475" s="349" t="s">
        <v>152</v>
      </c>
      <c r="AA475" s="350"/>
      <c r="AB475" s="350"/>
      <c r="AC475" s="350"/>
      <c r="AD475" s="350"/>
      <c r="AE475" s="350"/>
      <c r="AF475" s="350"/>
      <c r="AG475" s="350"/>
      <c r="AH475" s="350"/>
      <c r="AI475" s="350"/>
      <c r="AJ475" s="350"/>
      <c r="AK475" s="350"/>
      <c r="AL475" s="350"/>
      <c r="AM475" s="350"/>
      <c r="AN475" s="350"/>
      <c r="AO475" s="350"/>
      <c r="AP475" s="350"/>
      <c r="AQ475" s="350"/>
      <c r="AR475" s="350"/>
      <c r="AS475" s="350"/>
      <c r="AT475" s="350"/>
      <c r="AU475" s="351"/>
      <c r="AV475" s="351"/>
      <c r="AW475" s="351"/>
      <c r="AX475" s="351"/>
      <c r="AY475" s="351"/>
      <c r="AZ475" s="351"/>
      <c r="BA475" s="351"/>
      <c r="BB475" s="351"/>
      <c r="BC475" s="351"/>
      <c r="BD475" s="351"/>
      <c r="BE475" s="351"/>
      <c r="BF475" s="351"/>
      <c r="BG475" s="351"/>
      <c r="BH475" s="351"/>
      <c r="BI475" s="351"/>
      <c r="BJ475" s="351"/>
      <c r="BK475" s="351"/>
      <c r="BL475" s="351"/>
      <c r="BM475" s="351"/>
      <c r="BN475" s="351"/>
      <c r="BO475" s="351"/>
      <c r="BP475" s="351"/>
      <c r="BQ475" s="351"/>
      <c r="BR475" s="351"/>
      <c r="BS475" s="351"/>
      <c r="BT475" s="351"/>
      <c r="BU475" s="351"/>
      <c r="BV475" s="351"/>
      <c r="BW475" s="351"/>
      <c r="BX475" s="351"/>
      <c r="BY475" s="351"/>
      <c r="BZ475" s="351"/>
      <c r="CA475" s="351"/>
      <c r="CB475" s="351"/>
      <c r="CC475" s="351"/>
      <c r="CD475" s="351"/>
      <c r="CE475" s="351"/>
      <c r="CF475" s="351"/>
      <c r="CG475" s="352"/>
    </row>
    <row r="476" spans="1:85" s="353" customFormat="1" ht="13.9" customHeight="1" x14ac:dyDescent="0.2">
      <c r="A476" s="337" t="s">
        <v>149</v>
      </c>
      <c r="B476" s="338">
        <v>21</v>
      </c>
      <c r="C476" s="339" t="s">
        <v>155</v>
      </c>
      <c r="D476" s="340" t="s">
        <v>175</v>
      </c>
      <c r="E476" s="341"/>
      <c r="F476" s="341">
        <f>1500000000+750000000</f>
        <v>2250000000</v>
      </c>
      <c r="G476" s="341"/>
      <c r="H476" s="340" t="s">
        <v>846</v>
      </c>
      <c r="I476" s="339" t="s">
        <v>657</v>
      </c>
      <c r="J476" s="338">
        <v>4</v>
      </c>
      <c r="K476" s="338">
        <v>4</v>
      </c>
      <c r="L476" s="338">
        <v>8</v>
      </c>
      <c r="M476" s="342">
        <f t="shared" si="82"/>
        <v>1</v>
      </c>
      <c r="N476" s="343" t="s">
        <v>36</v>
      </c>
      <c r="O476" s="344" t="str">
        <f>IF(ISBLANK(N476),"",VLOOKUP(N476,[19]Parámetros!$G$2:$H$23,2,FALSE))</f>
        <v xml:space="preserve">Contratación directa (con ofertas) </v>
      </c>
      <c r="P476" s="345">
        <f>IF(ISBLANK(N476),"",1)</f>
        <v>1</v>
      </c>
      <c r="Q476" s="346">
        <f t="shared" si="83"/>
        <v>2250000000</v>
      </c>
      <c r="R476" s="346">
        <f t="shared" si="84"/>
        <v>2250000000</v>
      </c>
      <c r="S476" s="347" t="s">
        <v>223</v>
      </c>
      <c r="T476" s="345">
        <f>IF(ISBLANK(S476),"",IF(VALUE(S476)=0,0,IF(VALUE(S476)=1,3,"")))</f>
        <v>0</v>
      </c>
      <c r="U476" s="348" t="str">
        <f t="shared" si="85"/>
        <v>SUBDIRECCION DE GESTION CONTRACTUAL</v>
      </c>
      <c r="V476" s="345" t="str">
        <f t="shared" si="86"/>
        <v>CO-DC</v>
      </c>
      <c r="W476" s="345" t="str">
        <f t="shared" si="87"/>
        <v>Distrito Capital de Bogotá</v>
      </c>
      <c r="X476" s="340" t="s">
        <v>151</v>
      </c>
      <c r="Y476" s="338">
        <v>2427401</v>
      </c>
      <c r="Z476" s="349" t="s">
        <v>152</v>
      </c>
      <c r="AA476" s="350"/>
      <c r="AB476" s="350"/>
      <c r="AC476" s="350"/>
      <c r="AD476" s="350"/>
      <c r="AE476" s="350"/>
      <c r="AF476" s="350"/>
      <c r="AG476" s="350"/>
      <c r="AH476" s="350"/>
      <c r="AI476" s="350"/>
      <c r="AJ476" s="350"/>
      <c r="AK476" s="350"/>
      <c r="AL476" s="350"/>
      <c r="AM476" s="350"/>
      <c r="AN476" s="350"/>
      <c r="AO476" s="350"/>
      <c r="AP476" s="350"/>
      <c r="AQ476" s="350"/>
      <c r="AR476" s="350"/>
      <c r="AS476" s="350"/>
      <c r="AT476" s="350"/>
      <c r="AU476" s="351"/>
      <c r="AV476" s="351"/>
      <c r="AW476" s="351"/>
      <c r="AX476" s="351"/>
      <c r="AY476" s="351"/>
      <c r="AZ476" s="351"/>
      <c r="BA476" s="351"/>
      <c r="BB476" s="351"/>
      <c r="BC476" s="351"/>
      <c r="BD476" s="351"/>
      <c r="BE476" s="351"/>
      <c r="BF476" s="351"/>
      <c r="BG476" s="351"/>
      <c r="BH476" s="351"/>
      <c r="BI476" s="351"/>
      <c r="BJ476" s="351"/>
      <c r="BK476" s="351"/>
      <c r="BL476" s="351"/>
      <c r="BM476" s="351"/>
      <c r="BN476" s="351"/>
      <c r="BO476" s="351"/>
      <c r="BP476" s="351"/>
      <c r="BQ476" s="351"/>
      <c r="BR476" s="351"/>
      <c r="BS476" s="351"/>
      <c r="BT476" s="351"/>
      <c r="BU476" s="351"/>
      <c r="BV476" s="351"/>
      <c r="BW476" s="351"/>
      <c r="BX476" s="351"/>
      <c r="BY476" s="351"/>
      <c r="BZ476" s="351"/>
      <c r="CA476" s="351"/>
      <c r="CB476" s="351"/>
      <c r="CC476" s="351"/>
      <c r="CD476" s="351"/>
      <c r="CE476" s="351"/>
      <c r="CF476" s="351"/>
      <c r="CG476" s="352"/>
    </row>
    <row r="477" spans="1:85" s="353" customFormat="1" ht="13.9" customHeight="1" x14ac:dyDescent="0.2">
      <c r="A477" s="337" t="s">
        <v>149</v>
      </c>
      <c r="B477" s="338">
        <v>22</v>
      </c>
      <c r="C477" s="339" t="s">
        <v>616</v>
      </c>
      <c r="D477" s="340" t="s">
        <v>175</v>
      </c>
      <c r="E477" s="341"/>
      <c r="F477" s="341">
        <v>680000000</v>
      </c>
      <c r="G477" s="341"/>
      <c r="H477" s="340">
        <v>80111600</v>
      </c>
      <c r="I477" s="339" t="s">
        <v>652</v>
      </c>
      <c r="J477" s="338">
        <v>1</v>
      </c>
      <c r="K477" s="338">
        <v>1</v>
      </c>
      <c r="L477" s="338">
        <v>12</v>
      </c>
      <c r="M477" s="342">
        <f t="shared" si="82"/>
        <v>1</v>
      </c>
      <c r="N477" s="343" t="s">
        <v>216</v>
      </c>
      <c r="O477" s="344" t="str">
        <f>IF(ISBLANK(N477),"",VLOOKUP(N477,[19]Parámetros!$G$2:$H$23,2,FALSE))</f>
        <v>Contratación directa.</v>
      </c>
      <c r="P477" s="345">
        <f>IF(ISBLANK(N477),"",1)</f>
        <v>1</v>
      </c>
      <c r="Q477" s="346">
        <f t="shared" si="83"/>
        <v>680000000</v>
      </c>
      <c r="R477" s="346">
        <f t="shared" si="84"/>
        <v>680000000</v>
      </c>
      <c r="S477" s="347" t="s">
        <v>223</v>
      </c>
      <c r="T477" s="345">
        <f>IF(ISBLANK(S477),"",IF(VALUE(S477)=0,0,IF(VALUE(S477)=1,3,"")))</f>
        <v>0</v>
      </c>
      <c r="U477" s="348" t="str">
        <f t="shared" si="85"/>
        <v>SUBDIRECCION DE GESTION CONTRACTUAL</v>
      </c>
      <c r="V477" s="345" t="str">
        <f t="shared" si="86"/>
        <v>CO-DC</v>
      </c>
      <c r="W477" s="345" t="str">
        <f t="shared" si="87"/>
        <v>Distrito Capital de Bogotá</v>
      </c>
      <c r="X477" s="340" t="s">
        <v>151</v>
      </c>
      <c r="Y477" s="338">
        <v>2427401</v>
      </c>
      <c r="Z477" s="349" t="s">
        <v>152</v>
      </c>
      <c r="AA477" s="350"/>
      <c r="AB477" s="350"/>
      <c r="AC477" s="350"/>
      <c r="AD477" s="350"/>
      <c r="AE477" s="350"/>
      <c r="AF477" s="350"/>
      <c r="AG477" s="350"/>
      <c r="AH477" s="350"/>
      <c r="AI477" s="350"/>
      <c r="AJ477" s="350"/>
      <c r="AK477" s="350"/>
      <c r="AL477" s="350"/>
      <c r="AM477" s="350"/>
      <c r="AN477" s="350"/>
      <c r="AO477" s="350"/>
      <c r="AP477" s="350"/>
      <c r="AQ477" s="350"/>
      <c r="AR477" s="350"/>
      <c r="AS477" s="350"/>
      <c r="AT477" s="350"/>
      <c r="AU477" s="351"/>
      <c r="AV477" s="351"/>
      <c r="AW477" s="351"/>
      <c r="AX477" s="351"/>
      <c r="AY477" s="351"/>
      <c r="AZ477" s="351"/>
      <c r="BA477" s="351"/>
      <c r="BB477" s="351"/>
      <c r="BC477" s="351"/>
      <c r="BD477" s="351"/>
      <c r="BE477" s="351"/>
      <c r="BF477" s="351"/>
      <c r="BG477" s="351"/>
      <c r="BH477" s="351"/>
      <c r="BI477" s="351"/>
      <c r="BJ477" s="351"/>
      <c r="BK477" s="351"/>
      <c r="BL477" s="351"/>
      <c r="BM477" s="351"/>
      <c r="BN477" s="351"/>
      <c r="BO477" s="351"/>
      <c r="BP477" s="351"/>
      <c r="BQ477" s="351"/>
      <c r="BR477" s="351"/>
      <c r="BS477" s="351"/>
      <c r="BT477" s="351"/>
      <c r="BU477" s="351"/>
      <c r="BV477" s="351"/>
      <c r="BW477" s="351"/>
      <c r="BX477" s="351"/>
      <c r="BY477" s="351"/>
      <c r="BZ477" s="351"/>
      <c r="CA477" s="351"/>
      <c r="CB477" s="351"/>
      <c r="CC477" s="351"/>
      <c r="CD477" s="351"/>
      <c r="CE477" s="351"/>
      <c r="CF477" s="351"/>
      <c r="CG477" s="352"/>
    </row>
    <row r="478" spans="1:85" s="353" customFormat="1" ht="13.9" customHeight="1" x14ac:dyDescent="0.2">
      <c r="A478" s="337" t="s">
        <v>149</v>
      </c>
      <c r="B478" s="338">
        <v>23</v>
      </c>
      <c r="C478" s="339" t="s">
        <v>157</v>
      </c>
      <c r="D478" s="340" t="s">
        <v>175</v>
      </c>
      <c r="E478" s="341"/>
      <c r="F478" s="341">
        <v>620000000</v>
      </c>
      <c r="G478" s="341"/>
      <c r="H478" s="340" t="s">
        <v>845</v>
      </c>
      <c r="I478" s="339" t="s">
        <v>655</v>
      </c>
      <c r="J478" s="338">
        <v>4</v>
      </c>
      <c r="K478" s="338">
        <v>4</v>
      </c>
      <c r="L478" s="338">
        <v>8</v>
      </c>
      <c r="M478" s="342">
        <f t="shared" si="82"/>
        <v>1</v>
      </c>
      <c r="N478" s="343" t="s">
        <v>36</v>
      </c>
      <c r="O478" s="344" t="str">
        <f>IF(ISBLANK(N478),"",VLOOKUP(N478,[19]Parámetros!$G$2:$H$23,2,FALSE))</f>
        <v xml:space="preserve">Contratación directa (con ofertas) </v>
      </c>
      <c r="P478" s="345">
        <f>IF(ISBLANK(N478),"",1)</f>
        <v>1</v>
      </c>
      <c r="Q478" s="346">
        <f t="shared" si="83"/>
        <v>620000000</v>
      </c>
      <c r="R478" s="346">
        <f t="shared" si="84"/>
        <v>620000000</v>
      </c>
      <c r="S478" s="347" t="s">
        <v>223</v>
      </c>
      <c r="T478" s="345">
        <f>IF(ISBLANK(S478),"",IF(VALUE(S478)=0,0,IF(VALUE(S478)=1,3,"")))</f>
        <v>0</v>
      </c>
      <c r="U478" s="348" t="str">
        <f t="shared" si="85"/>
        <v>SUBDIRECCION DE GESTION CONTRACTUAL</v>
      </c>
      <c r="V478" s="345" t="str">
        <f t="shared" si="86"/>
        <v>CO-DC</v>
      </c>
      <c r="W478" s="345" t="str">
        <f t="shared" si="87"/>
        <v>Distrito Capital de Bogotá</v>
      </c>
      <c r="X478" s="340" t="s">
        <v>151</v>
      </c>
      <c r="Y478" s="338">
        <v>2427401</v>
      </c>
      <c r="Z478" s="349" t="s">
        <v>152</v>
      </c>
      <c r="AA478" s="350"/>
      <c r="AB478" s="350"/>
      <c r="AC478" s="350"/>
      <c r="AD478" s="350"/>
      <c r="AE478" s="350"/>
      <c r="AF478" s="350"/>
      <c r="AG478" s="350"/>
      <c r="AH478" s="350"/>
      <c r="AI478" s="350"/>
      <c r="AJ478" s="350"/>
      <c r="AK478" s="350"/>
      <c r="AL478" s="350"/>
      <c r="AM478" s="350"/>
      <c r="AN478" s="350"/>
      <c r="AO478" s="350"/>
      <c r="AP478" s="350"/>
      <c r="AQ478" s="350"/>
      <c r="AR478" s="350"/>
      <c r="AS478" s="350"/>
      <c r="AT478" s="350"/>
      <c r="AU478" s="351"/>
      <c r="AV478" s="351"/>
      <c r="AW478" s="351"/>
      <c r="AX478" s="351"/>
      <c r="AY478" s="351"/>
      <c r="AZ478" s="351"/>
      <c r="BA478" s="351"/>
      <c r="BB478" s="351"/>
      <c r="BC478" s="351"/>
      <c r="BD478" s="351"/>
      <c r="BE478" s="351"/>
      <c r="BF478" s="351"/>
      <c r="BG478" s="351"/>
      <c r="BH478" s="351"/>
      <c r="BI478" s="351"/>
      <c r="BJ478" s="351"/>
      <c r="BK478" s="351"/>
      <c r="BL478" s="351"/>
      <c r="BM478" s="351"/>
      <c r="BN478" s="351"/>
      <c r="BO478" s="351"/>
      <c r="BP478" s="351"/>
      <c r="BQ478" s="351"/>
      <c r="BR478" s="351"/>
      <c r="BS478" s="351"/>
      <c r="BT478" s="351"/>
      <c r="BU478" s="351"/>
      <c r="BV478" s="351"/>
      <c r="BW478" s="351"/>
      <c r="BX478" s="351"/>
      <c r="BY478" s="351"/>
      <c r="BZ478" s="351"/>
      <c r="CA478" s="351"/>
      <c r="CB478" s="351"/>
      <c r="CC478" s="351"/>
      <c r="CD478" s="351"/>
      <c r="CE478" s="351"/>
      <c r="CF478" s="351"/>
      <c r="CG478" s="352"/>
    </row>
    <row r="479" spans="1:85" s="353" customFormat="1" ht="13.9" customHeight="1" x14ac:dyDescent="0.2">
      <c r="A479" s="337" t="s">
        <v>149</v>
      </c>
      <c r="B479" s="338">
        <v>24</v>
      </c>
      <c r="C479" s="339" t="s">
        <v>155</v>
      </c>
      <c r="D479" s="340" t="s">
        <v>175</v>
      </c>
      <c r="E479" s="341"/>
      <c r="F479" s="341">
        <v>50000000</v>
      </c>
      <c r="G479" s="341"/>
      <c r="H479" s="354" t="s">
        <v>795</v>
      </c>
      <c r="I479" s="339" t="s">
        <v>619</v>
      </c>
      <c r="J479" s="364">
        <v>1</v>
      </c>
      <c r="K479" s="364">
        <v>2</v>
      </c>
      <c r="L479" s="364">
        <v>3</v>
      </c>
      <c r="M479" s="342">
        <f t="shared" si="82"/>
        <v>1</v>
      </c>
      <c r="N479" s="343" t="s">
        <v>36</v>
      </c>
      <c r="O479" s="344" t="str">
        <f>IF(ISBLANK(N479),"",VLOOKUP(N479,[19]Parámetros!$G$2:$H$23,2,FALSE))</f>
        <v xml:space="preserve">Contratación directa (con ofertas) </v>
      </c>
      <c r="P479" s="345">
        <v>1</v>
      </c>
      <c r="Q479" s="346">
        <f t="shared" si="83"/>
        <v>50000000</v>
      </c>
      <c r="R479" s="346">
        <f t="shared" si="84"/>
        <v>50000000</v>
      </c>
      <c r="S479" s="347" t="s">
        <v>223</v>
      </c>
      <c r="T479" s="345">
        <v>0</v>
      </c>
      <c r="U479" s="348" t="str">
        <f t="shared" si="85"/>
        <v>SUBDIRECCION DE GESTION CONTRACTUAL</v>
      </c>
      <c r="V479" s="345" t="str">
        <f t="shared" si="86"/>
        <v>CO-DC</v>
      </c>
      <c r="W479" s="345" t="str">
        <f t="shared" si="87"/>
        <v>Distrito Capital de Bogotá</v>
      </c>
      <c r="X479" s="340" t="s">
        <v>151</v>
      </c>
      <c r="Y479" s="338">
        <v>2427401</v>
      </c>
      <c r="Z479" s="349" t="s">
        <v>152</v>
      </c>
      <c r="AA479" s="350"/>
      <c r="AB479" s="350"/>
      <c r="AC479" s="350"/>
      <c r="AD479" s="350"/>
      <c r="AE479" s="350"/>
      <c r="AF479" s="350"/>
      <c r="AG479" s="350"/>
      <c r="AH479" s="350"/>
      <c r="AI479" s="350"/>
      <c r="AJ479" s="350"/>
      <c r="AK479" s="350"/>
      <c r="AL479" s="350"/>
      <c r="AM479" s="350"/>
      <c r="AN479" s="350"/>
      <c r="AO479" s="350"/>
      <c r="AP479" s="350"/>
      <c r="AQ479" s="350"/>
      <c r="AR479" s="350"/>
      <c r="AS479" s="350"/>
      <c r="AT479" s="350"/>
      <c r="AU479" s="351"/>
      <c r="AV479" s="351"/>
      <c r="AW479" s="351"/>
      <c r="AX479" s="351"/>
      <c r="AY479" s="351"/>
      <c r="AZ479" s="351"/>
      <c r="BA479" s="351"/>
      <c r="BB479" s="351"/>
      <c r="BC479" s="351"/>
      <c r="BD479" s="351"/>
      <c r="BE479" s="351"/>
      <c r="BF479" s="351"/>
      <c r="BG479" s="351"/>
      <c r="BH479" s="351"/>
      <c r="BI479" s="351"/>
      <c r="BJ479" s="351"/>
      <c r="BK479" s="351"/>
      <c r="BL479" s="351"/>
      <c r="BM479" s="351"/>
      <c r="BN479" s="351"/>
      <c r="BO479" s="351"/>
      <c r="BP479" s="351"/>
      <c r="BQ479" s="351"/>
      <c r="BR479" s="351"/>
      <c r="BS479" s="351"/>
      <c r="BT479" s="351"/>
      <c r="BU479" s="351"/>
      <c r="BV479" s="351"/>
      <c r="BW479" s="351"/>
      <c r="BX479" s="351"/>
      <c r="BY479" s="351"/>
      <c r="BZ479" s="351"/>
      <c r="CA479" s="351"/>
      <c r="CB479" s="351"/>
      <c r="CC479" s="351"/>
      <c r="CD479" s="351"/>
      <c r="CE479" s="351"/>
      <c r="CF479" s="351"/>
      <c r="CG479" s="352"/>
    </row>
    <row r="480" spans="1:85" s="353" customFormat="1" ht="13.9" customHeight="1" x14ac:dyDescent="0.2">
      <c r="A480" s="337" t="s">
        <v>149</v>
      </c>
      <c r="B480" s="338">
        <v>25</v>
      </c>
      <c r="C480" s="339" t="s">
        <v>157</v>
      </c>
      <c r="D480" s="340" t="s">
        <v>175</v>
      </c>
      <c r="E480" s="341"/>
      <c r="F480" s="341">
        <v>216000000</v>
      </c>
      <c r="G480" s="341"/>
      <c r="H480" s="340">
        <v>80111600</v>
      </c>
      <c r="I480" s="339" t="s">
        <v>652</v>
      </c>
      <c r="J480" s="338">
        <v>1</v>
      </c>
      <c r="K480" s="338">
        <v>1</v>
      </c>
      <c r="L480" s="338">
        <v>12</v>
      </c>
      <c r="M480" s="342">
        <f t="shared" si="82"/>
        <v>1</v>
      </c>
      <c r="N480" s="343" t="s">
        <v>216</v>
      </c>
      <c r="O480" s="344" t="str">
        <f>IF(ISBLANK(N480),"",VLOOKUP(N480,[19]Parámetros!$G$2:$H$23,2,FALSE))</f>
        <v>Contratación directa.</v>
      </c>
      <c r="P480" s="345">
        <f t="shared" ref="P480:P487" si="88">IF(ISBLANK(N480),"",1)</f>
        <v>1</v>
      </c>
      <c r="Q480" s="346">
        <f t="shared" si="83"/>
        <v>216000000</v>
      </c>
      <c r="R480" s="346">
        <f t="shared" si="84"/>
        <v>216000000</v>
      </c>
      <c r="S480" s="347" t="s">
        <v>223</v>
      </c>
      <c r="T480" s="345">
        <f t="shared" ref="T480:T487" si="89">IF(ISBLANK(S480),"",IF(VALUE(S480)=0,0,IF(VALUE(S480)=1,3,"")))</f>
        <v>0</v>
      </c>
      <c r="U480" s="348" t="str">
        <f t="shared" si="85"/>
        <v>SUBDIRECCION DE GESTION CONTRACTUAL</v>
      </c>
      <c r="V480" s="345" t="str">
        <f t="shared" si="86"/>
        <v>CO-DC</v>
      </c>
      <c r="W480" s="345" t="str">
        <f t="shared" si="87"/>
        <v>Distrito Capital de Bogotá</v>
      </c>
      <c r="X480" s="340" t="s">
        <v>151</v>
      </c>
      <c r="Y480" s="338">
        <v>2427401</v>
      </c>
      <c r="Z480" s="349" t="s">
        <v>152</v>
      </c>
      <c r="AA480" s="350"/>
      <c r="AB480" s="350"/>
      <c r="AC480" s="350"/>
      <c r="AD480" s="350"/>
      <c r="AE480" s="350"/>
      <c r="AF480" s="350"/>
      <c r="AG480" s="350"/>
      <c r="AH480" s="350"/>
      <c r="AI480" s="350"/>
      <c r="AJ480" s="350"/>
      <c r="AK480" s="350"/>
      <c r="AL480" s="350"/>
      <c r="AM480" s="350"/>
      <c r="AN480" s="350"/>
      <c r="AO480" s="350"/>
      <c r="AP480" s="350"/>
      <c r="AQ480" s="350"/>
      <c r="AR480" s="350"/>
      <c r="AS480" s="350"/>
      <c r="AT480" s="350"/>
      <c r="AU480" s="351"/>
      <c r="AV480" s="351"/>
      <c r="AW480" s="351"/>
      <c r="AX480" s="351"/>
      <c r="AY480" s="351"/>
      <c r="AZ480" s="351"/>
      <c r="BA480" s="351"/>
      <c r="BB480" s="351"/>
      <c r="BC480" s="351"/>
      <c r="BD480" s="351"/>
      <c r="BE480" s="351"/>
      <c r="BF480" s="351"/>
      <c r="BG480" s="351"/>
      <c r="BH480" s="351"/>
      <c r="BI480" s="351"/>
      <c r="BJ480" s="351"/>
      <c r="BK480" s="351"/>
      <c r="BL480" s="351"/>
      <c r="BM480" s="351"/>
      <c r="BN480" s="351"/>
      <c r="BO480" s="351"/>
      <c r="BP480" s="351"/>
      <c r="BQ480" s="351"/>
      <c r="BR480" s="351"/>
      <c r="BS480" s="351"/>
      <c r="BT480" s="351"/>
      <c r="BU480" s="351"/>
      <c r="BV480" s="351"/>
      <c r="BW480" s="351"/>
      <c r="BX480" s="351"/>
      <c r="BY480" s="351"/>
      <c r="BZ480" s="351"/>
      <c r="CA480" s="351"/>
      <c r="CB480" s="351"/>
      <c r="CC480" s="351"/>
      <c r="CD480" s="351"/>
      <c r="CE480" s="351"/>
      <c r="CF480" s="351"/>
      <c r="CG480" s="352"/>
    </row>
    <row r="481" spans="1:85" s="353" customFormat="1" ht="13.9" customHeight="1" x14ac:dyDescent="0.2">
      <c r="A481" s="337" t="s">
        <v>149</v>
      </c>
      <c r="B481" s="338">
        <v>26</v>
      </c>
      <c r="C481" s="339" t="s">
        <v>156</v>
      </c>
      <c r="D481" s="340" t="s">
        <v>175</v>
      </c>
      <c r="E481" s="341"/>
      <c r="F481" s="341">
        <v>420000000</v>
      </c>
      <c r="G481" s="341"/>
      <c r="H481" s="340">
        <v>80111600</v>
      </c>
      <c r="I481" s="339" t="s">
        <v>652</v>
      </c>
      <c r="J481" s="338">
        <v>1</v>
      </c>
      <c r="K481" s="338">
        <v>1</v>
      </c>
      <c r="L481" s="338">
        <v>12</v>
      </c>
      <c r="M481" s="342">
        <f t="shared" si="82"/>
        <v>1</v>
      </c>
      <c r="N481" s="343" t="s">
        <v>216</v>
      </c>
      <c r="O481" s="344" t="str">
        <f>IF(ISBLANK(N481),"",VLOOKUP(N481,[19]Parámetros!$G$2:$H$23,2,FALSE))</f>
        <v>Contratación directa.</v>
      </c>
      <c r="P481" s="345">
        <f t="shared" si="88"/>
        <v>1</v>
      </c>
      <c r="Q481" s="346">
        <f t="shared" si="83"/>
        <v>420000000</v>
      </c>
      <c r="R481" s="346">
        <f t="shared" si="84"/>
        <v>420000000</v>
      </c>
      <c r="S481" s="347" t="s">
        <v>223</v>
      </c>
      <c r="T481" s="345">
        <f t="shared" si="89"/>
        <v>0</v>
      </c>
      <c r="U481" s="348" t="str">
        <f t="shared" si="85"/>
        <v>SUBDIRECCION DE GESTION CONTRACTUAL</v>
      </c>
      <c r="V481" s="345" t="str">
        <f t="shared" si="86"/>
        <v>CO-DC</v>
      </c>
      <c r="W481" s="345" t="str">
        <f t="shared" si="87"/>
        <v>Distrito Capital de Bogotá</v>
      </c>
      <c r="X481" s="340" t="s">
        <v>151</v>
      </c>
      <c r="Y481" s="338">
        <v>2427401</v>
      </c>
      <c r="Z481" s="349" t="s">
        <v>152</v>
      </c>
      <c r="AA481" s="350"/>
      <c r="AB481" s="350"/>
      <c r="AC481" s="350"/>
      <c r="AD481" s="350"/>
      <c r="AE481" s="350"/>
      <c r="AF481" s="350"/>
      <c r="AG481" s="350"/>
      <c r="AH481" s="350"/>
      <c r="AI481" s="350"/>
      <c r="AJ481" s="350"/>
      <c r="AK481" s="350"/>
      <c r="AL481" s="350"/>
      <c r="AM481" s="350"/>
      <c r="AN481" s="350"/>
      <c r="AO481" s="350"/>
      <c r="AP481" s="350"/>
      <c r="AQ481" s="350"/>
      <c r="AR481" s="350"/>
      <c r="AS481" s="350"/>
      <c r="AT481" s="350"/>
      <c r="AU481" s="351"/>
      <c r="AV481" s="351"/>
      <c r="AW481" s="351"/>
      <c r="AX481" s="351"/>
      <c r="AY481" s="351"/>
      <c r="AZ481" s="351"/>
      <c r="BA481" s="351"/>
      <c r="BB481" s="351"/>
      <c r="BC481" s="351"/>
      <c r="BD481" s="351"/>
      <c r="BE481" s="351"/>
      <c r="BF481" s="351"/>
      <c r="BG481" s="351"/>
      <c r="BH481" s="351"/>
      <c r="BI481" s="351"/>
      <c r="BJ481" s="351"/>
      <c r="BK481" s="351"/>
      <c r="BL481" s="351"/>
      <c r="BM481" s="351"/>
      <c r="BN481" s="351"/>
      <c r="BO481" s="351"/>
      <c r="BP481" s="351"/>
      <c r="BQ481" s="351"/>
      <c r="BR481" s="351"/>
      <c r="BS481" s="351"/>
      <c r="BT481" s="351"/>
      <c r="BU481" s="351"/>
      <c r="BV481" s="351"/>
      <c r="BW481" s="351"/>
      <c r="BX481" s="351"/>
      <c r="BY481" s="351"/>
      <c r="BZ481" s="351"/>
      <c r="CA481" s="351"/>
      <c r="CB481" s="351"/>
      <c r="CC481" s="351"/>
      <c r="CD481" s="351"/>
      <c r="CE481" s="351"/>
      <c r="CF481" s="351"/>
      <c r="CG481" s="352"/>
    </row>
    <row r="482" spans="1:85" s="353" customFormat="1" ht="13.9" customHeight="1" x14ac:dyDescent="0.2">
      <c r="A482" s="337" t="s">
        <v>149</v>
      </c>
      <c r="B482" s="338">
        <v>27</v>
      </c>
      <c r="C482" s="339" t="s">
        <v>156</v>
      </c>
      <c r="D482" s="340" t="s">
        <v>175</v>
      </c>
      <c r="E482" s="341"/>
      <c r="F482" s="341">
        <v>426500000</v>
      </c>
      <c r="G482" s="341"/>
      <c r="H482" s="340" t="s">
        <v>844</v>
      </c>
      <c r="I482" s="339" t="s">
        <v>658</v>
      </c>
      <c r="J482" s="338">
        <v>3</v>
      </c>
      <c r="K482" s="338">
        <v>3</v>
      </c>
      <c r="L482" s="338">
        <v>9</v>
      </c>
      <c r="M482" s="342">
        <f t="shared" si="82"/>
        <v>1</v>
      </c>
      <c r="N482" s="343" t="s">
        <v>36</v>
      </c>
      <c r="O482" s="344" t="str">
        <f>IF(ISBLANK(N482),"",VLOOKUP(N482,[19]Parámetros!$G$2:$H$23,2,FALSE))</f>
        <v xml:space="preserve">Contratación directa (con ofertas) </v>
      </c>
      <c r="P482" s="345">
        <f t="shared" si="88"/>
        <v>1</v>
      </c>
      <c r="Q482" s="346">
        <f t="shared" si="83"/>
        <v>426500000</v>
      </c>
      <c r="R482" s="346">
        <f t="shared" si="84"/>
        <v>426500000</v>
      </c>
      <c r="S482" s="347" t="s">
        <v>223</v>
      </c>
      <c r="T482" s="345">
        <f t="shared" si="89"/>
        <v>0</v>
      </c>
      <c r="U482" s="348" t="str">
        <f t="shared" si="85"/>
        <v>SUBDIRECCION DE GESTION CONTRACTUAL</v>
      </c>
      <c r="V482" s="345" t="str">
        <f t="shared" si="86"/>
        <v>CO-DC</v>
      </c>
      <c r="W482" s="345" t="str">
        <f t="shared" si="87"/>
        <v>Distrito Capital de Bogotá</v>
      </c>
      <c r="X482" s="340" t="s">
        <v>151</v>
      </c>
      <c r="Y482" s="338">
        <v>2427401</v>
      </c>
      <c r="Z482" s="349" t="s">
        <v>152</v>
      </c>
      <c r="AA482" s="350"/>
      <c r="AB482" s="350"/>
      <c r="AC482" s="350"/>
      <c r="AD482" s="350"/>
      <c r="AE482" s="350"/>
      <c r="AF482" s="350"/>
      <c r="AG482" s="350"/>
      <c r="AH482" s="350"/>
      <c r="AI482" s="350"/>
      <c r="AJ482" s="350"/>
      <c r="AK482" s="350"/>
      <c r="AL482" s="350"/>
      <c r="AM482" s="350"/>
      <c r="AN482" s="350"/>
      <c r="AO482" s="350"/>
      <c r="AP482" s="350"/>
      <c r="AQ482" s="350"/>
      <c r="AR482" s="350"/>
      <c r="AS482" s="350"/>
      <c r="AT482" s="350"/>
      <c r="AU482" s="351"/>
      <c r="AV482" s="351"/>
      <c r="AW482" s="351"/>
      <c r="AX482" s="351"/>
      <c r="AY482" s="351"/>
      <c r="AZ482" s="351"/>
      <c r="BA482" s="351"/>
      <c r="BB482" s="351"/>
      <c r="BC482" s="351"/>
      <c r="BD482" s="351"/>
      <c r="BE482" s="351"/>
      <c r="BF482" s="351"/>
      <c r="BG482" s="351"/>
      <c r="BH482" s="351"/>
      <c r="BI482" s="351"/>
      <c r="BJ482" s="351"/>
      <c r="BK482" s="351"/>
      <c r="BL482" s="351"/>
      <c r="BM482" s="351"/>
      <c r="BN482" s="351"/>
      <c r="BO482" s="351"/>
      <c r="BP482" s="351"/>
      <c r="BQ482" s="351"/>
      <c r="BR482" s="351"/>
      <c r="BS482" s="351"/>
      <c r="BT482" s="351"/>
      <c r="BU482" s="351"/>
      <c r="BV482" s="351"/>
      <c r="BW482" s="351"/>
      <c r="BX482" s="351"/>
      <c r="BY482" s="351"/>
      <c r="BZ482" s="351"/>
      <c r="CA482" s="351"/>
      <c r="CB482" s="351"/>
      <c r="CC482" s="351"/>
      <c r="CD482" s="351"/>
      <c r="CE482" s="351"/>
      <c r="CF482" s="351"/>
      <c r="CG482" s="352"/>
    </row>
    <row r="483" spans="1:85" s="353" customFormat="1" ht="13.9" customHeight="1" x14ac:dyDescent="0.2">
      <c r="A483" s="337" t="s">
        <v>149</v>
      </c>
      <c r="B483" s="338">
        <v>28</v>
      </c>
      <c r="C483" s="339" t="s">
        <v>564</v>
      </c>
      <c r="D483" s="340" t="s">
        <v>850</v>
      </c>
      <c r="E483" s="341"/>
      <c r="F483" s="341">
        <v>864000000</v>
      </c>
      <c r="G483" s="341"/>
      <c r="H483" s="340" t="s">
        <v>790</v>
      </c>
      <c r="I483" s="339" t="s">
        <v>656</v>
      </c>
      <c r="J483" s="338">
        <v>3</v>
      </c>
      <c r="K483" s="338">
        <v>3</v>
      </c>
      <c r="L483" s="338">
        <v>9</v>
      </c>
      <c r="M483" s="342">
        <f t="shared" si="82"/>
        <v>1</v>
      </c>
      <c r="N483" s="343" t="s">
        <v>36</v>
      </c>
      <c r="O483" s="344" t="str">
        <f>IF(ISBLANK(N483),"",VLOOKUP(N483,[19]Parámetros!$G$2:$H$23,2,FALSE))</f>
        <v xml:space="preserve">Contratación directa (con ofertas) </v>
      </c>
      <c r="P483" s="345">
        <f t="shared" si="88"/>
        <v>1</v>
      </c>
      <c r="Q483" s="346">
        <f t="shared" si="83"/>
        <v>864000000</v>
      </c>
      <c r="R483" s="346">
        <f t="shared" si="84"/>
        <v>864000000</v>
      </c>
      <c r="S483" s="347" t="s">
        <v>223</v>
      </c>
      <c r="T483" s="345">
        <f t="shared" si="89"/>
        <v>0</v>
      </c>
      <c r="U483" s="348" t="str">
        <f t="shared" si="85"/>
        <v>SUBDIRECCION DE GESTION CONTRACTUAL</v>
      </c>
      <c r="V483" s="345" t="str">
        <f t="shared" si="86"/>
        <v>CO-DC</v>
      </c>
      <c r="W483" s="345" t="str">
        <f t="shared" si="87"/>
        <v>Distrito Capital de Bogotá</v>
      </c>
      <c r="X483" s="340" t="s">
        <v>151</v>
      </c>
      <c r="Y483" s="338">
        <v>2427401</v>
      </c>
      <c r="Z483" s="349" t="s">
        <v>152</v>
      </c>
      <c r="AA483" s="350"/>
      <c r="AB483" s="350"/>
      <c r="AC483" s="350"/>
      <c r="AD483" s="350"/>
      <c r="AE483" s="350"/>
      <c r="AF483" s="350"/>
      <c r="AG483" s="350"/>
      <c r="AH483" s="350"/>
      <c r="AI483" s="350"/>
      <c r="AJ483" s="350"/>
      <c r="AK483" s="350"/>
      <c r="AL483" s="350"/>
      <c r="AM483" s="350"/>
      <c r="AN483" s="350"/>
      <c r="AO483" s="350"/>
      <c r="AP483" s="350"/>
      <c r="AQ483" s="350"/>
      <c r="AR483" s="350"/>
      <c r="AS483" s="350"/>
      <c r="AT483" s="350"/>
      <c r="AU483" s="351"/>
      <c r="AV483" s="351"/>
      <c r="AW483" s="351"/>
      <c r="AX483" s="351"/>
      <c r="AY483" s="351"/>
      <c r="AZ483" s="351"/>
      <c r="BA483" s="351"/>
      <c r="BB483" s="351"/>
      <c r="BC483" s="351"/>
      <c r="BD483" s="351"/>
      <c r="BE483" s="351"/>
      <c r="BF483" s="351"/>
      <c r="BG483" s="351"/>
      <c r="BH483" s="351"/>
      <c r="BI483" s="351"/>
      <c r="BJ483" s="351"/>
      <c r="BK483" s="351"/>
      <c r="BL483" s="351"/>
      <c r="BM483" s="351"/>
      <c r="BN483" s="351"/>
      <c r="BO483" s="351"/>
      <c r="BP483" s="351"/>
      <c r="BQ483" s="351"/>
      <c r="BR483" s="351"/>
      <c r="BS483" s="351"/>
      <c r="BT483" s="351"/>
      <c r="BU483" s="351"/>
      <c r="BV483" s="351"/>
      <c r="BW483" s="351"/>
      <c r="BX483" s="351"/>
      <c r="BY483" s="351"/>
      <c r="BZ483" s="351"/>
      <c r="CA483" s="351"/>
      <c r="CB483" s="351"/>
      <c r="CC483" s="351"/>
      <c r="CD483" s="351"/>
      <c r="CE483" s="351"/>
      <c r="CF483" s="351"/>
      <c r="CG483" s="352"/>
    </row>
    <row r="484" spans="1:85" s="353" customFormat="1" ht="13.9" customHeight="1" x14ac:dyDescent="0.2">
      <c r="A484" s="337" t="s">
        <v>149</v>
      </c>
      <c r="B484" s="338">
        <v>29</v>
      </c>
      <c r="C484" s="339" t="s">
        <v>564</v>
      </c>
      <c r="D484" s="340" t="s">
        <v>850</v>
      </c>
      <c r="E484" s="341"/>
      <c r="F484" s="341">
        <v>288000000</v>
      </c>
      <c r="G484" s="341"/>
      <c r="H484" s="340">
        <v>80111600</v>
      </c>
      <c r="I484" s="339" t="s">
        <v>652</v>
      </c>
      <c r="J484" s="338">
        <v>1</v>
      </c>
      <c r="K484" s="338">
        <v>1</v>
      </c>
      <c r="L484" s="338">
        <v>12</v>
      </c>
      <c r="M484" s="342">
        <f t="shared" si="82"/>
        <v>1</v>
      </c>
      <c r="N484" s="343" t="s">
        <v>216</v>
      </c>
      <c r="O484" s="344" t="str">
        <f>IF(ISBLANK(N484),"",VLOOKUP(N484,[19]Parámetros!$G$2:$H$23,2,FALSE))</f>
        <v>Contratación directa.</v>
      </c>
      <c r="P484" s="345">
        <f t="shared" si="88"/>
        <v>1</v>
      </c>
      <c r="Q484" s="346">
        <f t="shared" si="83"/>
        <v>288000000</v>
      </c>
      <c r="R484" s="346">
        <f t="shared" si="84"/>
        <v>288000000</v>
      </c>
      <c r="S484" s="347" t="s">
        <v>223</v>
      </c>
      <c r="T484" s="345">
        <f t="shared" si="89"/>
        <v>0</v>
      </c>
      <c r="U484" s="348" t="str">
        <f t="shared" si="85"/>
        <v>SUBDIRECCION DE GESTION CONTRACTUAL</v>
      </c>
      <c r="V484" s="345" t="str">
        <f t="shared" si="86"/>
        <v>CO-DC</v>
      </c>
      <c r="W484" s="345" t="str">
        <f t="shared" si="87"/>
        <v>Distrito Capital de Bogotá</v>
      </c>
      <c r="X484" s="340" t="s">
        <v>151</v>
      </c>
      <c r="Y484" s="338">
        <v>2427401</v>
      </c>
      <c r="Z484" s="349" t="s">
        <v>152</v>
      </c>
      <c r="AA484" s="350"/>
      <c r="AB484" s="350"/>
      <c r="AC484" s="350"/>
      <c r="AD484" s="350"/>
      <c r="AE484" s="350"/>
      <c r="AF484" s="350"/>
      <c r="AG484" s="350"/>
      <c r="AH484" s="350"/>
      <c r="AI484" s="350"/>
      <c r="AJ484" s="350"/>
      <c r="AK484" s="350"/>
      <c r="AL484" s="350"/>
      <c r="AM484" s="350"/>
      <c r="AN484" s="350"/>
      <c r="AO484" s="350"/>
      <c r="AP484" s="350"/>
      <c r="AQ484" s="350"/>
      <c r="AR484" s="350"/>
      <c r="AS484" s="350"/>
      <c r="AT484" s="350"/>
      <c r="AU484" s="351"/>
      <c r="AV484" s="351"/>
      <c r="AW484" s="351"/>
      <c r="AX484" s="351"/>
      <c r="AY484" s="351"/>
      <c r="AZ484" s="351"/>
      <c r="BA484" s="351"/>
      <c r="BB484" s="351"/>
      <c r="BC484" s="351"/>
      <c r="BD484" s="351"/>
      <c r="BE484" s="351"/>
      <c r="BF484" s="351"/>
      <c r="BG484" s="351"/>
      <c r="BH484" s="351"/>
      <c r="BI484" s="351"/>
      <c r="BJ484" s="351"/>
      <c r="BK484" s="351"/>
      <c r="BL484" s="351"/>
      <c r="BM484" s="351"/>
      <c r="BN484" s="351"/>
      <c r="BO484" s="351"/>
      <c r="BP484" s="351"/>
      <c r="BQ484" s="351"/>
      <c r="BR484" s="351"/>
      <c r="BS484" s="351"/>
      <c r="BT484" s="351"/>
      <c r="BU484" s="351"/>
      <c r="BV484" s="351"/>
      <c r="BW484" s="351"/>
      <c r="BX484" s="351"/>
      <c r="BY484" s="351"/>
      <c r="BZ484" s="351"/>
      <c r="CA484" s="351"/>
      <c r="CB484" s="351"/>
      <c r="CC484" s="351"/>
      <c r="CD484" s="351"/>
      <c r="CE484" s="351"/>
      <c r="CF484" s="351"/>
      <c r="CG484" s="352"/>
    </row>
    <row r="485" spans="1:85" s="353" customFormat="1" ht="13.9" customHeight="1" x14ac:dyDescent="0.2">
      <c r="A485" s="337" t="s">
        <v>149</v>
      </c>
      <c r="B485" s="338">
        <v>30</v>
      </c>
      <c r="C485" s="339" t="s">
        <v>565</v>
      </c>
      <c r="D485" s="340" t="s">
        <v>850</v>
      </c>
      <c r="E485" s="341"/>
      <c r="F485" s="341">
        <v>1500000000</v>
      </c>
      <c r="G485" s="341"/>
      <c r="H485" s="340" t="s">
        <v>790</v>
      </c>
      <c r="I485" s="339" t="s">
        <v>656</v>
      </c>
      <c r="J485" s="338">
        <v>3</v>
      </c>
      <c r="K485" s="338">
        <v>3</v>
      </c>
      <c r="L485" s="338">
        <v>9</v>
      </c>
      <c r="M485" s="342">
        <f t="shared" si="82"/>
        <v>1</v>
      </c>
      <c r="N485" s="343" t="s">
        <v>36</v>
      </c>
      <c r="O485" s="344" t="str">
        <f>IF(ISBLANK(N485),"",VLOOKUP(N485,[19]Parámetros!$G$2:$H$23,2,FALSE))</f>
        <v xml:space="preserve">Contratación directa (con ofertas) </v>
      </c>
      <c r="P485" s="345">
        <f t="shared" si="88"/>
        <v>1</v>
      </c>
      <c r="Q485" s="346">
        <f t="shared" si="83"/>
        <v>1500000000</v>
      </c>
      <c r="R485" s="346">
        <f t="shared" si="84"/>
        <v>1500000000</v>
      </c>
      <c r="S485" s="347" t="s">
        <v>223</v>
      </c>
      <c r="T485" s="345">
        <f t="shared" si="89"/>
        <v>0</v>
      </c>
      <c r="U485" s="348" t="str">
        <f t="shared" si="85"/>
        <v>SUBDIRECCION DE GESTION CONTRACTUAL</v>
      </c>
      <c r="V485" s="345" t="str">
        <f t="shared" si="86"/>
        <v>CO-DC</v>
      </c>
      <c r="W485" s="345" t="str">
        <f t="shared" si="87"/>
        <v>Distrito Capital de Bogotá</v>
      </c>
      <c r="X485" s="340" t="s">
        <v>151</v>
      </c>
      <c r="Y485" s="338">
        <v>2427401</v>
      </c>
      <c r="Z485" s="349" t="s">
        <v>152</v>
      </c>
      <c r="AA485" s="350"/>
      <c r="AB485" s="350"/>
      <c r="AC485" s="350"/>
      <c r="AD485" s="350"/>
      <c r="AE485" s="350"/>
      <c r="AF485" s="350"/>
      <c r="AG485" s="350"/>
      <c r="AH485" s="350"/>
      <c r="AI485" s="350"/>
      <c r="AJ485" s="350"/>
      <c r="AK485" s="350"/>
      <c r="AL485" s="350"/>
      <c r="AM485" s="350"/>
      <c r="AN485" s="350"/>
      <c r="AO485" s="350"/>
      <c r="AP485" s="350"/>
      <c r="AQ485" s="350"/>
      <c r="AR485" s="350"/>
      <c r="AS485" s="350"/>
      <c r="AT485" s="350"/>
      <c r="AU485" s="351"/>
      <c r="AV485" s="351"/>
      <c r="AW485" s="351"/>
      <c r="AX485" s="351"/>
      <c r="AY485" s="351"/>
      <c r="AZ485" s="351"/>
      <c r="BA485" s="351"/>
      <c r="BB485" s="351"/>
      <c r="BC485" s="351"/>
      <c r="BD485" s="351"/>
      <c r="BE485" s="351"/>
      <c r="BF485" s="351"/>
      <c r="BG485" s="351"/>
      <c r="BH485" s="351"/>
      <c r="BI485" s="351"/>
      <c r="BJ485" s="351"/>
      <c r="BK485" s="351"/>
      <c r="BL485" s="351"/>
      <c r="BM485" s="351"/>
      <c r="BN485" s="351"/>
      <c r="BO485" s="351"/>
      <c r="BP485" s="351"/>
      <c r="BQ485" s="351"/>
      <c r="BR485" s="351"/>
      <c r="BS485" s="351"/>
      <c r="BT485" s="351"/>
      <c r="BU485" s="351"/>
      <c r="BV485" s="351"/>
      <c r="BW485" s="351"/>
      <c r="BX485" s="351"/>
      <c r="BY485" s="351"/>
      <c r="BZ485" s="351"/>
      <c r="CA485" s="351"/>
      <c r="CB485" s="351"/>
      <c r="CC485" s="351"/>
      <c r="CD485" s="351"/>
      <c r="CE485" s="351"/>
      <c r="CF485" s="351"/>
      <c r="CG485" s="352"/>
    </row>
    <row r="486" spans="1:85" s="353" customFormat="1" ht="13.9" customHeight="1" x14ac:dyDescent="0.2">
      <c r="A486" s="337" t="s">
        <v>149</v>
      </c>
      <c r="B486" s="338">
        <v>31</v>
      </c>
      <c r="C486" s="339" t="s">
        <v>565</v>
      </c>
      <c r="D486" s="340" t="s">
        <v>850</v>
      </c>
      <c r="E486" s="341"/>
      <c r="F486" s="341">
        <v>1500000000</v>
      </c>
      <c r="G486" s="341"/>
      <c r="H486" s="340" t="s">
        <v>844</v>
      </c>
      <c r="I486" s="339" t="s">
        <v>649</v>
      </c>
      <c r="J486" s="338">
        <v>3</v>
      </c>
      <c r="K486" s="338">
        <v>3</v>
      </c>
      <c r="L486" s="338">
        <v>9</v>
      </c>
      <c r="M486" s="342">
        <f t="shared" si="82"/>
        <v>1</v>
      </c>
      <c r="N486" s="343" t="s">
        <v>36</v>
      </c>
      <c r="O486" s="344" t="str">
        <f>IF(ISBLANK(N486),"",VLOOKUP(N486,[19]Parámetros!$G$2:$H$23,2,FALSE))</f>
        <v xml:space="preserve">Contratación directa (con ofertas) </v>
      </c>
      <c r="P486" s="345">
        <f t="shared" si="88"/>
        <v>1</v>
      </c>
      <c r="Q486" s="346">
        <f t="shared" si="83"/>
        <v>1500000000</v>
      </c>
      <c r="R486" s="346">
        <f t="shared" si="84"/>
        <v>1500000000</v>
      </c>
      <c r="S486" s="347" t="s">
        <v>223</v>
      </c>
      <c r="T486" s="345">
        <f t="shared" si="89"/>
        <v>0</v>
      </c>
      <c r="U486" s="348" t="str">
        <f t="shared" si="85"/>
        <v>SUBDIRECCION DE GESTION CONTRACTUAL</v>
      </c>
      <c r="V486" s="345" t="str">
        <f t="shared" si="86"/>
        <v>CO-DC</v>
      </c>
      <c r="W486" s="345" t="str">
        <f t="shared" si="87"/>
        <v>Distrito Capital de Bogotá</v>
      </c>
      <c r="X486" s="340" t="s">
        <v>151</v>
      </c>
      <c r="Y486" s="338">
        <v>2427401</v>
      </c>
      <c r="Z486" s="349" t="s">
        <v>152</v>
      </c>
      <c r="AA486" s="350"/>
      <c r="AB486" s="350"/>
      <c r="AC486" s="350"/>
      <c r="AD486" s="350"/>
      <c r="AE486" s="350"/>
      <c r="AF486" s="350"/>
      <c r="AG486" s="350"/>
      <c r="AH486" s="350"/>
      <c r="AI486" s="350"/>
      <c r="AJ486" s="350"/>
      <c r="AK486" s="350"/>
      <c r="AL486" s="350"/>
      <c r="AM486" s="350"/>
      <c r="AN486" s="350"/>
      <c r="AO486" s="350"/>
      <c r="AP486" s="350"/>
      <c r="AQ486" s="350"/>
      <c r="AR486" s="350"/>
      <c r="AS486" s="350"/>
      <c r="AT486" s="350"/>
      <c r="AU486" s="351"/>
      <c r="AV486" s="351"/>
      <c r="AW486" s="351"/>
      <c r="AX486" s="351"/>
      <c r="AY486" s="351"/>
      <c r="AZ486" s="351"/>
      <c r="BA486" s="351"/>
      <c r="BB486" s="351"/>
      <c r="BC486" s="351"/>
      <c r="BD486" s="351"/>
      <c r="BE486" s="351"/>
      <c r="BF486" s="351"/>
      <c r="BG486" s="351"/>
      <c r="BH486" s="351"/>
      <c r="BI486" s="351"/>
      <c r="BJ486" s="351"/>
      <c r="BK486" s="351"/>
      <c r="BL486" s="351"/>
      <c r="BM486" s="351"/>
      <c r="BN486" s="351"/>
      <c r="BO486" s="351"/>
      <c r="BP486" s="351"/>
      <c r="BQ486" s="351"/>
      <c r="BR486" s="351"/>
      <c r="BS486" s="351"/>
      <c r="BT486" s="351"/>
      <c r="BU486" s="351"/>
      <c r="BV486" s="351"/>
      <c r="BW486" s="351"/>
      <c r="BX486" s="351"/>
      <c r="BY486" s="351"/>
      <c r="BZ486" s="351"/>
      <c r="CA486" s="351"/>
      <c r="CB486" s="351"/>
      <c r="CC486" s="351"/>
      <c r="CD486" s="351"/>
      <c r="CE486" s="351"/>
      <c r="CF486" s="351"/>
      <c r="CG486" s="352"/>
    </row>
    <row r="487" spans="1:85" s="353" customFormat="1" ht="13.9" customHeight="1" x14ac:dyDescent="0.2">
      <c r="A487" s="337" t="s">
        <v>149</v>
      </c>
      <c r="B487" s="338">
        <v>32</v>
      </c>
      <c r="C487" s="339" t="s">
        <v>566</v>
      </c>
      <c r="D487" s="340" t="s">
        <v>850</v>
      </c>
      <c r="E487" s="341"/>
      <c r="F487" s="341">
        <v>3134000000</v>
      </c>
      <c r="G487" s="341"/>
      <c r="H487" s="340">
        <v>80111600</v>
      </c>
      <c r="I487" s="339" t="s">
        <v>652</v>
      </c>
      <c r="J487" s="338">
        <v>1</v>
      </c>
      <c r="K487" s="338">
        <v>1</v>
      </c>
      <c r="L487" s="338">
        <v>12</v>
      </c>
      <c r="M487" s="342">
        <f t="shared" si="82"/>
        <v>1</v>
      </c>
      <c r="N487" s="343" t="s">
        <v>216</v>
      </c>
      <c r="O487" s="344" t="str">
        <f>IF(ISBLANK(N487),"",VLOOKUP(N487,[19]Parámetros!$G$2:$H$23,2,FALSE))</f>
        <v>Contratación directa.</v>
      </c>
      <c r="P487" s="345">
        <f t="shared" si="88"/>
        <v>1</v>
      </c>
      <c r="Q487" s="346">
        <f t="shared" si="83"/>
        <v>3134000000</v>
      </c>
      <c r="R487" s="346">
        <f t="shared" si="84"/>
        <v>3134000000</v>
      </c>
      <c r="S487" s="347" t="s">
        <v>223</v>
      </c>
      <c r="T487" s="345">
        <f t="shared" si="89"/>
        <v>0</v>
      </c>
      <c r="U487" s="348" t="str">
        <f t="shared" si="85"/>
        <v>SUBDIRECCION DE GESTION CONTRACTUAL</v>
      </c>
      <c r="V487" s="345" t="str">
        <f t="shared" si="86"/>
        <v>CO-DC</v>
      </c>
      <c r="W487" s="345" t="str">
        <f t="shared" si="87"/>
        <v>Distrito Capital de Bogotá</v>
      </c>
      <c r="X487" s="340" t="s">
        <v>151</v>
      </c>
      <c r="Y487" s="338">
        <v>2427401</v>
      </c>
      <c r="Z487" s="349" t="s">
        <v>152</v>
      </c>
      <c r="AA487" s="350"/>
      <c r="AB487" s="350"/>
      <c r="AC487" s="350"/>
      <c r="AD487" s="350"/>
      <c r="AE487" s="350"/>
      <c r="AF487" s="350"/>
      <c r="AG487" s="350"/>
      <c r="AH487" s="350"/>
      <c r="AI487" s="350"/>
      <c r="AJ487" s="350"/>
      <c r="AK487" s="350"/>
      <c r="AL487" s="350"/>
      <c r="AM487" s="350"/>
      <c r="AN487" s="350"/>
      <c r="AO487" s="350"/>
      <c r="AP487" s="350"/>
      <c r="AQ487" s="350"/>
      <c r="AR487" s="350"/>
      <c r="AS487" s="350"/>
      <c r="AT487" s="350"/>
      <c r="AU487" s="351"/>
      <c r="AV487" s="351"/>
      <c r="AW487" s="351"/>
      <c r="AX487" s="351"/>
      <c r="AY487" s="351"/>
      <c r="AZ487" s="351"/>
      <c r="BA487" s="351"/>
      <c r="BB487" s="351"/>
      <c r="BC487" s="351"/>
      <c r="BD487" s="351"/>
      <c r="BE487" s="351"/>
      <c r="BF487" s="351"/>
      <c r="BG487" s="351"/>
      <c r="BH487" s="351"/>
      <c r="BI487" s="351"/>
      <c r="BJ487" s="351"/>
      <c r="BK487" s="351"/>
      <c r="BL487" s="351"/>
      <c r="BM487" s="351"/>
      <c r="BN487" s="351"/>
      <c r="BO487" s="351"/>
      <c r="BP487" s="351"/>
      <c r="BQ487" s="351"/>
      <c r="BR487" s="351"/>
      <c r="BS487" s="351"/>
      <c r="BT487" s="351"/>
      <c r="BU487" s="351"/>
      <c r="BV487" s="351"/>
      <c r="BW487" s="351"/>
      <c r="BX487" s="351"/>
      <c r="BY487" s="351"/>
      <c r="BZ487" s="351"/>
      <c r="CA487" s="351"/>
      <c r="CB487" s="351"/>
      <c r="CC487" s="351"/>
      <c r="CD487" s="351"/>
      <c r="CE487" s="351"/>
      <c r="CF487" s="351"/>
      <c r="CG487" s="352"/>
    </row>
    <row r="488" spans="1:85" s="353" customFormat="1" ht="13.9" customHeight="1" x14ac:dyDescent="0.2">
      <c r="A488" s="337" t="s">
        <v>149</v>
      </c>
      <c r="B488" s="338">
        <v>33</v>
      </c>
      <c r="C488" s="339" t="s">
        <v>566</v>
      </c>
      <c r="D488" s="340" t="s">
        <v>850</v>
      </c>
      <c r="E488" s="341"/>
      <c r="F488" s="341">
        <v>160100000</v>
      </c>
      <c r="G488" s="341"/>
      <c r="H488" s="354" t="s">
        <v>795</v>
      </c>
      <c r="I488" s="339" t="s">
        <v>619</v>
      </c>
      <c r="J488" s="364">
        <v>1</v>
      </c>
      <c r="K488" s="364">
        <v>2</v>
      </c>
      <c r="L488" s="364">
        <v>3</v>
      </c>
      <c r="M488" s="342">
        <f t="shared" si="82"/>
        <v>1</v>
      </c>
      <c r="N488" s="343" t="s">
        <v>36</v>
      </c>
      <c r="O488" s="344" t="str">
        <f>IF(ISBLANK(N488),"",VLOOKUP(N488,[19]Parámetros!$G$2:$H$23,2,FALSE))</f>
        <v xml:space="preserve">Contratación directa (con ofertas) </v>
      </c>
      <c r="P488" s="345">
        <v>1</v>
      </c>
      <c r="Q488" s="346">
        <f t="shared" si="83"/>
        <v>160100000</v>
      </c>
      <c r="R488" s="346">
        <f t="shared" si="84"/>
        <v>160100000</v>
      </c>
      <c r="S488" s="347" t="s">
        <v>223</v>
      </c>
      <c r="T488" s="345">
        <v>0</v>
      </c>
      <c r="U488" s="348" t="str">
        <f t="shared" si="85"/>
        <v>SUBDIRECCION DE GESTION CONTRACTUAL</v>
      </c>
      <c r="V488" s="345" t="str">
        <f t="shared" si="86"/>
        <v>CO-DC</v>
      </c>
      <c r="W488" s="345" t="str">
        <f t="shared" si="87"/>
        <v>Distrito Capital de Bogotá</v>
      </c>
      <c r="X488" s="340" t="s">
        <v>151</v>
      </c>
      <c r="Y488" s="338">
        <v>2427401</v>
      </c>
      <c r="Z488" s="349" t="s">
        <v>152</v>
      </c>
      <c r="AA488" s="350"/>
      <c r="AB488" s="350"/>
      <c r="AC488" s="350"/>
      <c r="AD488" s="350"/>
      <c r="AE488" s="350"/>
      <c r="AF488" s="350"/>
      <c r="AG488" s="350"/>
      <c r="AH488" s="350"/>
      <c r="AI488" s="350"/>
      <c r="AJ488" s="350"/>
      <c r="AK488" s="350"/>
      <c r="AL488" s="350"/>
      <c r="AM488" s="350"/>
      <c r="AN488" s="350"/>
      <c r="AO488" s="350"/>
      <c r="AP488" s="350"/>
      <c r="AQ488" s="350"/>
      <c r="AR488" s="350"/>
      <c r="AS488" s="350"/>
      <c r="AT488" s="350"/>
      <c r="AU488" s="351"/>
      <c r="AV488" s="351"/>
      <c r="AW488" s="351"/>
      <c r="AX488" s="351"/>
      <c r="AY488" s="351"/>
      <c r="AZ488" s="351"/>
      <c r="BA488" s="351"/>
      <c r="BB488" s="351"/>
      <c r="BC488" s="351"/>
      <c r="BD488" s="351"/>
      <c r="BE488" s="351"/>
      <c r="BF488" s="351"/>
      <c r="BG488" s="351"/>
      <c r="BH488" s="351"/>
      <c r="BI488" s="351"/>
      <c r="BJ488" s="351"/>
      <c r="BK488" s="351"/>
      <c r="BL488" s="351"/>
      <c r="BM488" s="351"/>
      <c r="BN488" s="351"/>
      <c r="BO488" s="351"/>
      <c r="BP488" s="351"/>
      <c r="BQ488" s="351"/>
      <c r="BR488" s="351"/>
      <c r="BS488" s="351"/>
      <c r="BT488" s="351"/>
      <c r="BU488" s="351"/>
      <c r="BV488" s="351"/>
      <c r="BW488" s="351"/>
      <c r="BX488" s="351"/>
      <c r="BY488" s="351"/>
      <c r="BZ488" s="351"/>
      <c r="CA488" s="351"/>
      <c r="CB488" s="351"/>
      <c r="CC488" s="351"/>
      <c r="CD488" s="351"/>
      <c r="CE488" s="351"/>
      <c r="CF488" s="351"/>
      <c r="CG488" s="352"/>
    </row>
    <row r="489" spans="1:85" s="353" customFormat="1" ht="13.9" customHeight="1" x14ac:dyDescent="0.2">
      <c r="A489" s="337" t="s">
        <v>149</v>
      </c>
      <c r="B489" s="338">
        <v>34</v>
      </c>
      <c r="C489" s="339" t="s">
        <v>566</v>
      </c>
      <c r="D489" s="340" t="s">
        <v>850</v>
      </c>
      <c r="E489" s="341"/>
      <c r="F489" s="341">
        <v>2739900000</v>
      </c>
      <c r="G489" s="341"/>
      <c r="H489" s="354" t="s">
        <v>795</v>
      </c>
      <c r="I489" s="339" t="s">
        <v>619</v>
      </c>
      <c r="J489" s="359">
        <v>2</v>
      </c>
      <c r="K489" s="360">
        <v>3</v>
      </c>
      <c r="L489" s="361">
        <v>9</v>
      </c>
      <c r="M489" s="342">
        <f t="shared" si="82"/>
        <v>1</v>
      </c>
      <c r="N489" s="343" t="s">
        <v>233</v>
      </c>
      <c r="O489" s="344" t="str">
        <f>IF(ISBLANK(N489),"",VLOOKUP(N489,[19]Parámetros!$G$2:$H$23,2,FALSE))</f>
        <v>Licitación pública</v>
      </c>
      <c r="P489" s="345">
        <f t="shared" ref="P489:P496" si="90">IF(ISBLANK(N489),"",1)</f>
        <v>1</v>
      </c>
      <c r="Q489" s="346">
        <f t="shared" si="83"/>
        <v>2739900000</v>
      </c>
      <c r="R489" s="346">
        <f t="shared" si="84"/>
        <v>2739900000</v>
      </c>
      <c r="S489" s="347" t="s">
        <v>223</v>
      </c>
      <c r="T489" s="345">
        <f t="shared" ref="T489:T520" si="91">IF(ISBLANK(S489),"",IF(VALUE(S489)=0,0,IF(VALUE(S489)=1,3,"")))</f>
        <v>0</v>
      </c>
      <c r="U489" s="348" t="str">
        <f t="shared" si="85"/>
        <v>SUBDIRECCION DE GESTION CONTRACTUAL</v>
      </c>
      <c r="V489" s="345" t="str">
        <f t="shared" si="86"/>
        <v>CO-DC</v>
      </c>
      <c r="W489" s="345" t="str">
        <f t="shared" si="87"/>
        <v>Distrito Capital de Bogotá</v>
      </c>
      <c r="X489" s="340" t="s">
        <v>151</v>
      </c>
      <c r="Y489" s="338">
        <v>2427401</v>
      </c>
      <c r="Z489" s="349" t="s">
        <v>152</v>
      </c>
      <c r="AA489" s="350"/>
      <c r="AB489" s="350"/>
      <c r="AC489" s="350"/>
      <c r="AD489" s="350"/>
      <c r="AE489" s="350"/>
      <c r="AF489" s="350"/>
      <c r="AG489" s="350"/>
      <c r="AH489" s="350"/>
      <c r="AI489" s="350"/>
      <c r="AJ489" s="350"/>
      <c r="AK489" s="350"/>
      <c r="AL489" s="350"/>
      <c r="AM489" s="350"/>
      <c r="AN489" s="350"/>
      <c r="AO489" s="350"/>
      <c r="AP489" s="350"/>
      <c r="AQ489" s="350"/>
      <c r="AR489" s="350"/>
      <c r="AS489" s="350"/>
      <c r="AT489" s="350"/>
      <c r="AU489" s="351"/>
      <c r="AV489" s="351"/>
      <c r="AW489" s="351"/>
      <c r="AX489" s="351"/>
      <c r="AY489" s="351"/>
      <c r="AZ489" s="351"/>
      <c r="BA489" s="351"/>
      <c r="BB489" s="351"/>
      <c r="BC489" s="351"/>
      <c r="BD489" s="351"/>
      <c r="BE489" s="351"/>
      <c r="BF489" s="351"/>
      <c r="BG489" s="351"/>
      <c r="BH489" s="351"/>
      <c r="BI489" s="351"/>
      <c r="BJ489" s="351"/>
      <c r="BK489" s="351"/>
      <c r="BL489" s="351"/>
      <c r="BM489" s="351"/>
      <c r="BN489" s="351"/>
      <c r="BO489" s="351"/>
      <c r="BP489" s="351"/>
      <c r="BQ489" s="351"/>
      <c r="BR489" s="351"/>
      <c r="BS489" s="351"/>
      <c r="BT489" s="351"/>
      <c r="BU489" s="351"/>
      <c r="BV489" s="351"/>
      <c r="BW489" s="351"/>
      <c r="BX489" s="351"/>
      <c r="BY489" s="351"/>
      <c r="BZ489" s="351"/>
      <c r="CA489" s="351"/>
      <c r="CB489" s="351"/>
      <c r="CC489" s="351"/>
      <c r="CD489" s="351"/>
      <c r="CE489" s="351"/>
      <c r="CF489" s="351"/>
      <c r="CG489" s="352"/>
    </row>
    <row r="490" spans="1:85" s="353" customFormat="1" ht="13.9" customHeight="1" x14ac:dyDescent="0.2">
      <c r="A490" s="337" t="s">
        <v>149</v>
      </c>
      <c r="B490" s="338">
        <v>35</v>
      </c>
      <c r="C490" s="339" t="s">
        <v>566</v>
      </c>
      <c r="D490" s="340" t="s">
        <v>850</v>
      </c>
      <c r="E490" s="341"/>
      <c r="F490" s="341">
        <v>450000000</v>
      </c>
      <c r="G490" s="341"/>
      <c r="H490" s="354" t="s">
        <v>42</v>
      </c>
      <c r="I490" s="339" t="s">
        <v>622</v>
      </c>
      <c r="J490" s="359">
        <v>3</v>
      </c>
      <c r="K490" s="360">
        <v>4</v>
      </c>
      <c r="L490" s="361">
        <v>9</v>
      </c>
      <c r="M490" s="342">
        <f t="shared" si="82"/>
        <v>1</v>
      </c>
      <c r="N490" s="343" t="s">
        <v>61</v>
      </c>
      <c r="O490" s="344" t="str">
        <f>IF(ISBLANK(N490),"",VLOOKUP(N490,[19]Parámetros!$G$2:$H$23,2,FALSE))</f>
        <v>Contratación régimen especial - Selección de comisionista</v>
      </c>
      <c r="P490" s="345">
        <f t="shared" si="90"/>
        <v>1</v>
      </c>
      <c r="Q490" s="346">
        <f t="shared" si="83"/>
        <v>450000000</v>
      </c>
      <c r="R490" s="346">
        <f t="shared" si="84"/>
        <v>450000000</v>
      </c>
      <c r="S490" s="347" t="s">
        <v>223</v>
      </c>
      <c r="T490" s="345">
        <f t="shared" si="91"/>
        <v>0</v>
      </c>
      <c r="U490" s="348" t="str">
        <f t="shared" si="85"/>
        <v>SUBDIRECCION DE GESTION CONTRACTUAL</v>
      </c>
      <c r="V490" s="342" t="str">
        <f t="shared" si="86"/>
        <v>CO-DC</v>
      </c>
      <c r="W490" s="348" t="str">
        <f t="shared" si="87"/>
        <v>Distrito Capital de Bogotá</v>
      </c>
      <c r="X490" s="362" t="s">
        <v>358</v>
      </c>
      <c r="Y490" s="338">
        <v>2427401</v>
      </c>
      <c r="Z490" s="349" t="s">
        <v>75</v>
      </c>
      <c r="AA490" s="350"/>
      <c r="AB490" s="350"/>
      <c r="AC490" s="350"/>
      <c r="AD490" s="350"/>
      <c r="AE490" s="350"/>
      <c r="AF490" s="350"/>
      <c r="AG490" s="350"/>
      <c r="AH490" s="350"/>
      <c r="AI490" s="350"/>
      <c r="AJ490" s="350"/>
      <c r="AK490" s="350"/>
      <c r="AL490" s="350"/>
      <c r="AM490" s="350"/>
      <c r="AN490" s="350"/>
      <c r="AO490" s="350"/>
      <c r="AP490" s="350"/>
      <c r="AQ490" s="350"/>
      <c r="AR490" s="350"/>
      <c r="AS490" s="350"/>
      <c r="AT490" s="350"/>
      <c r="AU490" s="351"/>
      <c r="AV490" s="351"/>
      <c r="AW490" s="351"/>
      <c r="AX490" s="351"/>
      <c r="AY490" s="351"/>
      <c r="AZ490" s="351"/>
      <c r="BA490" s="351"/>
      <c r="BB490" s="351"/>
      <c r="BC490" s="351"/>
      <c r="BD490" s="351"/>
      <c r="BE490" s="351"/>
      <c r="BF490" s="351"/>
      <c r="BG490" s="351"/>
      <c r="BH490" s="351"/>
      <c r="BI490" s="351"/>
      <c r="BJ490" s="351"/>
      <c r="BK490" s="351"/>
      <c r="BL490" s="351"/>
      <c r="BM490" s="351"/>
      <c r="BN490" s="351"/>
      <c r="BO490" s="351"/>
      <c r="BP490" s="351"/>
      <c r="BQ490" s="351"/>
      <c r="BR490" s="351"/>
      <c r="BS490" s="351"/>
      <c r="BT490" s="351"/>
      <c r="BU490" s="351"/>
      <c r="BV490" s="351"/>
      <c r="BW490" s="351"/>
      <c r="BX490" s="351"/>
      <c r="BY490" s="351"/>
      <c r="BZ490" s="351"/>
      <c r="CA490" s="351"/>
      <c r="CB490" s="351"/>
      <c r="CC490" s="351"/>
      <c r="CD490" s="351"/>
      <c r="CE490" s="351"/>
      <c r="CF490" s="351"/>
      <c r="CG490" s="352"/>
    </row>
    <row r="491" spans="1:85" s="353" customFormat="1" ht="13.9" customHeight="1" x14ac:dyDescent="0.2">
      <c r="A491" s="337" t="s">
        <v>149</v>
      </c>
      <c r="B491" s="338">
        <v>36</v>
      </c>
      <c r="C491" s="339" t="s">
        <v>566</v>
      </c>
      <c r="D491" s="340" t="s">
        <v>850</v>
      </c>
      <c r="E491" s="341"/>
      <c r="F491" s="341">
        <v>438000000</v>
      </c>
      <c r="G491" s="341"/>
      <c r="H491" s="340" t="s">
        <v>845</v>
      </c>
      <c r="I491" s="339" t="s">
        <v>655</v>
      </c>
      <c r="J491" s="338">
        <v>4</v>
      </c>
      <c r="K491" s="338">
        <v>4</v>
      </c>
      <c r="L491" s="338">
        <v>8</v>
      </c>
      <c r="M491" s="342">
        <f t="shared" si="82"/>
        <v>1</v>
      </c>
      <c r="N491" s="343" t="s">
        <v>36</v>
      </c>
      <c r="O491" s="344" t="str">
        <f>IF(ISBLANK(N491),"",VLOOKUP(N491,[19]Parámetros!$G$2:$H$23,2,FALSE))</f>
        <v xml:space="preserve">Contratación directa (con ofertas) </v>
      </c>
      <c r="P491" s="345">
        <f t="shared" si="90"/>
        <v>1</v>
      </c>
      <c r="Q491" s="346">
        <f t="shared" si="83"/>
        <v>438000000</v>
      </c>
      <c r="R491" s="346">
        <f t="shared" si="84"/>
        <v>438000000</v>
      </c>
      <c r="S491" s="347" t="s">
        <v>223</v>
      </c>
      <c r="T491" s="345">
        <f t="shared" si="91"/>
        <v>0</v>
      </c>
      <c r="U491" s="348" t="str">
        <f t="shared" si="85"/>
        <v>SUBDIRECCION DE GESTION CONTRACTUAL</v>
      </c>
      <c r="V491" s="345" t="str">
        <f t="shared" si="86"/>
        <v>CO-DC</v>
      </c>
      <c r="W491" s="345" t="str">
        <f t="shared" si="87"/>
        <v>Distrito Capital de Bogotá</v>
      </c>
      <c r="X491" s="340" t="s">
        <v>151</v>
      </c>
      <c r="Y491" s="338">
        <v>2427401</v>
      </c>
      <c r="Z491" s="349" t="s">
        <v>152</v>
      </c>
      <c r="AA491" s="350"/>
      <c r="AB491" s="350"/>
      <c r="AC491" s="350"/>
      <c r="AD491" s="350"/>
      <c r="AE491" s="350"/>
      <c r="AF491" s="350"/>
      <c r="AG491" s="350"/>
      <c r="AH491" s="350"/>
      <c r="AI491" s="350"/>
      <c r="AJ491" s="350"/>
      <c r="AK491" s="350"/>
      <c r="AL491" s="350"/>
      <c r="AM491" s="350"/>
      <c r="AN491" s="350"/>
      <c r="AO491" s="350"/>
      <c r="AP491" s="350"/>
      <c r="AQ491" s="350"/>
      <c r="AR491" s="350"/>
      <c r="AS491" s="350"/>
      <c r="AT491" s="350"/>
      <c r="AU491" s="351"/>
      <c r="AV491" s="351"/>
      <c r="AW491" s="351"/>
      <c r="AX491" s="351"/>
      <c r="AY491" s="351"/>
      <c r="AZ491" s="351"/>
      <c r="BA491" s="351"/>
      <c r="BB491" s="351"/>
      <c r="BC491" s="351"/>
      <c r="BD491" s="351"/>
      <c r="BE491" s="351"/>
      <c r="BF491" s="351"/>
      <c r="BG491" s="351"/>
      <c r="BH491" s="351"/>
      <c r="BI491" s="351"/>
      <c r="BJ491" s="351"/>
      <c r="BK491" s="351"/>
      <c r="BL491" s="351"/>
      <c r="BM491" s="351"/>
      <c r="BN491" s="351"/>
      <c r="BO491" s="351"/>
      <c r="BP491" s="351"/>
      <c r="BQ491" s="351"/>
      <c r="BR491" s="351"/>
      <c r="BS491" s="351"/>
      <c r="BT491" s="351"/>
      <c r="BU491" s="351"/>
      <c r="BV491" s="351"/>
      <c r="BW491" s="351"/>
      <c r="BX491" s="351"/>
      <c r="BY491" s="351"/>
      <c r="BZ491" s="351"/>
      <c r="CA491" s="351"/>
      <c r="CB491" s="351"/>
      <c r="CC491" s="351"/>
      <c r="CD491" s="351"/>
      <c r="CE491" s="351"/>
      <c r="CF491" s="351"/>
      <c r="CG491" s="352"/>
    </row>
    <row r="492" spans="1:85" s="353" customFormat="1" ht="13.9" customHeight="1" x14ac:dyDescent="0.2">
      <c r="A492" s="337" t="s">
        <v>149</v>
      </c>
      <c r="B492" s="338">
        <v>37</v>
      </c>
      <c r="C492" s="339" t="s">
        <v>567</v>
      </c>
      <c r="D492" s="340" t="s">
        <v>850</v>
      </c>
      <c r="E492" s="341"/>
      <c r="F492" s="341">
        <v>576000000</v>
      </c>
      <c r="G492" s="341"/>
      <c r="H492" s="340" t="s">
        <v>845</v>
      </c>
      <c r="I492" s="339" t="s">
        <v>655</v>
      </c>
      <c r="J492" s="338">
        <v>4</v>
      </c>
      <c r="K492" s="338">
        <v>4</v>
      </c>
      <c r="L492" s="338">
        <v>8</v>
      </c>
      <c r="M492" s="342">
        <f t="shared" si="82"/>
        <v>1</v>
      </c>
      <c r="N492" s="343" t="s">
        <v>36</v>
      </c>
      <c r="O492" s="344" t="str">
        <f>IF(ISBLANK(N492),"",VLOOKUP(N492,[19]Parámetros!$G$2:$H$23,2,FALSE))</f>
        <v xml:space="preserve">Contratación directa (con ofertas) </v>
      </c>
      <c r="P492" s="345">
        <f t="shared" si="90"/>
        <v>1</v>
      </c>
      <c r="Q492" s="346">
        <f t="shared" si="83"/>
        <v>576000000</v>
      </c>
      <c r="R492" s="346">
        <f t="shared" si="84"/>
        <v>576000000</v>
      </c>
      <c r="S492" s="347" t="s">
        <v>223</v>
      </c>
      <c r="T492" s="345">
        <f t="shared" si="91"/>
        <v>0</v>
      </c>
      <c r="U492" s="348" t="str">
        <f t="shared" si="85"/>
        <v>SUBDIRECCION DE GESTION CONTRACTUAL</v>
      </c>
      <c r="V492" s="345" t="str">
        <f t="shared" si="86"/>
        <v>CO-DC</v>
      </c>
      <c r="W492" s="345" t="str">
        <f t="shared" si="87"/>
        <v>Distrito Capital de Bogotá</v>
      </c>
      <c r="X492" s="340" t="s">
        <v>151</v>
      </c>
      <c r="Y492" s="338">
        <v>2427401</v>
      </c>
      <c r="Z492" s="349" t="s">
        <v>152</v>
      </c>
      <c r="AA492" s="350"/>
      <c r="AB492" s="350"/>
      <c r="AC492" s="350"/>
      <c r="AD492" s="350"/>
      <c r="AE492" s="350"/>
      <c r="AF492" s="350"/>
      <c r="AG492" s="350"/>
      <c r="AH492" s="350"/>
      <c r="AI492" s="350"/>
      <c r="AJ492" s="350"/>
      <c r="AK492" s="350"/>
      <c r="AL492" s="350"/>
      <c r="AM492" s="350"/>
      <c r="AN492" s="350"/>
      <c r="AO492" s="350"/>
      <c r="AP492" s="350"/>
      <c r="AQ492" s="350"/>
      <c r="AR492" s="350"/>
      <c r="AS492" s="350"/>
      <c r="AT492" s="350"/>
      <c r="AU492" s="351"/>
      <c r="AV492" s="351"/>
      <c r="AW492" s="351"/>
      <c r="AX492" s="351"/>
      <c r="AY492" s="351"/>
      <c r="AZ492" s="351"/>
      <c r="BA492" s="351"/>
      <c r="BB492" s="351"/>
      <c r="BC492" s="351"/>
      <c r="BD492" s="351"/>
      <c r="BE492" s="351"/>
      <c r="BF492" s="351"/>
      <c r="BG492" s="351"/>
      <c r="BH492" s="351"/>
      <c r="BI492" s="351"/>
      <c r="BJ492" s="351"/>
      <c r="BK492" s="351"/>
      <c r="BL492" s="351"/>
      <c r="BM492" s="351"/>
      <c r="BN492" s="351"/>
      <c r="BO492" s="351"/>
      <c r="BP492" s="351"/>
      <c r="BQ492" s="351"/>
      <c r="BR492" s="351"/>
      <c r="BS492" s="351"/>
      <c r="BT492" s="351"/>
      <c r="BU492" s="351"/>
      <c r="BV492" s="351"/>
      <c r="BW492" s="351"/>
      <c r="BX492" s="351"/>
      <c r="BY492" s="351"/>
      <c r="BZ492" s="351"/>
      <c r="CA492" s="351"/>
      <c r="CB492" s="351"/>
      <c r="CC492" s="351"/>
      <c r="CD492" s="351"/>
      <c r="CE492" s="351"/>
      <c r="CF492" s="351"/>
      <c r="CG492" s="352"/>
    </row>
    <row r="493" spans="1:85" s="353" customFormat="1" ht="13.9" customHeight="1" x14ac:dyDescent="0.2">
      <c r="A493" s="337" t="s">
        <v>149</v>
      </c>
      <c r="B493" s="338">
        <v>38</v>
      </c>
      <c r="C493" s="339" t="s">
        <v>567</v>
      </c>
      <c r="D493" s="340" t="s">
        <v>850</v>
      </c>
      <c r="E493" s="341"/>
      <c r="F493" s="341">
        <v>4000000000</v>
      </c>
      <c r="G493" s="341"/>
      <c r="H493" s="340" t="s">
        <v>847</v>
      </c>
      <c r="I493" s="339" t="s">
        <v>654</v>
      </c>
      <c r="J493" s="338">
        <v>4</v>
      </c>
      <c r="K493" s="338">
        <v>4</v>
      </c>
      <c r="L493" s="338">
        <v>8</v>
      </c>
      <c r="M493" s="342">
        <f t="shared" si="82"/>
        <v>1</v>
      </c>
      <c r="N493" s="343" t="s">
        <v>36</v>
      </c>
      <c r="O493" s="344" t="str">
        <f>IF(ISBLANK(N493),"",VLOOKUP(N493,[19]Parámetros!$G$2:$H$23,2,FALSE))</f>
        <v xml:space="preserve">Contratación directa (con ofertas) </v>
      </c>
      <c r="P493" s="345">
        <f t="shared" si="90"/>
        <v>1</v>
      </c>
      <c r="Q493" s="346">
        <f t="shared" si="83"/>
        <v>4000000000</v>
      </c>
      <c r="R493" s="346">
        <f t="shared" si="84"/>
        <v>4000000000</v>
      </c>
      <c r="S493" s="347" t="s">
        <v>223</v>
      </c>
      <c r="T493" s="345">
        <f t="shared" si="91"/>
        <v>0</v>
      </c>
      <c r="U493" s="348" t="str">
        <f t="shared" si="85"/>
        <v>SUBDIRECCION DE GESTION CONTRACTUAL</v>
      </c>
      <c r="V493" s="345" t="str">
        <f t="shared" si="86"/>
        <v>CO-DC</v>
      </c>
      <c r="W493" s="345" t="str">
        <f t="shared" si="87"/>
        <v>Distrito Capital de Bogotá</v>
      </c>
      <c r="X493" s="340" t="s">
        <v>151</v>
      </c>
      <c r="Y493" s="338">
        <v>2427401</v>
      </c>
      <c r="Z493" s="349" t="s">
        <v>152</v>
      </c>
      <c r="AA493" s="350"/>
      <c r="AB493" s="350"/>
      <c r="AC493" s="350"/>
      <c r="AD493" s="350"/>
      <c r="AE493" s="350"/>
      <c r="AF493" s="350"/>
      <c r="AG493" s="350"/>
      <c r="AH493" s="350"/>
      <c r="AI493" s="350"/>
      <c r="AJ493" s="350"/>
      <c r="AK493" s="350"/>
      <c r="AL493" s="350"/>
      <c r="AM493" s="350"/>
      <c r="AN493" s="350"/>
      <c r="AO493" s="350"/>
      <c r="AP493" s="350"/>
      <c r="AQ493" s="350"/>
      <c r="AR493" s="350"/>
      <c r="AS493" s="350"/>
      <c r="AT493" s="350"/>
      <c r="AU493" s="351"/>
      <c r="AV493" s="351"/>
      <c r="AW493" s="351"/>
      <c r="AX493" s="351"/>
      <c r="AY493" s="351"/>
      <c r="AZ493" s="351"/>
      <c r="BA493" s="351"/>
      <c r="BB493" s="351"/>
      <c r="BC493" s="351"/>
      <c r="BD493" s="351"/>
      <c r="BE493" s="351"/>
      <c r="BF493" s="351"/>
      <c r="BG493" s="351"/>
      <c r="BH493" s="351"/>
      <c r="BI493" s="351"/>
      <c r="BJ493" s="351"/>
      <c r="BK493" s="351"/>
      <c r="BL493" s="351"/>
      <c r="BM493" s="351"/>
      <c r="BN493" s="351"/>
      <c r="BO493" s="351"/>
      <c r="BP493" s="351"/>
      <c r="BQ493" s="351"/>
      <c r="BR493" s="351"/>
      <c r="BS493" s="351"/>
      <c r="BT493" s="351"/>
      <c r="BU493" s="351"/>
      <c r="BV493" s="351"/>
      <c r="BW493" s="351"/>
      <c r="BX493" s="351"/>
      <c r="BY493" s="351"/>
      <c r="BZ493" s="351"/>
      <c r="CA493" s="351"/>
      <c r="CB493" s="351"/>
      <c r="CC493" s="351"/>
      <c r="CD493" s="351"/>
      <c r="CE493" s="351"/>
      <c r="CF493" s="351"/>
      <c r="CG493" s="352"/>
    </row>
    <row r="494" spans="1:85" s="353" customFormat="1" ht="13.9" customHeight="1" x14ac:dyDescent="0.2">
      <c r="A494" s="337" t="s">
        <v>149</v>
      </c>
      <c r="B494" s="338">
        <v>39</v>
      </c>
      <c r="C494" s="339" t="s">
        <v>567</v>
      </c>
      <c r="D494" s="340" t="s">
        <v>850</v>
      </c>
      <c r="E494" s="341"/>
      <c r="F494" s="341">
        <v>4000000000</v>
      </c>
      <c r="G494" s="341"/>
      <c r="H494" s="340" t="s">
        <v>847</v>
      </c>
      <c r="I494" s="339" t="s">
        <v>654</v>
      </c>
      <c r="J494" s="338">
        <v>4</v>
      </c>
      <c r="K494" s="338">
        <v>4</v>
      </c>
      <c r="L494" s="338">
        <v>8</v>
      </c>
      <c r="M494" s="342">
        <f t="shared" si="82"/>
        <v>1</v>
      </c>
      <c r="N494" s="343" t="s">
        <v>36</v>
      </c>
      <c r="O494" s="344" t="str">
        <f>IF(ISBLANK(N494),"",VLOOKUP(N494,[19]Parámetros!$G$2:$H$23,2,FALSE))</f>
        <v xml:space="preserve">Contratación directa (con ofertas) </v>
      </c>
      <c r="P494" s="345">
        <f t="shared" si="90"/>
        <v>1</v>
      </c>
      <c r="Q494" s="346">
        <f t="shared" si="83"/>
        <v>4000000000</v>
      </c>
      <c r="R494" s="346">
        <f t="shared" si="84"/>
        <v>4000000000</v>
      </c>
      <c r="S494" s="347" t="s">
        <v>223</v>
      </c>
      <c r="T494" s="345">
        <f t="shared" si="91"/>
        <v>0</v>
      </c>
      <c r="U494" s="348" t="str">
        <f t="shared" si="85"/>
        <v>SUBDIRECCION DE GESTION CONTRACTUAL</v>
      </c>
      <c r="V494" s="345" t="str">
        <f t="shared" si="86"/>
        <v>CO-DC</v>
      </c>
      <c r="W494" s="345" t="str">
        <f t="shared" si="87"/>
        <v>Distrito Capital de Bogotá</v>
      </c>
      <c r="X494" s="340" t="s">
        <v>151</v>
      </c>
      <c r="Y494" s="338">
        <v>2427401</v>
      </c>
      <c r="Z494" s="349" t="s">
        <v>152</v>
      </c>
      <c r="AA494" s="350"/>
      <c r="AB494" s="350"/>
      <c r="AC494" s="350"/>
      <c r="AD494" s="350"/>
      <c r="AE494" s="350"/>
      <c r="AF494" s="350"/>
      <c r="AG494" s="350"/>
      <c r="AH494" s="350"/>
      <c r="AI494" s="350"/>
      <c r="AJ494" s="350"/>
      <c r="AK494" s="350"/>
      <c r="AL494" s="350"/>
      <c r="AM494" s="350"/>
      <c r="AN494" s="350"/>
      <c r="AO494" s="350"/>
      <c r="AP494" s="350"/>
      <c r="AQ494" s="350"/>
      <c r="AR494" s="350"/>
      <c r="AS494" s="350"/>
      <c r="AT494" s="350"/>
      <c r="AU494" s="351"/>
      <c r="AV494" s="351"/>
      <c r="AW494" s="351"/>
      <c r="AX494" s="351"/>
      <c r="AY494" s="351"/>
      <c r="AZ494" s="351"/>
      <c r="BA494" s="351"/>
      <c r="BB494" s="351"/>
      <c r="BC494" s="351"/>
      <c r="BD494" s="351"/>
      <c r="BE494" s="351"/>
      <c r="BF494" s="351"/>
      <c r="BG494" s="351"/>
      <c r="BH494" s="351"/>
      <c r="BI494" s="351"/>
      <c r="BJ494" s="351"/>
      <c r="BK494" s="351"/>
      <c r="BL494" s="351"/>
      <c r="BM494" s="351"/>
      <c r="BN494" s="351"/>
      <c r="BO494" s="351"/>
      <c r="BP494" s="351"/>
      <c r="BQ494" s="351"/>
      <c r="BR494" s="351"/>
      <c r="BS494" s="351"/>
      <c r="BT494" s="351"/>
      <c r="BU494" s="351"/>
      <c r="BV494" s="351"/>
      <c r="BW494" s="351"/>
      <c r="BX494" s="351"/>
      <c r="BY494" s="351"/>
      <c r="BZ494" s="351"/>
      <c r="CA494" s="351"/>
      <c r="CB494" s="351"/>
      <c r="CC494" s="351"/>
      <c r="CD494" s="351"/>
      <c r="CE494" s="351"/>
      <c r="CF494" s="351"/>
      <c r="CG494" s="352"/>
    </row>
    <row r="495" spans="1:85" s="358" customFormat="1" ht="12.75" customHeight="1" x14ac:dyDescent="0.2">
      <c r="A495" s="342" t="s">
        <v>149</v>
      </c>
      <c r="B495" s="342">
        <v>40</v>
      </c>
      <c r="C495" s="366" t="s">
        <v>155</v>
      </c>
      <c r="D495" s="366" t="s">
        <v>175</v>
      </c>
      <c r="E495" s="367"/>
      <c r="F495" s="367">
        <v>200000000</v>
      </c>
      <c r="G495" s="367"/>
      <c r="H495" s="354" t="s">
        <v>239</v>
      </c>
      <c r="I495" s="368" t="s">
        <v>653</v>
      </c>
      <c r="J495" s="363">
        <v>2</v>
      </c>
      <c r="K495" s="363">
        <v>3</v>
      </c>
      <c r="L495" s="363">
        <v>4</v>
      </c>
      <c r="M495" s="342">
        <f t="shared" si="82"/>
        <v>1</v>
      </c>
      <c r="N495" s="343" t="s">
        <v>43</v>
      </c>
      <c r="O495" s="344" t="str">
        <f>IF(ISBLANK(N495),"",VLOOKUP(N495,[19]Parámetros!$G$2:$H$23,2,FALSE))</f>
        <v>Selección abreviada subasta inversa</v>
      </c>
      <c r="P495" s="369">
        <f t="shared" si="90"/>
        <v>1</v>
      </c>
      <c r="Q495" s="346">
        <f t="shared" si="83"/>
        <v>200000000</v>
      </c>
      <c r="R495" s="346">
        <f t="shared" si="84"/>
        <v>200000000</v>
      </c>
      <c r="S495" s="370" t="s">
        <v>223</v>
      </c>
      <c r="T495" s="343">
        <f t="shared" si="91"/>
        <v>0</v>
      </c>
      <c r="U495" s="348" t="str">
        <f t="shared" si="85"/>
        <v>SUBDIRECCION DE GESTION CONTRACTUAL</v>
      </c>
      <c r="V495" s="342" t="str">
        <f t="shared" si="86"/>
        <v>CO-DC</v>
      </c>
      <c r="W495" s="348" t="str">
        <f t="shared" si="87"/>
        <v>Distrito Capital de Bogotá</v>
      </c>
      <c r="X495" s="362" t="s">
        <v>331</v>
      </c>
      <c r="Y495" s="342">
        <v>2427400</v>
      </c>
      <c r="Z495" s="371" t="s">
        <v>94</v>
      </c>
    </row>
    <row r="496" spans="1:85" s="353" customFormat="1" ht="13.9" customHeight="1" x14ac:dyDescent="0.2">
      <c r="A496" s="337" t="s">
        <v>149</v>
      </c>
      <c r="B496" s="338">
        <v>41</v>
      </c>
      <c r="C496" s="339" t="s">
        <v>154</v>
      </c>
      <c r="D496" s="340" t="s">
        <v>558</v>
      </c>
      <c r="E496" s="341"/>
      <c r="F496" s="341">
        <v>400000000</v>
      </c>
      <c r="G496" s="341"/>
      <c r="H496" s="354" t="s">
        <v>644</v>
      </c>
      <c r="I496" s="339" t="s">
        <v>660</v>
      </c>
      <c r="J496" s="359">
        <v>2</v>
      </c>
      <c r="K496" s="360">
        <v>2</v>
      </c>
      <c r="L496" s="361">
        <v>10</v>
      </c>
      <c r="M496" s="342">
        <f t="shared" si="82"/>
        <v>1</v>
      </c>
      <c r="N496" s="343" t="s">
        <v>36</v>
      </c>
      <c r="O496" s="344" t="str">
        <f>IF(ISBLANK(N496),"",VLOOKUP(N496,[19]Parámetros!$G$2:$H$23,2,FALSE))</f>
        <v xml:space="preserve">Contratación directa (con ofertas) </v>
      </c>
      <c r="P496" s="345">
        <f t="shared" si="90"/>
        <v>1</v>
      </c>
      <c r="Q496" s="346">
        <f t="shared" si="83"/>
        <v>400000000</v>
      </c>
      <c r="R496" s="346">
        <f t="shared" si="84"/>
        <v>400000000</v>
      </c>
      <c r="S496" s="347" t="s">
        <v>223</v>
      </c>
      <c r="T496" s="345">
        <f t="shared" si="91"/>
        <v>0</v>
      </c>
      <c r="U496" s="348" t="str">
        <f t="shared" si="85"/>
        <v>SUBDIRECCION DE GESTION CONTRACTUAL</v>
      </c>
      <c r="V496" s="342" t="str">
        <f t="shared" si="86"/>
        <v>CO-DC</v>
      </c>
      <c r="W496" s="345" t="str">
        <f t="shared" si="87"/>
        <v>Distrito Capital de Bogotá</v>
      </c>
      <c r="X496" s="362" t="s">
        <v>331</v>
      </c>
      <c r="Y496" s="342">
        <v>2427400</v>
      </c>
      <c r="Z496" s="371" t="s">
        <v>94</v>
      </c>
      <c r="AA496" s="350"/>
      <c r="AB496" s="350"/>
      <c r="AC496" s="350"/>
      <c r="AD496" s="350"/>
      <c r="AE496" s="350"/>
      <c r="AF496" s="350"/>
      <c r="AG496" s="350"/>
      <c r="AH496" s="350"/>
      <c r="AI496" s="350"/>
      <c r="AJ496" s="350"/>
      <c r="AK496" s="350"/>
      <c r="AL496" s="350"/>
      <c r="AM496" s="350"/>
      <c r="AN496" s="350"/>
      <c r="AO496" s="350"/>
      <c r="AP496" s="350"/>
      <c r="AQ496" s="350"/>
      <c r="AR496" s="350"/>
      <c r="AS496" s="350"/>
      <c r="AT496" s="350"/>
      <c r="AU496" s="351"/>
      <c r="AV496" s="351"/>
      <c r="AW496" s="351"/>
      <c r="AX496" s="351"/>
      <c r="AY496" s="351"/>
      <c r="AZ496" s="351"/>
      <c r="BA496" s="351"/>
      <c r="BB496" s="351"/>
      <c r="BC496" s="351"/>
      <c r="BD496" s="351"/>
      <c r="BE496" s="351"/>
      <c r="BF496" s="351"/>
      <c r="BG496" s="351"/>
      <c r="BH496" s="351"/>
      <c r="BI496" s="351"/>
      <c r="BJ496" s="351"/>
      <c r="BK496" s="351"/>
      <c r="BL496" s="351"/>
      <c r="BM496" s="351"/>
      <c r="BN496" s="351"/>
      <c r="BO496" s="351"/>
      <c r="BP496" s="351"/>
      <c r="BQ496" s="351"/>
      <c r="BR496" s="351"/>
      <c r="BS496" s="351"/>
      <c r="BT496" s="351"/>
      <c r="BU496" s="351"/>
      <c r="BV496" s="351"/>
      <c r="BW496" s="351"/>
      <c r="BX496" s="351"/>
      <c r="BY496" s="351"/>
      <c r="BZ496" s="351"/>
      <c r="CA496" s="351"/>
      <c r="CB496" s="351"/>
      <c r="CC496" s="351"/>
      <c r="CD496" s="351"/>
      <c r="CE496" s="351"/>
      <c r="CF496" s="351"/>
      <c r="CG496" s="352"/>
    </row>
    <row r="497" spans="1:85" s="353" customFormat="1" ht="13.9" customHeight="1" x14ac:dyDescent="0.2">
      <c r="A497" s="337" t="s">
        <v>162</v>
      </c>
      <c r="B497" s="338">
        <v>1</v>
      </c>
      <c r="C497" s="339" t="s">
        <v>163</v>
      </c>
      <c r="D497" s="340" t="s">
        <v>164</v>
      </c>
      <c r="E497" s="341"/>
      <c r="F497" s="341">
        <v>70103318</v>
      </c>
      <c r="G497" s="341"/>
      <c r="H497" s="340">
        <v>91111703</v>
      </c>
      <c r="I497" s="339" t="s">
        <v>568</v>
      </c>
      <c r="J497" s="338">
        <v>3</v>
      </c>
      <c r="K497" s="338">
        <v>3</v>
      </c>
      <c r="L497" s="338">
        <v>9</v>
      </c>
      <c r="M497" s="342">
        <f t="shared" si="82"/>
        <v>1</v>
      </c>
      <c r="N497" s="343" t="s">
        <v>53</v>
      </c>
      <c r="O497" s="344" t="s">
        <v>54</v>
      </c>
      <c r="P497" s="345">
        <v>1</v>
      </c>
      <c r="Q497" s="346">
        <f t="shared" si="83"/>
        <v>70103318</v>
      </c>
      <c r="R497" s="346">
        <f t="shared" si="84"/>
        <v>70103318</v>
      </c>
      <c r="S497" s="347" t="s">
        <v>223</v>
      </c>
      <c r="T497" s="345">
        <f t="shared" si="91"/>
        <v>0</v>
      </c>
      <c r="U497" s="348" t="str">
        <f t="shared" si="85"/>
        <v>SUBDIRECCION DE GESTION CONTRACTUAL</v>
      </c>
      <c r="V497" s="345" t="s">
        <v>39</v>
      </c>
      <c r="W497" s="345" t="s">
        <v>38</v>
      </c>
      <c r="X497" s="340" t="s">
        <v>569</v>
      </c>
      <c r="Y497" s="338">
        <v>2427400</v>
      </c>
      <c r="Z497" s="349" t="s">
        <v>570</v>
      </c>
      <c r="AA497" s="350"/>
      <c r="AB497" s="350"/>
      <c r="AC497" s="350"/>
      <c r="AD497" s="350"/>
      <c r="AE497" s="350"/>
      <c r="AF497" s="350"/>
      <c r="AG497" s="350"/>
      <c r="AH497" s="350"/>
      <c r="AI497" s="350"/>
      <c r="AJ497" s="350"/>
      <c r="AK497" s="350"/>
      <c r="AL497" s="350"/>
      <c r="AM497" s="350"/>
      <c r="AN497" s="350"/>
      <c r="AO497" s="350"/>
      <c r="AP497" s="350"/>
      <c r="AQ497" s="350"/>
      <c r="AR497" s="350"/>
      <c r="AS497" s="350"/>
      <c r="AT497" s="350"/>
      <c r="AU497" s="351"/>
      <c r="AV497" s="351"/>
      <c r="AW497" s="351"/>
      <c r="AX497" s="351"/>
      <c r="AY497" s="351"/>
      <c r="AZ497" s="351"/>
      <c r="BA497" s="351"/>
      <c r="BB497" s="351"/>
      <c r="BC497" s="351"/>
      <c r="BD497" s="351"/>
      <c r="BE497" s="351"/>
      <c r="BF497" s="351"/>
      <c r="BG497" s="351"/>
      <c r="BH497" s="351"/>
      <c r="BI497" s="351"/>
      <c r="BJ497" s="351"/>
      <c r="BK497" s="351"/>
      <c r="BL497" s="351"/>
      <c r="BM497" s="351"/>
      <c r="BN497" s="351"/>
      <c r="BO497" s="351"/>
      <c r="BP497" s="351"/>
      <c r="BQ497" s="351"/>
      <c r="BR497" s="351"/>
      <c r="BS497" s="351"/>
      <c r="BT497" s="351"/>
      <c r="BU497" s="351"/>
      <c r="BV497" s="351"/>
      <c r="BW497" s="351"/>
      <c r="BX497" s="351"/>
      <c r="BY497" s="351"/>
      <c r="BZ497" s="351"/>
      <c r="CA497" s="351"/>
      <c r="CB497" s="351"/>
      <c r="CC497" s="351"/>
      <c r="CD497" s="351"/>
      <c r="CE497" s="351"/>
      <c r="CF497" s="351"/>
      <c r="CG497" s="352"/>
    </row>
    <row r="498" spans="1:85" s="353" customFormat="1" ht="13.9" customHeight="1" x14ac:dyDescent="0.2">
      <c r="A498" s="337" t="s">
        <v>162</v>
      </c>
      <c r="B498" s="338">
        <v>2</v>
      </c>
      <c r="C498" s="339" t="s">
        <v>163</v>
      </c>
      <c r="D498" s="340" t="s">
        <v>164</v>
      </c>
      <c r="E498" s="341"/>
      <c r="F498" s="341">
        <v>40392945</v>
      </c>
      <c r="G498" s="341"/>
      <c r="H498" s="340">
        <v>91111703</v>
      </c>
      <c r="I498" s="339" t="s">
        <v>571</v>
      </c>
      <c r="J498" s="338">
        <v>2</v>
      </c>
      <c r="K498" s="338">
        <v>2</v>
      </c>
      <c r="L498" s="338">
        <v>2</v>
      </c>
      <c r="M498" s="342">
        <f t="shared" si="82"/>
        <v>1</v>
      </c>
      <c r="N498" s="343" t="s">
        <v>53</v>
      </c>
      <c r="O498" s="344" t="s">
        <v>54</v>
      </c>
      <c r="P498" s="345">
        <v>1</v>
      </c>
      <c r="Q498" s="346">
        <f t="shared" si="83"/>
        <v>40392945</v>
      </c>
      <c r="R498" s="346">
        <f t="shared" si="84"/>
        <v>40392945</v>
      </c>
      <c r="S498" s="347" t="s">
        <v>223</v>
      </c>
      <c r="T498" s="345">
        <f t="shared" si="91"/>
        <v>0</v>
      </c>
      <c r="U498" s="348" t="str">
        <f t="shared" si="85"/>
        <v>SUBDIRECCION DE GESTION CONTRACTUAL</v>
      </c>
      <c r="V498" s="345" t="s">
        <v>39</v>
      </c>
      <c r="W498" s="345" t="s">
        <v>38</v>
      </c>
      <c r="X498" s="340" t="s">
        <v>569</v>
      </c>
      <c r="Y498" s="338">
        <v>2427400</v>
      </c>
      <c r="Z498" s="349" t="s">
        <v>570</v>
      </c>
      <c r="AA498" s="350"/>
      <c r="AB498" s="350"/>
      <c r="AC498" s="350"/>
      <c r="AD498" s="350"/>
      <c r="AE498" s="350"/>
      <c r="AF498" s="350"/>
      <c r="AG498" s="350"/>
      <c r="AH498" s="350"/>
      <c r="AI498" s="350"/>
      <c r="AJ498" s="350"/>
      <c r="AK498" s="350"/>
      <c r="AL498" s="350"/>
      <c r="AM498" s="350"/>
      <c r="AN498" s="350"/>
      <c r="AO498" s="350"/>
      <c r="AP498" s="350"/>
      <c r="AQ498" s="350"/>
      <c r="AR498" s="350"/>
      <c r="AS498" s="350"/>
      <c r="AT498" s="350"/>
      <c r="AU498" s="351"/>
      <c r="AV498" s="351"/>
      <c r="AW498" s="351"/>
      <c r="AX498" s="351"/>
      <c r="AY498" s="351"/>
      <c r="AZ498" s="351"/>
      <c r="BA498" s="351"/>
      <c r="BB498" s="351"/>
      <c r="BC498" s="351"/>
      <c r="BD498" s="351"/>
      <c r="BE498" s="351"/>
      <c r="BF498" s="351"/>
      <c r="BG498" s="351"/>
      <c r="BH498" s="351"/>
      <c r="BI498" s="351"/>
      <c r="BJ498" s="351"/>
      <c r="BK498" s="351"/>
      <c r="BL498" s="351"/>
      <c r="BM498" s="351"/>
      <c r="BN498" s="351"/>
      <c r="BO498" s="351"/>
      <c r="BP498" s="351"/>
      <c r="BQ498" s="351"/>
      <c r="BR498" s="351"/>
      <c r="BS498" s="351"/>
      <c r="BT498" s="351"/>
      <c r="BU498" s="351"/>
      <c r="BV498" s="351"/>
      <c r="BW498" s="351"/>
      <c r="BX498" s="351"/>
      <c r="BY498" s="351"/>
      <c r="BZ498" s="351"/>
      <c r="CA498" s="351"/>
      <c r="CB498" s="351"/>
      <c r="CC498" s="351"/>
      <c r="CD498" s="351"/>
      <c r="CE498" s="351"/>
      <c r="CF498" s="351"/>
      <c r="CG498" s="352"/>
    </row>
    <row r="499" spans="1:85" s="353" customFormat="1" ht="13.9" customHeight="1" x14ac:dyDescent="0.2">
      <c r="A499" s="337" t="s">
        <v>162</v>
      </c>
      <c r="B499" s="338">
        <v>3</v>
      </c>
      <c r="C499" s="339" t="s">
        <v>165</v>
      </c>
      <c r="D499" s="340" t="s">
        <v>572</v>
      </c>
      <c r="E499" s="341"/>
      <c r="F499" s="341">
        <v>27037500</v>
      </c>
      <c r="G499" s="341"/>
      <c r="H499" s="340">
        <v>85122201</v>
      </c>
      <c r="I499" s="339" t="s">
        <v>573</v>
      </c>
      <c r="J499" s="338">
        <v>2</v>
      </c>
      <c r="K499" s="338">
        <v>2</v>
      </c>
      <c r="L499" s="338">
        <v>10</v>
      </c>
      <c r="M499" s="342">
        <f t="shared" si="82"/>
        <v>1</v>
      </c>
      <c r="N499" s="343" t="s">
        <v>48</v>
      </c>
      <c r="O499" s="344" t="s">
        <v>49</v>
      </c>
      <c r="P499" s="345">
        <v>1</v>
      </c>
      <c r="Q499" s="346">
        <f t="shared" si="83"/>
        <v>27037500</v>
      </c>
      <c r="R499" s="346">
        <f t="shared" si="84"/>
        <v>27037500</v>
      </c>
      <c r="S499" s="347" t="s">
        <v>223</v>
      </c>
      <c r="T499" s="345">
        <f t="shared" si="91"/>
        <v>0</v>
      </c>
      <c r="U499" s="348" t="str">
        <f t="shared" si="85"/>
        <v>SUBDIRECCION DE GESTION CONTRACTUAL</v>
      </c>
      <c r="V499" s="345" t="s">
        <v>39</v>
      </c>
      <c r="W499" s="345" t="s">
        <v>38</v>
      </c>
      <c r="X499" s="340" t="s">
        <v>670</v>
      </c>
      <c r="Y499" s="338">
        <v>2427400</v>
      </c>
      <c r="Z499" s="349" t="s">
        <v>168</v>
      </c>
      <c r="AA499" s="350"/>
      <c r="AB499" s="350"/>
      <c r="AC499" s="350"/>
      <c r="AD499" s="350"/>
      <c r="AE499" s="350"/>
      <c r="AF499" s="350"/>
      <c r="AG499" s="350"/>
      <c r="AH499" s="350"/>
      <c r="AI499" s="350"/>
      <c r="AJ499" s="350"/>
      <c r="AK499" s="350"/>
      <c r="AL499" s="350"/>
      <c r="AM499" s="350"/>
      <c r="AN499" s="350"/>
      <c r="AO499" s="350"/>
      <c r="AP499" s="350"/>
      <c r="AQ499" s="350"/>
      <c r="AR499" s="350"/>
      <c r="AS499" s="350"/>
      <c r="AT499" s="350"/>
      <c r="AU499" s="351"/>
      <c r="AV499" s="351"/>
      <c r="AW499" s="351"/>
      <c r="AX499" s="351"/>
      <c r="AY499" s="351"/>
      <c r="AZ499" s="351"/>
      <c r="BA499" s="351"/>
      <c r="BB499" s="351"/>
      <c r="BC499" s="351"/>
      <c r="BD499" s="351"/>
      <c r="BE499" s="351"/>
      <c r="BF499" s="351"/>
      <c r="BG499" s="351"/>
      <c r="BH499" s="351"/>
      <c r="BI499" s="351"/>
      <c r="BJ499" s="351"/>
      <c r="BK499" s="351"/>
      <c r="BL499" s="351"/>
      <c r="BM499" s="351"/>
      <c r="BN499" s="351"/>
      <c r="BO499" s="351"/>
      <c r="BP499" s="351"/>
      <c r="BQ499" s="351"/>
      <c r="BR499" s="351"/>
      <c r="BS499" s="351"/>
      <c r="BT499" s="351"/>
      <c r="BU499" s="351"/>
      <c r="BV499" s="351"/>
      <c r="BW499" s="351"/>
      <c r="BX499" s="351"/>
      <c r="BY499" s="351"/>
      <c r="BZ499" s="351"/>
      <c r="CA499" s="351"/>
      <c r="CB499" s="351"/>
      <c r="CC499" s="351"/>
      <c r="CD499" s="351"/>
      <c r="CE499" s="351"/>
      <c r="CF499" s="351"/>
      <c r="CG499" s="352"/>
    </row>
    <row r="500" spans="1:85" s="353" customFormat="1" ht="13.9" customHeight="1" x14ac:dyDescent="0.2">
      <c r="A500" s="337" t="s">
        <v>162</v>
      </c>
      <c r="B500" s="338">
        <v>4</v>
      </c>
      <c r="C500" s="339" t="s">
        <v>165</v>
      </c>
      <c r="D500" s="340" t="s">
        <v>572</v>
      </c>
      <c r="E500" s="341"/>
      <c r="F500" s="341">
        <v>79924680</v>
      </c>
      <c r="G500" s="341"/>
      <c r="H500" s="340">
        <v>85122201</v>
      </c>
      <c r="I500" s="339" t="s">
        <v>574</v>
      </c>
      <c r="J500" s="338">
        <v>3</v>
      </c>
      <c r="K500" s="338">
        <v>3</v>
      </c>
      <c r="L500" s="338">
        <v>5</v>
      </c>
      <c r="M500" s="342">
        <f t="shared" si="82"/>
        <v>1</v>
      </c>
      <c r="N500" s="343" t="s">
        <v>216</v>
      </c>
      <c r="O500" s="344" t="s">
        <v>292</v>
      </c>
      <c r="P500" s="345">
        <v>1</v>
      </c>
      <c r="Q500" s="346">
        <f t="shared" si="83"/>
        <v>79924680</v>
      </c>
      <c r="R500" s="346">
        <f t="shared" si="84"/>
        <v>79924680</v>
      </c>
      <c r="S500" s="347" t="s">
        <v>223</v>
      </c>
      <c r="T500" s="345">
        <f t="shared" si="91"/>
        <v>0</v>
      </c>
      <c r="U500" s="348" t="str">
        <f t="shared" si="85"/>
        <v>SUBDIRECCION DE GESTION CONTRACTUAL</v>
      </c>
      <c r="V500" s="345" t="s">
        <v>39</v>
      </c>
      <c r="W500" s="345" t="s">
        <v>38</v>
      </c>
      <c r="X500" s="340" t="s">
        <v>670</v>
      </c>
      <c r="Y500" s="338">
        <v>2427400</v>
      </c>
      <c r="Z500" s="349" t="s">
        <v>168</v>
      </c>
      <c r="AA500" s="350"/>
      <c r="AB500" s="350"/>
      <c r="AC500" s="350"/>
      <c r="AD500" s="350"/>
      <c r="AE500" s="350"/>
      <c r="AF500" s="350"/>
      <c r="AG500" s="350"/>
      <c r="AH500" s="350"/>
      <c r="AI500" s="350"/>
      <c r="AJ500" s="350"/>
      <c r="AK500" s="350"/>
      <c r="AL500" s="350"/>
      <c r="AM500" s="350"/>
      <c r="AN500" s="350"/>
      <c r="AO500" s="350"/>
      <c r="AP500" s="350"/>
      <c r="AQ500" s="350"/>
      <c r="AR500" s="350"/>
      <c r="AS500" s="350"/>
      <c r="AT500" s="350"/>
      <c r="AU500" s="351"/>
      <c r="AV500" s="351"/>
      <c r="AW500" s="351"/>
      <c r="AX500" s="351"/>
      <c r="AY500" s="351"/>
      <c r="AZ500" s="351"/>
      <c r="BA500" s="351"/>
      <c r="BB500" s="351"/>
      <c r="BC500" s="351"/>
      <c r="BD500" s="351"/>
      <c r="BE500" s="351"/>
      <c r="BF500" s="351"/>
      <c r="BG500" s="351"/>
      <c r="BH500" s="351"/>
      <c r="BI500" s="351"/>
      <c r="BJ500" s="351"/>
      <c r="BK500" s="351"/>
      <c r="BL500" s="351"/>
      <c r="BM500" s="351"/>
      <c r="BN500" s="351"/>
      <c r="BO500" s="351"/>
      <c r="BP500" s="351"/>
      <c r="BQ500" s="351"/>
      <c r="BR500" s="351"/>
      <c r="BS500" s="351"/>
      <c r="BT500" s="351"/>
      <c r="BU500" s="351"/>
      <c r="BV500" s="351"/>
      <c r="BW500" s="351"/>
      <c r="BX500" s="351"/>
      <c r="BY500" s="351"/>
      <c r="BZ500" s="351"/>
      <c r="CA500" s="351"/>
      <c r="CB500" s="351"/>
      <c r="CC500" s="351"/>
      <c r="CD500" s="351"/>
      <c r="CE500" s="351"/>
      <c r="CF500" s="351"/>
      <c r="CG500" s="352"/>
    </row>
    <row r="501" spans="1:85" s="353" customFormat="1" ht="13.9" customHeight="1" x14ac:dyDescent="0.2">
      <c r="A501" s="337" t="s">
        <v>162</v>
      </c>
      <c r="B501" s="338">
        <v>5</v>
      </c>
      <c r="C501" s="339" t="s">
        <v>165</v>
      </c>
      <c r="D501" s="340" t="s">
        <v>572</v>
      </c>
      <c r="E501" s="341"/>
      <c r="F501" s="341">
        <v>10500000</v>
      </c>
      <c r="G501" s="341"/>
      <c r="H501" s="340">
        <v>42172001</v>
      </c>
      <c r="I501" s="339" t="s">
        <v>575</v>
      </c>
      <c r="J501" s="338">
        <v>4</v>
      </c>
      <c r="K501" s="338">
        <v>4</v>
      </c>
      <c r="L501" s="338">
        <v>2</v>
      </c>
      <c r="M501" s="342">
        <f t="shared" si="82"/>
        <v>1</v>
      </c>
      <c r="N501" s="343" t="s">
        <v>48</v>
      </c>
      <c r="O501" s="344" t="s">
        <v>49</v>
      </c>
      <c r="P501" s="345">
        <v>1</v>
      </c>
      <c r="Q501" s="346">
        <f t="shared" si="83"/>
        <v>10500000</v>
      </c>
      <c r="R501" s="346">
        <f t="shared" si="84"/>
        <v>10500000</v>
      </c>
      <c r="S501" s="347" t="s">
        <v>223</v>
      </c>
      <c r="T501" s="345">
        <f t="shared" si="91"/>
        <v>0</v>
      </c>
      <c r="U501" s="348" t="str">
        <f t="shared" si="85"/>
        <v>SUBDIRECCION DE GESTION CONTRACTUAL</v>
      </c>
      <c r="V501" s="345" t="s">
        <v>39</v>
      </c>
      <c r="W501" s="345" t="s">
        <v>38</v>
      </c>
      <c r="X501" s="340" t="s">
        <v>670</v>
      </c>
      <c r="Y501" s="338">
        <v>2427400</v>
      </c>
      <c r="Z501" s="349" t="s">
        <v>168</v>
      </c>
      <c r="AA501" s="350"/>
      <c r="AB501" s="350"/>
      <c r="AC501" s="350"/>
      <c r="AD501" s="350"/>
      <c r="AE501" s="350"/>
      <c r="AF501" s="350"/>
      <c r="AG501" s="350"/>
      <c r="AH501" s="350"/>
      <c r="AI501" s="350"/>
      <c r="AJ501" s="350"/>
      <c r="AK501" s="350"/>
      <c r="AL501" s="350"/>
      <c r="AM501" s="350"/>
      <c r="AN501" s="350"/>
      <c r="AO501" s="350"/>
      <c r="AP501" s="350"/>
      <c r="AQ501" s="350"/>
      <c r="AR501" s="350"/>
      <c r="AS501" s="350"/>
      <c r="AT501" s="350"/>
      <c r="AU501" s="351"/>
      <c r="AV501" s="351"/>
      <c r="AW501" s="351"/>
      <c r="AX501" s="351"/>
      <c r="AY501" s="351"/>
      <c r="AZ501" s="351"/>
      <c r="BA501" s="351"/>
      <c r="BB501" s="351"/>
      <c r="BC501" s="351"/>
      <c r="BD501" s="351"/>
      <c r="BE501" s="351"/>
      <c r="BF501" s="351"/>
      <c r="BG501" s="351"/>
      <c r="BH501" s="351"/>
      <c r="BI501" s="351"/>
      <c r="BJ501" s="351"/>
      <c r="BK501" s="351"/>
      <c r="BL501" s="351"/>
      <c r="BM501" s="351"/>
      <c r="BN501" s="351"/>
      <c r="BO501" s="351"/>
      <c r="BP501" s="351"/>
      <c r="BQ501" s="351"/>
      <c r="BR501" s="351"/>
      <c r="BS501" s="351"/>
      <c r="BT501" s="351"/>
      <c r="BU501" s="351"/>
      <c r="BV501" s="351"/>
      <c r="BW501" s="351"/>
      <c r="BX501" s="351"/>
      <c r="BY501" s="351"/>
      <c r="BZ501" s="351"/>
      <c r="CA501" s="351"/>
      <c r="CB501" s="351"/>
      <c r="CC501" s="351"/>
      <c r="CD501" s="351"/>
      <c r="CE501" s="351"/>
      <c r="CF501" s="351"/>
      <c r="CG501" s="352"/>
    </row>
    <row r="502" spans="1:85" s="353" customFormat="1" ht="13.9" customHeight="1" x14ac:dyDescent="0.2">
      <c r="A502" s="337" t="s">
        <v>162</v>
      </c>
      <c r="B502" s="338">
        <v>6</v>
      </c>
      <c r="C502" s="339" t="s">
        <v>165</v>
      </c>
      <c r="D502" s="340" t="s">
        <v>572</v>
      </c>
      <c r="E502" s="341"/>
      <c r="F502" s="341">
        <v>20000000</v>
      </c>
      <c r="G502" s="341"/>
      <c r="H502" s="340">
        <v>46182205</v>
      </c>
      <c r="I502" s="339" t="s">
        <v>576</v>
      </c>
      <c r="J502" s="338">
        <v>5</v>
      </c>
      <c r="K502" s="338">
        <v>5</v>
      </c>
      <c r="L502" s="338">
        <v>3</v>
      </c>
      <c r="M502" s="342">
        <f t="shared" si="82"/>
        <v>1</v>
      </c>
      <c r="N502" s="343" t="s">
        <v>48</v>
      </c>
      <c r="O502" s="344" t="s">
        <v>49</v>
      </c>
      <c r="P502" s="345">
        <v>1</v>
      </c>
      <c r="Q502" s="346">
        <f t="shared" si="83"/>
        <v>20000000</v>
      </c>
      <c r="R502" s="346">
        <f t="shared" si="84"/>
        <v>20000000</v>
      </c>
      <c r="S502" s="347" t="s">
        <v>223</v>
      </c>
      <c r="T502" s="345">
        <f t="shared" si="91"/>
        <v>0</v>
      </c>
      <c r="U502" s="348" t="str">
        <f t="shared" si="85"/>
        <v>SUBDIRECCION DE GESTION CONTRACTUAL</v>
      </c>
      <c r="V502" s="345" t="s">
        <v>39</v>
      </c>
      <c r="W502" s="345" t="s">
        <v>38</v>
      </c>
      <c r="X502" s="340" t="s">
        <v>670</v>
      </c>
      <c r="Y502" s="338">
        <v>2427400</v>
      </c>
      <c r="Z502" s="349" t="s">
        <v>168</v>
      </c>
      <c r="AA502" s="350"/>
      <c r="AB502" s="350"/>
      <c r="AC502" s="350"/>
      <c r="AD502" s="350"/>
      <c r="AE502" s="350"/>
      <c r="AF502" s="350"/>
      <c r="AG502" s="350"/>
      <c r="AH502" s="350"/>
      <c r="AI502" s="350"/>
      <c r="AJ502" s="350"/>
      <c r="AK502" s="350"/>
      <c r="AL502" s="350"/>
      <c r="AM502" s="350"/>
      <c r="AN502" s="350"/>
      <c r="AO502" s="350"/>
      <c r="AP502" s="350"/>
      <c r="AQ502" s="350"/>
      <c r="AR502" s="350"/>
      <c r="AS502" s="350"/>
      <c r="AT502" s="350"/>
      <c r="AU502" s="351"/>
      <c r="AV502" s="351"/>
      <c r="AW502" s="351"/>
      <c r="AX502" s="351"/>
      <c r="AY502" s="351"/>
      <c r="AZ502" s="351"/>
      <c r="BA502" s="351"/>
      <c r="BB502" s="351"/>
      <c r="BC502" s="351"/>
      <c r="BD502" s="351"/>
      <c r="BE502" s="351"/>
      <c r="BF502" s="351"/>
      <c r="BG502" s="351"/>
      <c r="BH502" s="351"/>
      <c r="BI502" s="351"/>
      <c r="BJ502" s="351"/>
      <c r="BK502" s="351"/>
      <c r="BL502" s="351"/>
      <c r="BM502" s="351"/>
      <c r="BN502" s="351"/>
      <c r="BO502" s="351"/>
      <c r="BP502" s="351"/>
      <c r="BQ502" s="351"/>
      <c r="BR502" s="351"/>
      <c r="BS502" s="351"/>
      <c r="BT502" s="351"/>
      <c r="BU502" s="351"/>
      <c r="BV502" s="351"/>
      <c r="BW502" s="351"/>
      <c r="BX502" s="351"/>
      <c r="BY502" s="351"/>
      <c r="BZ502" s="351"/>
      <c r="CA502" s="351"/>
      <c r="CB502" s="351"/>
      <c r="CC502" s="351"/>
      <c r="CD502" s="351"/>
      <c r="CE502" s="351"/>
      <c r="CF502" s="351"/>
      <c r="CG502" s="352"/>
    </row>
    <row r="503" spans="1:85" s="353" customFormat="1" ht="13.9" customHeight="1" x14ac:dyDescent="0.2">
      <c r="A503" s="337" t="s">
        <v>162</v>
      </c>
      <c r="B503" s="338">
        <v>7</v>
      </c>
      <c r="C503" s="339" t="s">
        <v>165</v>
      </c>
      <c r="D503" s="340" t="s">
        <v>572</v>
      </c>
      <c r="E503" s="341"/>
      <c r="F503" s="341">
        <v>10300000</v>
      </c>
      <c r="G503" s="341"/>
      <c r="H503" s="340">
        <v>84111600</v>
      </c>
      <c r="I503" s="339" t="s">
        <v>577</v>
      </c>
      <c r="J503" s="338">
        <v>7</v>
      </c>
      <c r="K503" s="338">
        <v>7</v>
      </c>
      <c r="L503" s="338">
        <v>4</v>
      </c>
      <c r="M503" s="342">
        <f t="shared" si="82"/>
        <v>1</v>
      </c>
      <c r="N503" s="343" t="s">
        <v>48</v>
      </c>
      <c r="O503" s="344" t="s">
        <v>49</v>
      </c>
      <c r="P503" s="345">
        <v>1</v>
      </c>
      <c r="Q503" s="346">
        <f t="shared" si="83"/>
        <v>10300000</v>
      </c>
      <c r="R503" s="346">
        <f t="shared" si="84"/>
        <v>10300000</v>
      </c>
      <c r="S503" s="347" t="s">
        <v>223</v>
      </c>
      <c r="T503" s="345">
        <f t="shared" si="91"/>
        <v>0</v>
      </c>
      <c r="U503" s="348" t="str">
        <f t="shared" si="85"/>
        <v>SUBDIRECCION DE GESTION CONTRACTUAL</v>
      </c>
      <c r="V503" s="345" t="s">
        <v>39</v>
      </c>
      <c r="W503" s="345" t="s">
        <v>38</v>
      </c>
      <c r="X503" s="340" t="s">
        <v>670</v>
      </c>
      <c r="Y503" s="338">
        <v>2427400</v>
      </c>
      <c r="Z503" s="349" t="s">
        <v>168</v>
      </c>
      <c r="AA503" s="350"/>
      <c r="AB503" s="350"/>
      <c r="AC503" s="350"/>
      <c r="AD503" s="350"/>
      <c r="AE503" s="350"/>
      <c r="AF503" s="350"/>
      <c r="AG503" s="350"/>
      <c r="AH503" s="350"/>
      <c r="AI503" s="350"/>
      <c r="AJ503" s="350"/>
      <c r="AK503" s="350"/>
      <c r="AL503" s="350"/>
      <c r="AM503" s="350"/>
      <c r="AN503" s="350"/>
      <c r="AO503" s="350"/>
      <c r="AP503" s="350"/>
      <c r="AQ503" s="350"/>
      <c r="AR503" s="350"/>
      <c r="AS503" s="350"/>
      <c r="AT503" s="350"/>
      <c r="AU503" s="351"/>
      <c r="AV503" s="351"/>
      <c r="AW503" s="351"/>
      <c r="AX503" s="351"/>
      <c r="AY503" s="351"/>
      <c r="AZ503" s="351"/>
      <c r="BA503" s="351"/>
      <c r="BB503" s="351"/>
      <c r="BC503" s="351"/>
      <c r="BD503" s="351"/>
      <c r="BE503" s="351"/>
      <c r="BF503" s="351"/>
      <c r="BG503" s="351"/>
      <c r="BH503" s="351"/>
      <c r="BI503" s="351"/>
      <c r="BJ503" s="351"/>
      <c r="BK503" s="351"/>
      <c r="BL503" s="351"/>
      <c r="BM503" s="351"/>
      <c r="BN503" s="351"/>
      <c r="BO503" s="351"/>
      <c r="BP503" s="351"/>
      <c r="BQ503" s="351"/>
      <c r="BR503" s="351"/>
      <c r="BS503" s="351"/>
      <c r="BT503" s="351"/>
      <c r="BU503" s="351"/>
      <c r="BV503" s="351"/>
      <c r="BW503" s="351"/>
      <c r="BX503" s="351"/>
      <c r="BY503" s="351"/>
      <c r="BZ503" s="351"/>
      <c r="CA503" s="351"/>
      <c r="CB503" s="351"/>
      <c r="CC503" s="351"/>
      <c r="CD503" s="351"/>
      <c r="CE503" s="351"/>
      <c r="CF503" s="351"/>
      <c r="CG503" s="352"/>
    </row>
    <row r="504" spans="1:85" s="353" customFormat="1" ht="13.9" customHeight="1" x14ac:dyDescent="0.2">
      <c r="A504" s="337" t="s">
        <v>162</v>
      </c>
      <c r="B504" s="338">
        <v>8</v>
      </c>
      <c r="C504" s="339" t="s">
        <v>165</v>
      </c>
      <c r="D504" s="340" t="s">
        <v>572</v>
      </c>
      <c r="E504" s="341"/>
      <c r="F504" s="341">
        <v>13800700</v>
      </c>
      <c r="G504" s="341"/>
      <c r="H504" s="340">
        <v>85161502</v>
      </c>
      <c r="I504" s="339" t="s">
        <v>578</v>
      </c>
      <c r="J504" s="338">
        <v>3</v>
      </c>
      <c r="K504" s="338">
        <v>3</v>
      </c>
      <c r="L504" s="338">
        <v>3</v>
      </c>
      <c r="M504" s="342">
        <f t="shared" si="82"/>
        <v>1</v>
      </c>
      <c r="N504" s="343" t="s">
        <v>48</v>
      </c>
      <c r="O504" s="344" t="s">
        <v>49</v>
      </c>
      <c r="P504" s="345">
        <v>1</v>
      </c>
      <c r="Q504" s="346">
        <f t="shared" si="83"/>
        <v>13800700</v>
      </c>
      <c r="R504" s="346">
        <f t="shared" si="84"/>
        <v>13800700</v>
      </c>
      <c r="S504" s="347" t="s">
        <v>223</v>
      </c>
      <c r="T504" s="345">
        <f t="shared" si="91"/>
        <v>0</v>
      </c>
      <c r="U504" s="348" t="str">
        <f t="shared" si="85"/>
        <v>SUBDIRECCION DE GESTION CONTRACTUAL</v>
      </c>
      <c r="V504" s="345" t="s">
        <v>39</v>
      </c>
      <c r="W504" s="345" t="s">
        <v>38</v>
      </c>
      <c r="X504" s="340" t="s">
        <v>670</v>
      </c>
      <c r="Y504" s="338">
        <v>2427400</v>
      </c>
      <c r="Z504" s="349" t="s">
        <v>168</v>
      </c>
      <c r="AA504" s="350"/>
      <c r="AB504" s="350"/>
      <c r="AC504" s="350"/>
      <c r="AD504" s="350"/>
      <c r="AE504" s="350"/>
      <c r="AF504" s="350"/>
      <c r="AG504" s="350"/>
      <c r="AH504" s="350"/>
      <c r="AI504" s="350"/>
      <c r="AJ504" s="350"/>
      <c r="AK504" s="350"/>
      <c r="AL504" s="350"/>
      <c r="AM504" s="350"/>
      <c r="AN504" s="350"/>
      <c r="AO504" s="350"/>
      <c r="AP504" s="350"/>
      <c r="AQ504" s="350"/>
      <c r="AR504" s="350"/>
      <c r="AS504" s="350"/>
      <c r="AT504" s="350"/>
      <c r="AU504" s="351"/>
      <c r="AV504" s="351"/>
      <c r="AW504" s="351"/>
      <c r="AX504" s="351"/>
      <c r="AY504" s="351"/>
      <c r="AZ504" s="351"/>
      <c r="BA504" s="351"/>
      <c r="BB504" s="351"/>
      <c r="BC504" s="351"/>
      <c r="BD504" s="351"/>
      <c r="BE504" s="351"/>
      <c r="BF504" s="351"/>
      <c r="BG504" s="351"/>
      <c r="BH504" s="351"/>
      <c r="BI504" s="351"/>
      <c r="BJ504" s="351"/>
      <c r="BK504" s="351"/>
      <c r="BL504" s="351"/>
      <c r="BM504" s="351"/>
      <c r="BN504" s="351"/>
      <c r="BO504" s="351"/>
      <c r="BP504" s="351"/>
      <c r="BQ504" s="351"/>
      <c r="BR504" s="351"/>
      <c r="BS504" s="351"/>
      <c r="BT504" s="351"/>
      <c r="BU504" s="351"/>
      <c r="BV504" s="351"/>
      <c r="BW504" s="351"/>
      <c r="BX504" s="351"/>
      <c r="BY504" s="351"/>
      <c r="BZ504" s="351"/>
      <c r="CA504" s="351"/>
      <c r="CB504" s="351"/>
      <c r="CC504" s="351"/>
      <c r="CD504" s="351"/>
      <c r="CE504" s="351"/>
      <c r="CF504" s="351"/>
      <c r="CG504" s="352"/>
    </row>
    <row r="505" spans="1:85" s="353" customFormat="1" ht="13.9" customHeight="1" x14ac:dyDescent="0.2">
      <c r="A505" s="337" t="s">
        <v>162</v>
      </c>
      <c r="B505" s="338">
        <v>9</v>
      </c>
      <c r="C505" s="339" t="s">
        <v>165</v>
      </c>
      <c r="D505" s="340" t="s">
        <v>572</v>
      </c>
      <c r="E505" s="341"/>
      <c r="F505" s="341">
        <v>13000000</v>
      </c>
      <c r="G505" s="341"/>
      <c r="H505" s="340">
        <v>85122201</v>
      </c>
      <c r="I505" s="339" t="s">
        <v>579</v>
      </c>
      <c r="J505" s="338">
        <v>6</v>
      </c>
      <c r="K505" s="338">
        <v>6</v>
      </c>
      <c r="L505" s="338">
        <v>5</v>
      </c>
      <c r="M505" s="342">
        <f t="shared" si="82"/>
        <v>1</v>
      </c>
      <c r="N505" s="343" t="s">
        <v>48</v>
      </c>
      <c r="O505" s="344" t="s">
        <v>49</v>
      </c>
      <c r="P505" s="345">
        <v>1</v>
      </c>
      <c r="Q505" s="346">
        <f t="shared" si="83"/>
        <v>13000000</v>
      </c>
      <c r="R505" s="346">
        <f t="shared" si="84"/>
        <v>13000000</v>
      </c>
      <c r="S505" s="347" t="s">
        <v>223</v>
      </c>
      <c r="T505" s="345">
        <f t="shared" si="91"/>
        <v>0</v>
      </c>
      <c r="U505" s="348" t="str">
        <f t="shared" si="85"/>
        <v>SUBDIRECCION DE GESTION CONTRACTUAL</v>
      </c>
      <c r="V505" s="345" t="s">
        <v>39</v>
      </c>
      <c r="W505" s="345" t="s">
        <v>38</v>
      </c>
      <c r="X505" s="340" t="s">
        <v>670</v>
      </c>
      <c r="Y505" s="338">
        <v>2427400</v>
      </c>
      <c r="Z505" s="349" t="s">
        <v>168</v>
      </c>
      <c r="AA505" s="350"/>
      <c r="AB505" s="350"/>
      <c r="AC505" s="350"/>
      <c r="AD505" s="350"/>
      <c r="AE505" s="350"/>
      <c r="AF505" s="350"/>
      <c r="AG505" s="350"/>
      <c r="AH505" s="350"/>
      <c r="AI505" s="350"/>
      <c r="AJ505" s="350"/>
      <c r="AK505" s="350"/>
      <c r="AL505" s="350"/>
      <c r="AM505" s="350"/>
      <c r="AN505" s="350"/>
      <c r="AO505" s="350"/>
      <c r="AP505" s="350"/>
      <c r="AQ505" s="350"/>
      <c r="AR505" s="350"/>
      <c r="AS505" s="350"/>
      <c r="AT505" s="350"/>
      <c r="AU505" s="351"/>
      <c r="AV505" s="351"/>
      <c r="AW505" s="351"/>
      <c r="AX505" s="351"/>
      <c r="AY505" s="351"/>
      <c r="AZ505" s="351"/>
      <c r="BA505" s="351"/>
      <c r="BB505" s="351"/>
      <c r="BC505" s="351"/>
      <c r="BD505" s="351"/>
      <c r="BE505" s="351"/>
      <c r="BF505" s="351"/>
      <c r="BG505" s="351"/>
      <c r="BH505" s="351"/>
      <c r="BI505" s="351"/>
      <c r="BJ505" s="351"/>
      <c r="BK505" s="351"/>
      <c r="BL505" s="351"/>
      <c r="BM505" s="351"/>
      <c r="BN505" s="351"/>
      <c r="BO505" s="351"/>
      <c r="BP505" s="351"/>
      <c r="BQ505" s="351"/>
      <c r="BR505" s="351"/>
      <c r="BS505" s="351"/>
      <c r="BT505" s="351"/>
      <c r="BU505" s="351"/>
      <c r="BV505" s="351"/>
      <c r="BW505" s="351"/>
      <c r="BX505" s="351"/>
      <c r="BY505" s="351"/>
      <c r="BZ505" s="351"/>
      <c r="CA505" s="351"/>
      <c r="CB505" s="351"/>
      <c r="CC505" s="351"/>
      <c r="CD505" s="351"/>
      <c r="CE505" s="351"/>
      <c r="CF505" s="351"/>
      <c r="CG505" s="352"/>
    </row>
    <row r="506" spans="1:85" s="353" customFormat="1" ht="13.9" customHeight="1" x14ac:dyDescent="0.2">
      <c r="A506" s="337" t="s">
        <v>162</v>
      </c>
      <c r="B506" s="338">
        <v>10</v>
      </c>
      <c r="C506" s="339" t="s">
        <v>165</v>
      </c>
      <c r="D506" s="340" t="s">
        <v>166</v>
      </c>
      <c r="E506" s="341"/>
      <c r="F506" s="341">
        <v>38262898</v>
      </c>
      <c r="G506" s="341"/>
      <c r="H506" s="340">
        <v>86111604</v>
      </c>
      <c r="I506" s="339" t="s">
        <v>580</v>
      </c>
      <c r="J506" s="338">
        <v>2</v>
      </c>
      <c r="K506" s="338">
        <v>4</v>
      </c>
      <c r="L506" s="338">
        <v>8</v>
      </c>
      <c r="M506" s="342">
        <f t="shared" si="82"/>
        <v>1</v>
      </c>
      <c r="N506" s="343" t="s">
        <v>48</v>
      </c>
      <c r="O506" s="344" t="s">
        <v>49</v>
      </c>
      <c r="P506" s="345">
        <v>1</v>
      </c>
      <c r="Q506" s="346">
        <f t="shared" si="83"/>
        <v>38262898</v>
      </c>
      <c r="R506" s="346">
        <f t="shared" si="84"/>
        <v>38262898</v>
      </c>
      <c r="S506" s="347" t="s">
        <v>223</v>
      </c>
      <c r="T506" s="345">
        <f t="shared" si="91"/>
        <v>0</v>
      </c>
      <c r="U506" s="348" t="str">
        <f t="shared" si="85"/>
        <v>SUBDIRECCION DE GESTION CONTRACTUAL</v>
      </c>
      <c r="V506" s="345" t="s">
        <v>39</v>
      </c>
      <c r="W506" s="345" t="s">
        <v>38</v>
      </c>
      <c r="X506" s="340" t="s">
        <v>669</v>
      </c>
      <c r="Y506" s="338">
        <v>2427400</v>
      </c>
      <c r="Z506" s="349" t="s">
        <v>116</v>
      </c>
      <c r="AA506" s="350"/>
      <c r="AB506" s="350"/>
      <c r="AC506" s="350"/>
      <c r="AD506" s="350"/>
      <c r="AE506" s="350"/>
      <c r="AF506" s="350"/>
      <c r="AG506" s="350"/>
      <c r="AH506" s="350"/>
      <c r="AI506" s="350"/>
      <c r="AJ506" s="350"/>
      <c r="AK506" s="350"/>
      <c r="AL506" s="350"/>
      <c r="AM506" s="350"/>
      <c r="AN506" s="350"/>
      <c r="AO506" s="350"/>
      <c r="AP506" s="350"/>
      <c r="AQ506" s="350"/>
      <c r="AR506" s="350"/>
      <c r="AS506" s="350"/>
      <c r="AT506" s="350"/>
      <c r="AU506" s="351"/>
      <c r="AV506" s="351"/>
      <c r="AW506" s="351"/>
      <c r="AX506" s="351"/>
      <c r="AY506" s="351"/>
      <c r="AZ506" s="351"/>
      <c r="BA506" s="351"/>
      <c r="BB506" s="351"/>
      <c r="BC506" s="351"/>
      <c r="BD506" s="351"/>
      <c r="BE506" s="351"/>
      <c r="BF506" s="351"/>
      <c r="BG506" s="351"/>
      <c r="BH506" s="351"/>
      <c r="BI506" s="351"/>
      <c r="BJ506" s="351"/>
      <c r="BK506" s="351"/>
      <c r="BL506" s="351"/>
      <c r="BM506" s="351"/>
      <c r="BN506" s="351"/>
      <c r="BO506" s="351"/>
      <c r="BP506" s="351"/>
      <c r="BQ506" s="351"/>
      <c r="BR506" s="351"/>
      <c r="BS506" s="351"/>
      <c r="BT506" s="351"/>
      <c r="BU506" s="351"/>
      <c r="BV506" s="351"/>
      <c r="BW506" s="351"/>
      <c r="BX506" s="351"/>
      <c r="BY506" s="351"/>
      <c r="BZ506" s="351"/>
      <c r="CA506" s="351"/>
      <c r="CB506" s="351"/>
      <c r="CC506" s="351"/>
      <c r="CD506" s="351"/>
      <c r="CE506" s="351"/>
      <c r="CF506" s="351"/>
      <c r="CG506" s="352"/>
    </row>
    <row r="507" spans="1:85" s="353" customFormat="1" ht="13.9" customHeight="1" x14ac:dyDescent="0.2">
      <c r="A507" s="337" t="s">
        <v>162</v>
      </c>
      <c r="B507" s="338">
        <v>11</v>
      </c>
      <c r="C507" s="339" t="s">
        <v>165</v>
      </c>
      <c r="D507" s="340" t="s">
        <v>166</v>
      </c>
      <c r="E507" s="341"/>
      <c r="F507" s="341">
        <v>89280096</v>
      </c>
      <c r="G507" s="341"/>
      <c r="H507" s="340">
        <v>86111604</v>
      </c>
      <c r="I507" s="339" t="s">
        <v>581</v>
      </c>
      <c r="J507" s="338">
        <v>3</v>
      </c>
      <c r="K507" s="338">
        <v>4</v>
      </c>
      <c r="L507" s="338">
        <v>8</v>
      </c>
      <c r="M507" s="342">
        <f t="shared" si="82"/>
        <v>1</v>
      </c>
      <c r="N507" s="343" t="s">
        <v>36</v>
      </c>
      <c r="O507" s="344" t="s">
        <v>284</v>
      </c>
      <c r="P507" s="345">
        <v>1</v>
      </c>
      <c r="Q507" s="346">
        <f t="shared" si="83"/>
        <v>89280096</v>
      </c>
      <c r="R507" s="346">
        <f t="shared" si="84"/>
        <v>89280096</v>
      </c>
      <c r="S507" s="347" t="s">
        <v>223</v>
      </c>
      <c r="T507" s="345">
        <f t="shared" si="91"/>
        <v>0</v>
      </c>
      <c r="U507" s="348" t="str">
        <f t="shared" si="85"/>
        <v>SUBDIRECCION DE GESTION CONTRACTUAL</v>
      </c>
      <c r="V507" s="345" t="s">
        <v>39</v>
      </c>
      <c r="W507" s="345" t="s">
        <v>38</v>
      </c>
      <c r="X507" s="340" t="s">
        <v>669</v>
      </c>
      <c r="Y507" s="338">
        <v>2427400</v>
      </c>
      <c r="Z507" s="349" t="s">
        <v>116</v>
      </c>
      <c r="AA507" s="350"/>
      <c r="AB507" s="350"/>
      <c r="AC507" s="350"/>
      <c r="AD507" s="350"/>
      <c r="AE507" s="350"/>
      <c r="AF507" s="350"/>
      <c r="AG507" s="350"/>
      <c r="AH507" s="350"/>
      <c r="AI507" s="350"/>
      <c r="AJ507" s="350"/>
      <c r="AK507" s="350"/>
      <c r="AL507" s="350"/>
      <c r="AM507" s="350"/>
      <c r="AN507" s="350"/>
      <c r="AO507" s="350"/>
      <c r="AP507" s="350"/>
      <c r="AQ507" s="350"/>
      <c r="AR507" s="350"/>
      <c r="AS507" s="350"/>
      <c r="AT507" s="350"/>
      <c r="AU507" s="351"/>
      <c r="AV507" s="351"/>
      <c r="AW507" s="351"/>
      <c r="AX507" s="351"/>
      <c r="AY507" s="351"/>
      <c r="AZ507" s="351"/>
      <c r="BA507" s="351"/>
      <c r="BB507" s="351"/>
      <c r="BC507" s="351"/>
      <c r="BD507" s="351"/>
      <c r="BE507" s="351"/>
      <c r="BF507" s="351"/>
      <c r="BG507" s="351"/>
      <c r="BH507" s="351"/>
      <c r="BI507" s="351"/>
      <c r="BJ507" s="351"/>
      <c r="BK507" s="351"/>
      <c r="BL507" s="351"/>
      <c r="BM507" s="351"/>
      <c r="BN507" s="351"/>
      <c r="BO507" s="351"/>
      <c r="BP507" s="351"/>
      <c r="BQ507" s="351"/>
      <c r="BR507" s="351"/>
      <c r="BS507" s="351"/>
      <c r="BT507" s="351"/>
      <c r="BU507" s="351"/>
      <c r="BV507" s="351"/>
      <c r="BW507" s="351"/>
      <c r="BX507" s="351"/>
      <c r="BY507" s="351"/>
      <c r="BZ507" s="351"/>
      <c r="CA507" s="351"/>
      <c r="CB507" s="351"/>
      <c r="CC507" s="351"/>
      <c r="CD507" s="351"/>
      <c r="CE507" s="351"/>
      <c r="CF507" s="351"/>
      <c r="CG507" s="352"/>
    </row>
    <row r="508" spans="1:85" s="353" customFormat="1" ht="13.9" customHeight="1" x14ac:dyDescent="0.2">
      <c r="A508" s="337" t="s">
        <v>162</v>
      </c>
      <c r="B508" s="338">
        <v>12</v>
      </c>
      <c r="C508" s="339" t="s">
        <v>165</v>
      </c>
      <c r="D508" s="340" t="s">
        <v>167</v>
      </c>
      <c r="E508" s="341"/>
      <c r="F508" s="341">
        <v>211356248</v>
      </c>
      <c r="G508" s="341"/>
      <c r="H508" s="340">
        <v>93141506</v>
      </c>
      <c r="I508" s="339" t="s">
        <v>582</v>
      </c>
      <c r="J508" s="338">
        <v>4</v>
      </c>
      <c r="K508" s="338">
        <v>4</v>
      </c>
      <c r="L508" s="338">
        <v>8</v>
      </c>
      <c r="M508" s="342">
        <f t="shared" si="82"/>
        <v>1</v>
      </c>
      <c r="N508" s="343" t="s">
        <v>36</v>
      </c>
      <c r="O508" s="344" t="s">
        <v>284</v>
      </c>
      <c r="P508" s="345">
        <v>1</v>
      </c>
      <c r="Q508" s="346">
        <f t="shared" si="83"/>
        <v>211356248</v>
      </c>
      <c r="R508" s="346">
        <f t="shared" si="84"/>
        <v>211356248</v>
      </c>
      <c r="S508" s="347" t="s">
        <v>223</v>
      </c>
      <c r="T508" s="345">
        <f t="shared" si="91"/>
        <v>0</v>
      </c>
      <c r="U508" s="348" t="str">
        <f t="shared" si="85"/>
        <v>SUBDIRECCION DE GESTION CONTRACTUAL</v>
      </c>
      <c r="V508" s="345" t="s">
        <v>39</v>
      </c>
      <c r="W508" s="345" t="s">
        <v>38</v>
      </c>
      <c r="X508" s="340" t="s">
        <v>669</v>
      </c>
      <c r="Y508" s="338">
        <v>2427400</v>
      </c>
      <c r="Z508" s="349" t="s">
        <v>116</v>
      </c>
      <c r="AA508" s="350"/>
      <c r="AB508" s="350"/>
      <c r="AC508" s="350"/>
      <c r="AD508" s="350"/>
      <c r="AE508" s="350"/>
      <c r="AF508" s="350"/>
      <c r="AG508" s="350"/>
      <c r="AH508" s="350"/>
      <c r="AI508" s="350"/>
      <c r="AJ508" s="350"/>
      <c r="AK508" s="350"/>
      <c r="AL508" s="350"/>
      <c r="AM508" s="350"/>
      <c r="AN508" s="350"/>
      <c r="AO508" s="350"/>
      <c r="AP508" s="350"/>
      <c r="AQ508" s="350"/>
      <c r="AR508" s="350"/>
      <c r="AS508" s="350"/>
      <c r="AT508" s="350"/>
      <c r="AU508" s="351"/>
      <c r="AV508" s="351"/>
      <c r="AW508" s="351"/>
      <c r="AX508" s="351"/>
      <c r="AY508" s="351"/>
      <c r="AZ508" s="351"/>
      <c r="BA508" s="351"/>
      <c r="BB508" s="351"/>
      <c r="BC508" s="351"/>
      <c r="BD508" s="351"/>
      <c r="BE508" s="351"/>
      <c r="BF508" s="351"/>
      <c r="BG508" s="351"/>
      <c r="BH508" s="351"/>
      <c r="BI508" s="351"/>
      <c r="BJ508" s="351"/>
      <c r="BK508" s="351"/>
      <c r="BL508" s="351"/>
      <c r="BM508" s="351"/>
      <c r="BN508" s="351"/>
      <c r="BO508" s="351"/>
      <c r="BP508" s="351"/>
      <c r="BQ508" s="351"/>
      <c r="BR508" s="351"/>
      <c r="BS508" s="351"/>
      <c r="BT508" s="351"/>
      <c r="BU508" s="351"/>
      <c r="BV508" s="351"/>
      <c r="BW508" s="351"/>
      <c r="BX508" s="351"/>
      <c r="BY508" s="351"/>
      <c r="BZ508" s="351"/>
      <c r="CA508" s="351"/>
      <c r="CB508" s="351"/>
      <c r="CC508" s="351"/>
      <c r="CD508" s="351"/>
      <c r="CE508" s="351"/>
      <c r="CF508" s="351"/>
      <c r="CG508" s="352"/>
    </row>
    <row r="509" spans="1:85" s="353" customFormat="1" ht="13.9" customHeight="1" x14ac:dyDescent="0.2">
      <c r="A509" s="337" t="s">
        <v>162</v>
      </c>
      <c r="B509" s="338">
        <v>13</v>
      </c>
      <c r="C509" s="339" t="s">
        <v>583</v>
      </c>
      <c r="D509" s="340" t="s">
        <v>65</v>
      </c>
      <c r="E509" s="341"/>
      <c r="F509" s="341">
        <v>487520379</v>
      </c>
      <c r="G509" s="341"/>
      <c r="H509" s="354" t="s">
        <v>42</v>
      </c>
      <c r="I509" s="339" t="s">
        <v>584</v>
      </c>
      <c r="J509" s="359">
        <v>3</v>
      </c>
      <c r="K509" s="360">
        <v>4</v>
      </c>
      <c r="L509" s="361">
        <v>9</v>
      </c>
      <c r="M509" s="342">
        <f t="shared" si="82"/>
        <v>1</v>
      </c>
      <c r="N509" s="343" t="s">
        <v>61</v>
      </c>
      <c r="O509" s="344" t="str">
        <f>IF(ISBLANK(N509),"",VLOOKUP(N509,[19]Parámetros!$G$2:$H$23,2,FALSE))</f>
        <v>Contratación régimen especial - Selección de comisionista</v>
      </c>
      <c r="P509" s="345">
        <v>1</v>
      </c>
      <c r="Q509" s="346">
        <f t="shared" si="83"/>
        <v>487520379</v>
      </c>
      <c r="R509" s="346">
        <f t="shared" si="84"/>
        <v>487520379</v>
      </c>
      <c r="S509" s="347" t="s">
        <v>223</v>
      </c>
      <c r="T509" s="345">
        <f t="shared" si="91"/>
        <v>0</v>
      </c>
      <c r="U509" s="348" t="str">
        <f t="shared" si="85"/>
        <v>SUBDIRECCION DE GESTION CONTRACTUAL</v>
      </c>
      <c r="V509" s="342" t="str">
        <f t="shared" ref="V509:V540" si="92">IF(ISBLANK(N509),"","CO-DC")</f>
        <v>CO-DC</v>
      </c>
      <c r="W509" s="348" t="str">
        <f t="shared" ref="W509:W540" si="93">IF(ISBLANK(N509),"","Distrito Capital de Bogotá")</f>
        <v>Distrito Capital de Bogotá</v>
      </c>
      <c r="X509" s="362" t="s">
        <v>358</v>
      </c>
      <c r="Y509" s="338">
        <v>2427400</v>
      </c>
      <c r="Z509" s="349" t="s">
        <v>75</v>
      </c>
      <c r="AA509" s="350"/>
      <c r="AB509" s="350"/>
      <c r="AC509" s="350"/>
      <c r="AD509" s="350"/>
      <c r="AE509" s="350"/>
      <c r="AF509" s="350"/>
      <c r="AG509" s="350"/>
      <c r="AH509" s="350"/>
      <c r="AI509" s="350"/>
      <c r="AJ509" s="350"/>
      <c r="AK509" s="350"/>
      <c r="AL509" s="350"/>
      <c r="AM509" s="350"/>
      <c r="AN509" s="350"/>
      <c r="AO509" s="350"/>
      <c r="AP509" s="350"/>
      <c r="AQ509" s="350"/>
      <c r="AR509" s="350"/>
      <c r="AS509" s="350"/>
      <c r="AT509" s="350"/>
      <c r="AU509" s="351"/>
      <c r="AV509" s="351"/>
      <c r="AW509" s="351"/>
      <c r="AX509" s="351"/>
      <c r="AY509" s="351"/>
      <c r="AZ509" s="351"/>
      <c r="BA509" s="351"/>
      <c r="BB509" s="351"/>
      <c r="BC509" s="351"/>
      <c r="BD509" s="351"/>
      <c r="BE509" s="351"/>
      <c r="BF509" s="351"/>
      <c r="BG509" s="351"/>
      <c r="BH509" s="351"/>
      <c r="BI509" s="351"/>
      <c r="BJ509" s="351"/>
      <c r="BK509" s="351"/>
      <c r="BL509" s="351"/>
      <c r="BM509" s="351"/>
      <c r="BN509" s="351"/>
      <c r="BO509" s="351"/>
      <c r="BP509" s="351"/>
      <c r="BQ509" s="351"/>
      <c r="BR509" s="351"/>
      <c r="BS509" s="351"/>
      <c r="BT509" s="351"/>
      <c r="BU509" s="351"/>
      <c r="BV509" s="351"/>
      <c r="BW509" s="351"/>
      <c r="BX509" s="351"/>
      <c r="BY509" s="351"/>
      <c r="BZ509" s="351"/>
      <c r="CA509" s="351"/>
      <c r="CB509" s="351"/>
      <c r="CC509" s="351"/>
      <c r="CD509" s="351"/>
      <c r="CE509" s="351"/>
      <c r="CF509" s="351"/>
      <c r="CG509" s="352"/>
    </row>
    <row r="510" spans="1:85" s="353" customFormat="1" ht="13.9" customHeight="1" x14ac:dyDescent="0.2">
      <c r="A510" s="337" t="s">
        <v>158</v>
      </c>
      <c r="B510" s="338">
        <v>1</v>
      </c>
      <c r="C510" s="339" t="s">
        <v>617</v>
      </c>
      <c r="D510" s="340" t="s">
        <v>159</v>
      </c>
      <c r="E510" s="341"/>
      <c r="F510" s="341">
        <v>3707485959</v>
      </c>
      <c r="G510" s="341"/>
      <c r="H510" s="340" t="s">
        <v>792</v>
      </c>
      <c r="I510" s="339" t="s">
        <v>585</v>
      </c>
      <c r="J510" s="338">
        <v>1</v>
      </c>
      <c r="K510" s="338">
        <v>1</v>
      </c>
      <c r="L510" s="338">
        <v>12</v>
      </c>
      <c r="M510" s="342">
        <f t="shared" si="82"/>
        <v>1</v>
      </c>
      <c r="N510" s="343" t="s">
        <v>36</v>
      </c>
      <c r="O510" s="344" t="str">
        <f>IF(ISBLANK(N510),"",VLOOKUP(N510,[20]Parámetros!$G$2:$H$23,2,FALSE))</f>
        <v xml:space="preserve">Contratación directa (con ofertas) </v>
      </c>
      <c r="P510" s="345">
        <f t="shared" ref="P510:P541" si="94">IF(ISBLANK(N510),"",1)</f>
        <v>1</v>
      </c>
      <c r="Q510" s="346">
        <f t="shared" si="83"/>
        <v>3707485959</v>
      </c>
      <c r="R510" s="346">
        <f t="shared" si="84"/>
        <v>3707485959</v>
      </c>
      <c r="S510" s="347" t="s">
        <v>223</v>
      </c>
      <c r="T510" s="345">
        <f t="shared" si="91"/>
        <v>0</v>
      </c>
      <c r="U510" s="348" t="str">
        <f t="shared" si="85"/>
        <v>SUBDIRECCION DE GESTION CONTRACTUAL</v>
      </c>
      <c r="V510" s="345" t="str">
        <f t="shared" si="92"/>
        <v>CO-DC</v>
      </c>
      <c r="W510" s="345" t="str">
        <f t="shared" si="93"/>
        <v>Distrito Capital de Bogotá</v>
      </c>
      <c r="X510" s="340" t="s">
        <v>586</v>
      </c>
      <c r="Y510" s="338">
        <v>2427400</v>
      </c>
      <c r="Z510" s="349" t="s">
        <v>160</v>
      </c>
      <c r="AA510" s="350"/>
      <c r="AB510" s="350"/>
      <c r="AC510" s="350"/>
      <c r="AD510" s="350"/>
      <c r="AE510" s="350"/>
      <c r="AF510" s="350"/>
      <c r="AG510" s="350"/>
      <c r="AH510" s="350"/>
      <c r="AI510" s="350"/>
      <c r="AJ510" s="350"/>
      <c r="AK510" s="350"/>
      <c r="AL510" s="350"/>
      <c r="AM510" s="350"/>
      <c r="AN510" s="350"/>
      <c r="AO510" s="350"/>
      <c r="AP510" s="350"/>
      <c r="AQ510" s="350"/>
      <c r="AR510" s="350"/>
      <c r="AS510" s="350"/>
      <c r="AT510" s="350"/>
      <c r="AU510" s="351"/>
      <c r="AV510" s="351"/>
      <c r="AW510" s="351"/>
      <c r="AX510" s="351"/>
      <c r="AY510" s="351"/>
      <c r="AZ510" s="351"/>
      <c r="BA510" s="351"/>
      <c r="BB510" s="351"/>
      <c r="BC510" s="351"/>
      <c r="BD510" s="351"/>
      <c r="BE510" s="351"/>
      <c r="BF510" s="351"/>
      <c r="BG510" s="351"/>
      <c r="BH510" s="351"/>
      <c r="BI510" s="351"/>
      <c r="BJ510" s="351"/>
      <c r="BK510" s="351"/>
      <c r="BL510" s="351"/>
      <c r="BM510" s="351"/>
      <c r="BN510" s="351"/>
      <c r="BO510" s="351"/>
      <c r="BP510" s="351"/>
      <c r="BQ510" s="351"/>
      <c r="BR510" s="351"/>
      <c r="BS510" s="351"/>
      <c r="BT510" s="351"/>
      <c r="BU510" s="351"/>
      <c r="BV510" s="351"/>
      <c r="BW510" s="351"/>
      <c r="BX510" s="351"/>
      <c r="BY510" s="351"/>
      <c r="BZ510" s="351"/>
      <c r="CA510" s="351"/>
      <c r="CB510" s="351"/>
      <c r="CC510" s="351"/>
      <c r="CD510" s="351"/>
      <c r="CE510" s="351"/>
      <c r="CF510" s="351"/>
      <c r="CG510" s="352"/>
    </row>
    <row r="511" spans="1:85" s="353" customFormat="1" ht="13.9" customHeight="1" x14ac:dyDescent="0.2">
      <c r="A511" s="337" t="s">
        <v>158</v>
      </c>
      <c r="B511" s="338">
        <v>2</v>
      </c>
      <c r="C511" s="339" t="s">
        <v>617</v>
      </c>
      <c r="D511" s="340" t="s">
        <v>159</v>
      </c>
      <c r="E511" s="341"/>
      <c r="F511" s="341">
        <v>4613461369</v>
      </c>
      <c r="G511" s="341"/>
      <c r="H511" s="340">
        <v>45121500</v>
      </c>
      <c r="I511" s="339" t="s">
        <v>587</v>
      </c>
      <c r="J511" s="338">
        <v>1</v>
      </c>
      <c r="K511" s="338">
        <v>1</v>
      </c>
      <c r="L511" s="338">
        <v>12</v>
      </c>
      <c r="M511" s="342">
        <f t="shared" si="82"/>
        <v>1</v>
      </c>
      <c r="N511" s="343" t="s">
        <v>36</v>
      </c>
      <c r="O511" s="344" t="str">
        <f>IF(ISBLANK(N511),"",VLOOKUP(N511,[20]Parámetros!$G$2:$H$23,2,FALSE))</f>
        <v xml:space="preserve">Contratación directa (con ofertas) </v>
      </c>
      <c r="P511" s="345">
        <f t="shared" si="94"/>
        <v>1</v>
      </c>
      <c r="Q511" s="346">
        <f t="shared" si="83"/>
        <v>4613461369</v>
      </c>
      <c r="R511" s="346">
        <f t="shared" si="84"/>
        <v>4613461369</v>
      </c>
      <c r="S511" s="347" t="s">
        <v>223</v>
      </c>
      <c r="T511" s="345">
        <f t="shared" si="91"/>
        <v>0</v>
      </c>
      <c r="U511" s="348" t="str">
        <f t="shared" si="85"/>
        <v>SUBDIRECCION DE GESTION CONTRACTUAL</v>
      </c>
      <c r="V511" s="345" t="str">
        <f t="shared" si="92"/>
        <v>CO-DC</v>
      </c>
      <c r="W511" s="345" t="str">
        <f t="shared" si="93"/>
        <v>Distrito Capital de Bogotá</v>
      </c>
      <c r="X511" s="340" t="s">
        <v>586</v>
      </c>
      <c r="Y511" s="338">
        <v>2427400</v>
      </c>
      <c r="Z511" s="349" t="s">
        <v>160</v>
      </c>
      <c r="AA511" s="350"/>
      <c r="AB511" s="350"/>
      <c r="AC511" s="350"/>
      <c r="AD511" s="350"/>
      <c r="AE511" s="350"/>
      <c r="AF511" s="350"/>
      <c r="AG511" s="350"/>
      <c r="AH511" s="350"/>
      <c r="AI511" s="350"/>
      <c r="AJ511" s="350"/>
      <c r="AK511" s="350"/>
      <c r="AL511" s="350"/>
      <c r="AM511" s="350"/>
      <c r="AN511" s="350"/>
      <c r="AO511" s="350"/>
      <c r="AP511" s="350"/>
      <c r="AQ511" s="350"/>
      <c r="AR511" s="350"/>
      <c r="AS511" s="350"/>
      <c r="AT511" s="350"/>
      <c r="AU511" s="351"/>
      <c r="AV511" s="351"/>
      <c r="AW511" s="351"/>
      <c r="AX511" s="351"/>
      <c r="AY511" s="351"/>
      <c r="AZ511" s="351"/>
      <c r="BA511" s="351"/>
      <c r="BB511" s="351"/>
      <c r="BC511" s="351"/>
      <c r="BD511" s="351"/>
      <c r="BE511" s="351"/>
      <c r="BF511" s="351"/>
      <c r="BG511" s="351"/>
      <c r="BH511" s="351"/>
      <c r="BI511" s="351"/>
      <c r="BJ511" s="351"/>
      <c r="BK511" s="351"/>
      <c r="BL511" s="351"/>
      <c r="BM511" s="351"/>
      <c r="BN511" s="351"/>
      <c r="BO511" s="351"/>
      <c r="BP511" s="351"/>
      <c r="BQ511" s="351"/>
      <c r="BR511" s="351"/>
      <c r="BS511" s="351"/>
      <c r="BT511" s="351"/>
      <c r="BU511" s="351"/>
      <c r="BV511" s="351"/>
      <c r="BW511" s="351"/>
      <c r="BX511" s="351"/>
      <c r="BY511" s="351"/>
      <c r="BZ511" s="351"/>
      <c r="CA511" s="351"/>
      <c r="CB511" s="351"/>
      <c r="CC511" s="351"/>
      <c r="CD511" s="351"/>
      <c r="CE511" s="351"/>
      <c r="CF511" s="351"/>
      <c r="CG511" s="352"/>
    </row>
    <row r="512" spans="1:85" s="353" customFormat="1" ht="13.9" customHeight="1" x14ac:dyDescent="0.2">
      <c r="A512" s="337" t="s">
        <v>158</v>
      </c>
      <c r="B512" s="338">
        <v>3</v>
      </c>
      <c r="C512" s="339" t="s">
        <v>617</v>
      </c>
      <c r="D512" s="340" t="s">
        <v>159</v>
      </c>
      <c r="E512" s="341"/>
      <c r="F512" s="341">
        <v>7993465398.3800001</v>
      </c>
      <c r="G512" s="341"/>
      <c r="H512" s="340" t="s">
        <v>792</v>
      </c>
      <c r="I512" s="339" t="s">
        <v>588</v>
      </c>
      <c r="J512" s="338">
        <v>1</v>
      </c>
      <c r="K512" s="338">
        <v>1</v>
      </c>
      <c r="L512" s="338">
        <v>12</v>
      </c>
      <c r="M512" s="342">
        <f t="shared" si="82"/>
        <v>1</v>
      </c>
      <c r="N512" s="343" t="s">
        <v>36</v>
      </c>
      <c r="O512" s="344" t="str">
        <f>IF(ISBLANK(N512),"",VLOOKUP(N512,[20]Parámetros!$G$2:$H$23,2,FALSE))</f>
        <v xml:space="preserve">Contratación directa (con ofertas) </v>
      </c>
      <c r="P512" s="345">
        <f t="shared" si="94"/>
        <v>1</v>
      </c>
      <c r="Q512" s="346">
        <f t="shared" si="83"/>
        <v>7993465398.3800001</v>
      </c>
      <c r="R512" s="346">
        <f t="shared" si="84"/>
        <v>7993465398.3800001</v>
      </c>
      <c r="S512" s="347" t="s">
        <v>223</v>
      </c>
      <c r="T512" s="345">
        <f t="shared" si="91"/>
        <v>0</v>
      </c>
      <c r="U512" s="348" t="str">
        <f t="shared" si="85"/>
        <v>SUBDIRECCION DE GESTION CONTRACTUAL</v>
      </c>
      <c r="V512" s="345" t="str">
        <f t="shared" si="92"/>
        <v>CO-DC</v>
      </c>
      <c r="W512" s="345" t="str">
        <f t="shared" si="93"/>
        <v>Distrito Capital de Bogotá</v>
      </c>
      <c r="X512" s="340" t="s">
        <v>586</v>
      </c>
      <c r="Y512" s="338">
        <v>2427400</v>
      </c>
      <c r="Z512" s="349" t="s">
        <v>160</v>
      </c>
      <c r="AA512" s="350"/>
      <c r="AB512" s="350"/>
      <c r="AC512" s="350"/>
      <c r="AD512" s="350"/>
      <c r="AE512" s="350"/>
      <c r="AF512" s="350"/>
      <c r="AG512" s="350"/>
      <c r="AH512" s="350"/>
      <c r="AI512" s="350"/>
      <c r="AJ512" s="350"/>
      <c r="AK512" s="350"/>
      <c r="AL512" s="350"/>
      <c r="AM512" s="350"/>
      <c r="AN512" s="350"/>
      <c r="AO512" s="350"/>
      <c r="AP512" s="350"/>
      <c r="AQ512" s="350"/>
      <c r="AR512" s="350"/>
      <c r="AS512" s="350"/>
      <c r="AT512" s="350"/>
      <c r="AU512" s="351"/>
      <c r="AV512" s="351"/>
      <c r="AW512" s="351"/>
      <c r="AX512" s="351"/>
      <c r="AY512" s="351"/>
      <c r="AZ512" s="351"/>
      <c r="BA512" s="351"/>
      <c r="BB512" s="351"/>
      <c r="BC512" s="351"/>
      <c r="BD512" s="351"/>
      <c r="BE512" s="351"/>
      <c r="BF512" s="351"/>
      <c r="BG512" s="351"/>
      <c r="BH512" s="351"/>
      <c r="BI512" s="351"/>
      <c r="BJ512" s="351"/>
      <c r="BK512" s="351"/>
      <c r="BL512" s="351"/>
      <c r="BM512" s="351"/>
      <c r="BN512" s="351"/>
      <c r="BO512" s="351"/>
      <c r="BP512" s="351"/>
      <c r="BQ512" s="351"/>
      <c r="BR512" s="351"/>
      <c r="BS512" s="351"/>
      <c r="BT512" s="351"/>
      <c r="BU512" s="351"/>
      <c r="BV512" s="351"/>
      <c r="BW512" s="351"/>
      <c r="BX512" s="351"/>
      <c r="BY512" s="351"/>
      <c r="BZ512" s="351"/>
      <c r="CA512" s="351"/>
      <c r="CB512" s="351"/>
      <c r="CC512" s="351"/>
      <c r="CD512" s="351"/>
      <c r="CE512" s="351"/>
      <c r="CF512" s="351"/>
      <c r="CG512" s="352"/>
    </row>
    <row r="513" spans="1:85" s="353" customFormat="1" ht="13.9" customHeight="1" x14ac:dyDescent="0.2">
      <c r="A513" s="337" t="s">
        <v>158</v>
      </c>
      <c r="B513" s="338">
        <v>4</v>
      </c>
      <c r="C513" s="339" t="s">
        <v>617</v>
      </c>
      <c r="D513" s="340" t="s">
        <v>159</v>
      </c>
      <c r="E513" s="341"/>
      <c r="F513" s="341">
        <v>4200003823</v>
      </c>
      <c r="G513" s="341"/>
      <c r="H513" s="340">
        <v>45121500</v>
      </c>
      <c r="I513" s="339" t="s">
        <v>589</v>
      </c>
      <c r="J513" s="338">
        <v>1</v>
      </c>
      <c r="K513" s="338">
        <v>1</v>
      </c>
      <c r="L513" s="338">
        <v>12</v>
      </c>
      <c r="M513" s="342">
        <f t="shared" si="82"/>
        <v>1</v>
      </c>
      <c r="N513" s="343" t="s">
        <v>36</v>
      </c>
      <c r="O513" s="344" t="str">
        <f>IF(ISBLANK(N513),"",VLOOKUP(N513,[20]Parámetros!$G$2:$H$23,2,FALSE))</f>
        <v xml:space="preserve">Contratación directa (con ofertas) </v>
      </c>
      <c r="P513" s="345">
        <f t="shared" si="94"/>
        <v>1</v>
      </c>
      <c r="Q513" s="346">
        <f t="shared" si="83"/>
        <v>4200003823</v>
      </c>
      <c r="R513" s="346">
        <f t="shared" si="84"/>
        <v>4200003823</v>
      </c>
      <c r="S513" s="347" t="s">
        <v>223</v>
      </c>
      <c r="T513" s="345">
        <f t="shared" si="91"/>
        <v>0</v>
      </c>
      <c r="U513" s="348" t="str">
        <f t="shared" si="85"/>
        <v>SUBDIRECCION DE GESTION CONTRACTUAL</v>
      </c>
      <c r="V513" s="345" t="str">
        <f t="shared" si="92"/>
        <v>CO-DC</v>
      </c>
      <c r="W513" s="345" t="str">
        <f t="shared" si="93"/>
        <v>Distrito Capital de Bogotá</v>
      </c>
      <c r="X513" s="340" t="s">
        <v>586</v>
      </c>
      <c r="Y513" s="338">
        <v>2427400</v>
      </c>
      <c r="Z513" s="349" t="s">
        <v>160</v>
      </c>
      <c r="AA513" s="350"/>
      <c r="AB513" s="350"/>
      <c r="AC513" s="350"/>
      <c r="AD513" s="350"/>
      <c r="AE513" s="350"/>
      <c r="AF513" s="350"/>
      <c r="AG513" s="350"/>
      <c r="AH513" s="350"/>
      <c r="AI513" s="350"/>
      <c r="AJ513" s="350"/>
      <c r="AK513" s="350"/>
      <c r="AL513" s="350"/>
      <c r="AM513" s="350"/>
      <c r="AN513" s="350"/>
      <c r="AO513" s="350"/>
      <c r="AP513" s="350"/>
      <c r="AQ513" s="350"/>
      <c r="AR513" s="350"/>
      <c r="AS513" s="350"/>
      <c r="AT513" s="350"/>
      <c r="AU513" s="351"/>
      <c r="AV513" s="351"/>
      <c r="AW513" s="351"/>
      <c r="AX513" s="351"/>
      <c r="AY513" s="351"/>
      <c r="AZ513" s="351"/>
      <c r="BA513" s="351"/>
      <c r="BB513" s="351"/>
      <c r="BC513" s="351"/>
      <c r="BD513" s="351"/>
      <c r="BE513" s="351"/>
      <c r="BF513" s="351"/>
      <c r="BG513" s="351"/>
      <c r="BH513" s="351"/>
      <c r="BI513" s="351"/>
      <c r="BJ513" s="351"/>
      <c r="BK513" s="351"/>
      <c r="BL513" s="351"/>
      <c r="BM513" s="351"/>
      <c r="BN513" s="351"/>
      <c r="BO513" s="351"/>
      <c r="BP513" s="351"/>
      <c r="BQ513" s="351"/>
      <c r="BR513" s="351"/>
      <c r="BS513" s="351"/>
      <c r="BT513" s="351"/>
      <c r="BU513" s="351"/>
      <c r="BV513" s="351"/>
      <c r="BW513" s="351"/>
      <c r="BX513" s="351"/>
      <c r="BY513" s="351"/>
      <c r="BZ513" s="351"/>
      <c r="CA513" s="351"/>
      <c r="CB513" s="351"/>
      <c r="CC513" s="351"/>
      <c r="CD513" s="351"/>
      <c r="CE513" s="351"/>
      <c r="CF513" s="351"/>
      <c r="CG513" s="352"/>
    </row>
    <row r="514" spans="1:85" s="353" customFormat="1" ht="13.9" customHeight="1" x14ac:dyDescent="0.2">
      <c r="A514" s="337" t="s">
        <v>158</v>
      </c>
      <c r="B514" s="338">
        <v>5</v>
      </c>
      <c r="C514" s="339" t="s">
        <v>617</v>
      </c>
      <c r="D514" s="340" t="s">
        <v>159</v>
      </c>
      <c r="E514" s="341"/>
      <c r="F514" s="341">
        <v>1906418842</v>
      </c>
      <c r="G514" s="341"/>
      <c r="H514" s="340" t="s">
        <v>788</v>
      </c>
      <c r="I514" s="339" t="s">
        <v>590</v>
      </c>
      <c r="J514" s="338">
        <v>1</v>
      </c>
      <c r="K514" s="338">
        <v>1</v>
      </c>
      <c r="L514" s="338">
        <v>12</v>
      </c>
      <c r="M514" s="342">
        <f t="shared" si="82"/>
        <v>1</v>
      </c>
      <c r="N514" s="343" t="s">
        <v>36</v>
      </c>
      <c r="O514" s="344" t="str">
        <f>IF(ISBLANK(N514),"",VLOOKUP(N514,[20]Parámetros!$G$2:$H$23,2,FALSE))</f>
        <v xml:space="preserve">Contratación directa (con ofertas) </v>
      </c>
      <c r="P514" s="345">
        <f t="shared" si="94"/>
        <v>1</v>
      </c>
      <c r="Q514" s="346">
        <f t="shared" si="83"/>
        <v>1906418842</v>
      </c>
      <c r="R514" s="346">
        <f t="shared" si="84"/>
        <v>1906418842</v>
      </c>
      <c r="S514" s="347" t="s">
        <v>223</v>
      </c>
      <c r="T514" s="345">
        <f t="shared" si="91"/>
        <v>0</v>
      </c>
      <c r="U514" s="348" t="str">
        <f t="shared" si="85"/>
        <v>SUBDIRECCION DE GESTION CONTRACTUAL</v>
      </c>
      <c r="V514" s="345" t="str">
        <f t="shared" si="92"/>
        <v>CO-DC</v>
      </c>
      <c r="W514" s="345" t="str">
        <f t="shared" si="93"/>
        <v>Distrito Capital de Bogotá</v>
      </c>
      <c r="X514" s="340" t="s">
        <v>586</v>
      </c>
      <c r="Y514" s="338">
        <v>2427400</v>
      </c>
      <c r="Z514" s="349" t="s">
        <v>160</v>
      </c>
      <c r="AA514" s="350"/>
      <c r="AB514" s="350"/>
      <c r="AC514" s="350"/>
      <c r="AD514" s="350"/>
      <c r="AE514" s="350"/>
      <c r="AF514" s="350"/>
      <c r="AG514" s="350"/>
      <c r="AH514" s="350"/>
      <c r="AI514" s="350"/>
      <c r="AJ514" s="350"/>
      <c r="AK514" s="350"/>
      <c r="AL514" s="350"/>
      <c r="AM514" s="350"/>
      <c r="AN514" s="350"/>
      <c r="AO514" s="350"/>
      <c r="AP514" s="350"/>
      <c r="AQ514" s="350"/>
      <c r="AR514" s="350"/>
      <c r="AS514" s="350"/>
      <c r="AT514" s="350"/>
      <c r="AU514" s="351"/>
      <c r="AV514" s="351"/>
      <c r="AW514" s="351"/>
      <c r="AX514" s="351"/>
      <c r="AY514" s="351"/>
      <c r="AZ514" s="351"/>
      <c r="BA514" s="351"/>
      <c r="BB514" s="351"/>
      <c r="BC514" s="351"/>
      <c r="BD514" s="351"/>
      <c r="BE514" s="351"/>
      <c r="BF514" s="351"/>
      <c r="BG514" s="351"/>
      <c r="BH514" s="351"/>
      <c r="BI514" s="351"/>
      <c r="BJ514" s="351"/>
      <c r="BK514" s="351"/>
      <c r="BL514" s="351"/>
      <c r="BM514" s="351"/>
      <c r="BN514" s="351"/>
      <c r="BO514" s="351"/>
      <c r="BP514" s="351"/>
      <c r="BQ514" s="351"/>
      <c r="BR514" s="351"/>
      <c r="BS514" s="351"/>
      <c r="BT514" s="351"/>
      <c r="BU514" s="351"/>
      <c r="BV514" s="351"/>
      <c r="BW514" s="351"/>
      <c r="BX514" s="351"/>
      <c r="BY514" s="351"/>
      <c r="BZ514" s="351"/>
      <c r="CA514" s="351"/>
      <c r="CB514" s="351"/>
      <c r="CC514" s="351"/>
      <c r="CD514" s="351"/>
      <c r="CE514" s="351"/>
      <c r="CF514" s="351"/>
      <c r="CG514" s="352"/>
    </row>
    <row r="515" spans="1:85" s="353" customFormat="1" ht="13.9" customHeight="1" x14ac:dyDescent="0.2">
      <c r="A515" s="337" t="s">
        <v>158</v>
      </c>
      <c r="B515" s="338">
        <v>6</v>
      </c>
      <c r="C515" s="339" t="s">
        <v>617</v>
      </c>
      <c r="D515" s="340" t="s">
        <v>159</v>
      </c>
      <c r="E515" s="341"/>
      <c r="F515" s="341">
        <v>2327373330</v>
      </c>
      <c r="G515" s="341"/>
      <c r="H515" s="340" t="s">
        <v>788</v>
      </c>
      <c r="I515" s="339" t="s">
        <v>591</v>
      </c>
      <c r="J515" s="338">
        <v>1</v>
      </c>
      <c r="K515" s="338">
        <v>1</v>
      </c>
      <c r="L515" s="338">
        <v>12</v>
      </c>
      <c r="M515" s="342">
        <f t="shared" si="82"/>
        <v>1</v>
      </c>
      <c r="N515" s="343" t="s">
        <v>36</v>
      </c>
      <c r="O515" s="344" t="str">
        <f>IF(ISBLANK(N515),"",VLOOKUP(N515,[20]Parámetros!$G$2:$H$23,2,FALSE))</f>
        <v xml:space="preserve">Contratación directa (con ofertas) </v>
      </c>
      <c r="P515" s="345">
        <f t="shared" si="94"/>
        <v>1</v>
      </c>
      <c r="Q515" s="346">
        <f t="shared" si="83"/>
        <v>2327373330</v>
      </c>
      <c r="R515" s="346">
        <f t="shared" si="84"/>
        <v>2327373330</v>
      </c>
      <c r="S515" s="347" t="s">
        <v>223</v>
      </c>
      <c r="T515" s="345">
        <f t="shared" si="91"/>
        <v>0</v>
      </c>
      <c r="U515" s="348" t="str">
        <f t="shared" si="85"/>
        <v>SUBDIRECCION DE GESTION CONTRACTUAL</v>
      </c>
      <c r="V515" s="345" t="str">
        <f t="shared" si="92"/>
        <v>CO-DC</v>
      </c>
      <c r="W515" s="345" t="str">
        <f t="shared" si="93"/>
        <v>Distrito Capital de Bogotá</v>
      </c>
      <c r="X515" s="340" t="s">
        <v>586</v>
      </c>
      <c r="Y515" s="338">
        <v>2427400</v>
      </c>
      <c r="Z515" s="349" t="s">
        <v>160</v>
      </c>
      <c r="AA515" s="350"/>
      <c r="AB515" s="350"/>
      <c r="AC515" s="350"/>
      <c r="AD515" s="350"/>
      <c r="AE515" s="350"/>
      <c r="AF515" s="350"/>
      <c r="AG515" s="350"/>
      <c r="AH515" s="350"/>
      <c r="AI515" s="350"/>
      <c r="AJ515" s="350"/>
      <c r="AK515" s="350"/>
      <c r="AL515" s="350"/>
      <c r="AM515" s="350"/>
      <c r="AN515" s="350"/>
      <c r="AO515" s="350"/>
      <c r="AP515" s="350"/>
      <c r="AQ515" s="350"/>
      <c r="AR515" s="350"/>
      <c r="AS515" s="350"/>
      <c r="AT515" s="350"/>
      <c r="AU515" s="351"/>
      <c r="AV515" s="351"/>
      <c r="AW515" s="351"/>
      <c r="AX515" s="351"/>
      <c r="AY515" s="351"/>
      <c r="AZ515" s="351"/>
      <c r="BA515" s="351"/>
      <c r="BB515" s="351"/>
      <c r="BC515" s="351"/>
      <c r="BD515" s="351"/>
      <c r="BE515" s="351"/>
      <c r="BF515" s="351"/>
      <c r="BG515" s="351"/>
      <c r="BH515" s="351"/>
      <c r="BI515" s="351"/>
      <c r="BJ515" s="351"/>
      <c r="BK515" s="351"/>
      <c r="BL515" s="351"/>
      <c r="BM515" s="351"/>
      <c r="BN515" s="351"/>
      <c r="BO515" s="351"/>
      <c r="BP515" s="351"/>
      <c r="BQ515" s="351"/>
      <c r="BR515" s="351"/>
      <c r="BS515" s="351"/>
      <c r="BT515" s="351"/>
      <c r="BU515" s="351"/>
      <c r="BV515" s="351"/>
      <c r="BW515" s="351"/>
      <c r="BX515" s="351"/>
      <c r="BY515" s="351"/>
      <c r="BZ515" s="351"/>
      <c r="CA515" s="351"/>
      <c r="CB515" s="351"/>
      <c r="CC515" s="351"/>
      <c r="CD515" s="351"/>
      <c r="CE515" s="351"/>
      <c r="CF515" s="351"/>
      <c r="CG515" s="352"/>
    </row>
    <row r="516" spans="1:85" s="353" customFormat="1" ht="13.9" customHeight="1" x14ac:dyDescent="0.2">
      <c r="A516" s="337" t="s">
        <v>158</v>
      </c>
      <c r="B516" s="338">
        <v>7</v>
      </c>
      <c r="C516" s="339" t="s">
        <v>617</v>
      </c>
      <c r="D516" s="340" t="s">
        <v>159</v>
      </c>
      <c r="E516" s="341"/>
      <c r="F516" s="341">
        <v>1310662954</v>
      </c>
      <c r="G516" s="341"/>
      <c r="H516" s="340" t="s">
        <v>788</v>
      </c>
      <c r="I516" s="339" t="s">
        <v>592</v>
      </c>
      <c r="J516" s="338">
        <v>1</v>
      </c>
      <c r="K516" s="338">
        <v>1</v>
      </c>
      <c r="L516" s="338">
        <v>12</v>
      </c>
      <c r="M516" s="342">
        <f t="shared" si="82"/>
        <v>1</v>
      </c>
      <c r="N516" s="343" t="s">
        <v>36</v>
      </c>
      <c r="O516" s="344" t="str">
        <f>IF(ISBLANK(N516),"",VLOOKUP(N516,[20]Parámetros!$G$2:$H$23,2,FALSE))</f>
        <v xml:space="preserve">Contratación directa (con ofertas) </v>
      </c>
      <c r="P516" s="345">
        <f t="shared" si="94"/>
        <v>1</v>
      </c>
      <c r="Q516" s="346">
        <f t="shared" si="83"/>
        <v>1310662954</v>
      </c>
      <c r="R516" s="346">
        <f t="shared" si="84"/>
        <v>1310662954</v>
      </c>
      <c r="S516" s="347" t="s">
        <v>223</v>
      </c>
      <c r="T516" s="345">
        <f t="shared" si="91"/>
        <v>0</v>
      </c>
      <c r="U516" s="348" t="str">
        <f t="shared" si="85"/>
        <v>SUBDIRECCION DE GESTION CONTRACTUAL</v>
      </c>
      <c r="V516" s="345" t="str">
        <f t="shared" si="92"/>
        <v>CO-DC</v>
      </c>
      <c r="W516" s="345" t="str">
        <f t="shared" si="93"/>
        <v>Distrito Capital de Bogotá</v>
      </c>
      <c r="X516" s="340" t="s">
        <v>586</v>
      </c>
      <c r="Y516" s="338">
        <v>2427400</v>
      </c>
      <c r="Z516" s="349" t="s">
        <v>160</v>
      </c>
      <c r="AA516" s="350"/>
      <c r="AB516" s="350"/>
      <c r="AC516" s="350"/>
      <c r="AD516" s="350"/>
      <c r="AE516" s="350"/>
      <c r="AF516" s="350"/>
      <c r="AG516" s="350"/>
      <c r="AH516" s="350"/>
      <c r="AI516" s="350"/>
      <c r="AJ516" s="350"/>
      <c r="AK516" s="350"/>
      <c r="AL516" s="350"/>
      <c r="AM516" s="350"/>
      <c r="AN516" s="350"/>
      <c r="AO516" s="350"/>
      <c r="AP516" s="350"/>
      <c r="AQ516" s="350"/>
      <c r="AR516" s="350"/>
      <c r="AS516" s="350"/>
      <c r="AT516" s="350"/>
      <c r="AU516" s="351"/>
      <c r="AV516" s="351"/>
      <c r="AW516" s="351"/>
      <c r="AX516" s="351"/>
      <c r="AY516" s="351"/>
      <c r="AZ516" s="351"/>
      <c r="BA516" s="351"/>
      <c r="BB516" s="351"/>
      <c r="BC516" s="351"/>
      <c r="BD516" s="351"/>
      <c r="BE516" s="351"/>
      <c r="BF516" s="351"/>
      <c r="BG516" s="351"/>
      <c r="BH516" s="351"/>
      <c r="BI516" s="351"/>
      <c r="BJ516" s="351"/>
      <c r="BK516" s="351"/>
      <c r="BL516" s="351"/>
      <c r="BM516" s="351"/>
      <c r="BN516" s="351"/>
      <c r="BO516" s="351"/>
      <c r="BP516" s="351"/>
      <c r="BQ516" s="351"/>
      <c r="BR516" s="351"/>
      <c r="BS516" s="351"/>
      <c r="BT516" s="351"/>
      <c r="BU516" s="351"/>
      <c r="BV516" s="351"/>
      <c r="BW516" s="351"/>
      <c r="BX516" s="351"/>
      <c r="BY516" s="351"/>
      <c r="BZ516" s="351"/>
      <c r="CA516" s="351"/>
      <c r="CB516" s="351"/>
      <c r="CC516" s="351"/>
      <c r="CD516" s="351"/>
      <c r="CE516" s="351"/>
      <c r="CF516" s="351"/>
      <c r="CG516" s="352"/>
    </row>
    <row r="517" spans="1:85" s="353" customFormat="1" ht="13.9" customHeight="1" x14ac:dyDescent="0.2">
      <c r="A517" s="337" t="s">
        <v>158</v>
      </c>
      <c r="B517" s="338">
        <v>8</v>
      </c>
      <c r="C517" s="339" t="s">
        <v>617</v>
      </c>
      <c r="D517" s="340" t="s">
        <v>159</v>
      </c>
      <c r="E517" s="341"/>
      <c r="F517" s="341">
        <v>1600069165</v>
      </c>
      <c r="G517" s="341"/>
      <c r="H517" s="340" t="s">
        <v>788</v>
      </c>
      <c r="I517" s="339" t="s">
        <v>593</v>
      </c>
      <c r="J517" s="338">
        <v>1</v>
      </c>
      <c r="K517" s="338">
        <v>1</v>
      </c>
      <c r="L517" s="338">
        <v>12</v>
      </c>
      <c r="M517" s="342">
        <f t="shared" si="82"/>
        <v>1</v>
      </c>
      <c r="N517" s="343" t="s">
        <v>36</v>
      </c>
      <c r="O517" s="344" t="str">
        <f>IF(ISBLANK(N517),"",VLOOKUP(N517,[20]Parámetros!$G$2:$H$23,2,FALSE))</f>
        <v xml:space="preserve">Contratación directa (con ofertas) </v>
      </c>
      <c r="P517" s="345">
        <f t="shared" si="94"/>
        <v>1</v>
      </c>
      <c r="Q517" s="346">
        <f t="shared" si="83"/>
        <v>1600069165</v>
      </c>
      <c r="R517" s="346">
        <f t="shared" si="84"/>
        <v>1600069165</v>
      </c>
      <c r="S517" s="347" t="s">
        <v>223</v>
      </c>
      <c r="T517" s="345">
        <f t="shared" si="91"/>
        <v>0</v>
      </c>
      <c r="U517" s="348" t="str">
        <f t="shared" si="85"/>
        <v>SUBDIRECCION DE GESTION CONTRACTUAL</v>
      </c>
      <c r="V517" s="345" t="str">
        <f t="shared" si="92"/>
        <v>CO-DC</v>
      </c>
      <c r="W517" s="345" t="str">
        <f t="shared" si="93"/>
        <v>Distrito Capital de Bogotá</v>
      </c>
      <c r="X517" s="340" t="s">
        <v>586</v>
      </c>
      <c r="Y517" s="338">
        <v>2427400</v>
      </c>
      <c r="Z517" s="349" t="s">
        <v>160</v>
      </c>
      <c r="AA517" s="350"/>
      <c r="AB517" s="350"/>
      <c r="AC517" s="350"/>
      <c r="AD517" s="350"/>
      <c r="AE517" s="350"/>
      <c r="AF517" s="350"/>
      <c r="AG517" s="350"/>
      <c r="AH517" s="350"/>
      <c r="AI517" s="350"/>
      <c r="AJ517" s="350"/>
      <c r="AK517" s="350"/>
      <c r="AL517" s="350"/>
      <c r="AM517" s="350"/>
      <c r="AN517" s="350"/>
      <c r="AO517" s="350"/>
      <c r="AP517" s="350"/>
      <c r="AQ517" s="350"/>
      <c r="AR517" s="350"/>
      <c r="AS517" s="350"/>
      <c r="AT517" s="350"/>
      <c r="AU517" s="351"/>
      <c r="AV517" s="351"/>
      <c r="AW517" s="351"/>
      <c r="AX517" s="351"/>
      <c r="AY517" s="351"/>
      <c r="AZ517" s="351"/>
      <c r="BA517" s="351"/>
      <c r="BB517" s="351"/>
      <c r="BC517" s="351"/>
      <c r="BD517" s="351"/>
      <c r="BE517" s="351"/>
      <c r="BF517" s="351"/>
      <c r="BG517" s="351"/>
      <c r="BH517" s="351"/>
      <c r="BI517" s="351"/>
      <c r="BJ517" s="351"/>
      <c r="BK517" s="351"/>
      <c r="BL517" s="351"/>
      <c r="BM517" s="351"/>
      <c r="BN517" s="351"/>
      <c r="BO517" s="351"/>
      <c r="BP517" s="351"/>
      <c r="BQ517" s="351"/>
      <c r="BR517" s="351"/>
      <c r="BS517" s="351"/>
      <c r="BT517" s="351"/>
      <c r="BU517" s="351"/>
      <c r="BV517" s="351"/>
      <c r="BW517" s="351"/>
      <c r="BX517" s="351"/>
      <c r="BY517" s="351"/>
      <c r="BZ517" s="351"/>
      <c r="CA517" s="351"/>
      <c r="CB517" s="351"/>
      <c r="CC517" s="351"/>
      <c r="CD517" s="351"/>
      <c r="CE517" s="351"/>
      <c r="CF517" s="351"/>
      <c r="CG517" s="352"/>
    </row>
    <row r="518" spans="1:85" s="353" customFormat="1" ht="13.9" customHeight="1" x14ac:dyDescent="0.2">
      <c r="A518" s="337" t="s">
        <v>158</v>
      </c>
      <c r="B518" s="338">
        <v>9</v>
      </c>
      <c r="C518" s="339" t="s">
        <v>617</v>
      </c>
      <c r="D518" s="340" t="s">
        <v>159</v>
      </c>
      <c r="E518" s="341"/>
      <c r="F518" s="341">
        <v>2560694474</v>
      </c>
      <c r="G518" s="341"/>
      <c r="H518" s="340" t="s">
        <v>792</v>
      </c>
      <c r="I518" s="339" t="s">
        <v>594</v>
      </c>
      <c r="J518" s="338">
        <v>1</v>
      </c>
      <c r="K518" s="338">
        <v>1</v>
      </c>
      <c r="L518" s="338">
        <v>12</v>
      </c>
      <c r="M518" s="342">
        <f t="shared" si="82"/>
        <v>1</v>
      </c>
      <c r="N518" s="343" t="s">
        <v>36</v>
      </c>
      <c r="O518" s="344" t="str">
        <f>IF(ISBLANK(N518),"",VLOOKUP(N518,[20]Parámetros!$G$2:$H$23,2,FALSE))</f>
        <v xml:space="preserve">Contratación directa (con ofertas) </v>
      </c>
      <c r="P518" s="345">
        <f t="shared" si="94"/>
        <v>1</v>
      </c>
      <c r="Q518" s="346">
        <f t="shared" si="83"/>
        <v>2560694474</v>
      </c>
      <c r="R518" s="346">
        <f t="shared" si="84"/>
        <v>2560694474</v>
      </c>
      <c r="S518" s="347" t="s">
        <v>223</v>
      </c>
      <c r="T518" s="345">
        <f t="shared" si="91"/>
        <v>0</v>
      </c>
      <c r="U518" s="348" t="str">
        <f t="shared" si="85"/>
        <v>SUBDIRECCION DE GESTION CONTRACTUAL</v>
      </c>
      <c r="V518" s="345" t="str">
        <f t="shared" si="92"/>
        <v>CO-DC</v>
      </c>
      <c r="W518" s="345" t="str">
        <f t="shared" si="93"/>
        <v>Distrito Capital de Bogotá</v>
      </c>
      <c r="X518" s="340" t="s">
        <v>586</v>
      </c>
      <c r="Y518" s="338">
        <v>2427400</v>
      </c>
      <c r="Z518" s="349" t="s">
        <v>160</v>
      </c>
      <c r="AA518" s="350"/>
      <c r="AB518" s="350"/>
      <c r="AC518" s="350"/>
      <c r="AD518" s="350"/>
      <c r="AE518" s="350"/>
      <c r="AF518" s="350"/>
      <c r="AG518" s="350"/>
      <c r="AH518" s="350"/>
      <c r="AI518" s="350"/>
      <c r="AJ518" s="350"/>
      <c r="AK518" s="350"/>
      <c r="AL518" s="350"/>
      <c r="AM518" s="350"/>
      <c r="AN518" s="350"/>
      <c r="AO518" s="350"/>
      <c r="AP518" s="350"/>
      <c r="AQ518" s="350"/>
      <c r="AR518" s="350"/>
      <c r="AS518" s="350"/>
      <c r="AT518" s="350"/>
      <c r="AU518" s="351"/>
      <c r="AV518" s="351"/>
      <c r="AW518" s="351"/>
      <c r="AX518" s="351"/>
      <c r="AY518" s="351"/>
      <c r="AZ518" s="351"/>
      <c r="BA518" s="351"/>
      <c r="BB518" s="351"/>
      <c r="BC518" s="351"/>
      <c r="BD518" s="351"/>
      <c r="BE518" s="351"/>
      <c r="BF518" s="351"/>
      <c r="BG518" s="351"/>
      <c r="BH518" s="351"/>
      <c r="BI518" s="351"/>
      <c r="BJ518" s="351"/>
      <c r="BK518" s="351"/>
      <c r="BL518" s="351"/>
      <c r="BM518" s="351"/>
      <c r="BN518" s="351"/>
      <c r="BO518" s="351"/>
      <c r="BP518" s="351"/>
      <c r="BQ518" s="351"/>
      <c r="BR518" s="351"/>
      <c r="BS518" s="351"/>
      <c r="BT518" s="351"/>
      <c r="BU518" s="351"/>
      <c r="BV518" s="351"/>
      <c r="BW518" s="351"/>
      <c r="BX518" s="351"/>
      <c r="BY518" s="351"/>
      <c r="BZ518" s="351"/>
      <c r="CA518" s="351"/>
      <c r="CB518" s="351"/>
      <c r="CC518" s="351"/>
      <c r="CD518" s="351"/>
      <c r="CE518" s="351"/>
      <c r="CF518" s="351"/>
      <c r="CG518" s="352"/>
    </row>
    <row r="519" spans="1:85" s="353" customFormat="1" ht="13.9" customHeight="1" x14ac:dyDescent="0.2">
      <c r="A519" s="337" t="s">
        <v>158</v>
      </c>
      <c r="B519" s="338">
        <v>10</v>
      </c>
      <c r="C519" s="339" t="s">
        <v>617</v>
      </c>
      <c r="D519" s="340" t="s">
        <v>159</v>
      </c>
      <c r="E519" s="341"/>
      <c r="F519" s="341">
        <v>1906418842</v>
      </c>
      <c r="G519" s="341"/>
      <c r="H519" s="340" t="s">
        <v>788</v>
      </c>
      <c r="I519" s="339" t="s">
        <v>595</v>
      </c>
      <c r="J519" s="338">
        <v>1</v>
      </c>
      <c r="K519" s="338">
        <v>1</v>
      </c>
      <c r="L519" s="338">
        <v>12</v>
      </c>
      <c r="M519" s="342">
        <f t="shared" si="82"/>
        <v>1</v>
      </c>
      <c r="N519" s="343" t="s">
        <v>36</v>
      </c>
      <c r="O519" s="344" t="str">
        <f>IF(ISBLANK(N519),"",VLOOKUP(N519,[20]Parámetros!$G$2:$H$23,2,FALSE))</f>
        <v xml:space="preserve">Contratación directa (con ofertas) </v>
      </c>
      <c r="P519" s="345">
        <f t="shared" si="94"/>
        <v>1</v>
      </c>
      <c r="Q519" s="346">
        <f t="shared" si="83"/>
        <v>1906418842</v>
      </c>
      <c r="R519" s="346">
        <f t="shared" si="84"/>
        <v>1906418842</v>
      </c>
      <c r="S519" s="347" t="s">
        <v>223</v>
      </c>
      <c r="T519" s="345">
        <f t="shared" si="91"/>
        <v>0</v>
      </c>
      <c r="U519" s="348" t="str">
        <f t="shared" si="85"/>
        <v>SUBDIRECCION DE GESTION CONTRACTUAL</v>
      </c>
      <c r="V519" s="345" t="str">
        <f t="shared" si="92"/>
        <v>CO-DC</v>
      </c>
      <c r="W519" s="345" t="str">
        <f t="shared" si="93"/>
        <v>Distrito Capital de Bogotá</v>
      </c>
      <c r="X519" s="340" t="s">
        <v>586</v>
      </c>
      <c r="Y519" s="338">
        <v>2427400</v>
      </c>
      <c r="Z519" s="349" t="s">
        <v>160</v>
      </c>
      <c r="AA519" s="350"/>
      <c r="AB519" s="350"/>
      <c r="AC519" s="350"/>
      <c r="AD519" s="350"/>
      <c r="AE519" s="350"/>
      <c r="AF519" s="350"/>
      <c r="AG519" s="350"/>
      <c r="AH519" s="350"/>
      <c r="AI519" s="350"/>
      <c r="AJ519" s="350"/>
      <c r="AK519" s="350"/>
      <c r="AL519" s="350"/>
      <c r="AM519" s="350"/>
      <c r="AN519" s="350"/>
      <c r="AO519" s="350"/>
      <c r="AP519" s="350"/>
      <c r="AQ519" s="350"/>
      <c r="AR519" s="350"/>
      <c r="AS519" s="350"/>
      <c r="AT519" s="350"/>
      <c r="AU519" s="351"/>
      <c r="AV519" s="351"/>
      <c r="AW519" s="351"/>
      <c r="AX519" s="351"/>
      <c r="AY519" s="351"/>
      <c r="AZ519" s="351"/>
      <c r="BA519" s="351"/>
      <c r="BB519" s="351"/>
      <c r="BC519" s="351"/>
      <c r="BD519" s="351"/>
      <c r="BE519" s="351"/>
      <c r="BF519" s="351"/>
      <c r="BG519" s="351"/>
      <c r="BH519" s="351"/>
      <c r="BI519" s="351"/>
      <c r="BJ519" s="351"/>
      <c r="BK519" s="351"/>
      <c r="BL519" s="351"/>
      <c r="BM519" s="351"/>
      <c r="BN519" s="351"/>
      <c r="BO519" s="351"/>
      <c r="BP519" s="351"/>
      <c r="BQ519" s="351"/>
      <c r="BR519" s="351"/>
      <c r="BS519" s="351"/>
      <c r="BT519" s="351"/>
      <c r="BU519" s="351"/>
      <c r="BV519" s="351"/>
      <c r="BW519" s="351"/>
      <c r="BX519" s="351"/>
      <c r="BY519" s="351"/>
      <c r="BZ519" s="351"/>
      <c r="CA519" s="351"/>
      <c r="CB519" s="351"/>
      <c r="CC519" s="351"/>
      <c r="CD519" s="351"/>
      <c r="CE519" s="351"/>
      <c r="CF519" s="351"/>
      <c r="CG519" s="352"/>
    </row>
    <row r="520" spans="1:85" s="353" customFormat="1" ht="13.9" customHeight="1" x14ac:dyDescent="0.2">
      <c r="A520" s="337" t="s">
        <v>158</v>
      </c>
      <c r="B520" s="338">
        <v>11</v>
      </c>
      <c r="C520" s="339" t="s">
        <v>617</v>
      </c>
      <c r="D520" s="340" t="s">
        <v>159</v>
      </c>
      <c r="E520" s="341"/>
      <c r="F520" s="341">
        <v>3484003648</v>
      </c>
      <c r="G520" s="341"/>
      <c r="H520" s="340" t="s">
        <v>792</v>
      </c>
      <c r="I520" s="339" t="s">
        <v>596</v>
      </c>
      <c r="J520" s="338">
        <v>1</v>
      </c>
      <c r="K520" s="338">
        <v>1</v>
      </c>
      <c r="L520" s="338">
        <v>12</v>
      </c>
      <c r="M520" s="342">
        <f t="shared" si="82"/>
        <v>1</v>
      </c>
      <c r="N520" s="343" t="s">
        <v>36</v>
      </c>
      <c r="O520" s="344" t="str">
        <f>IF(ISBLANK(N520),"",VLOOKUP(N520,[20]Parámetros!$G$2:$H$23,2,FALSE))</f>
        <v xml:space="preserve">Contratación directa (con ofertas) </v>
      </c>
      <c r="P520" s="345">
        <f t="shared" si="94"/>
        <v>1</v>
      </c>
      <c r="Q520" s="346">
        <f t="shared" si="83"/>
        <v>3484003648</v>
      </c>
      <c r="R520" s="346">
        <f t="shared" si="84"/>
        <v>3484003648</v>
      </c>
      <c r="S520" s="347" t="s">
        <v>223</v>
      </c>
      <c r="T520" s="345">
        <f t="shared" si="91"/>
        <v>0</v>
      </c>
      <c r="U520" s="348" t="str">
        <f t="shared" si="85"/>
        <v>SUBDIRECCION DE GESTION CONTRACTUAL</v>
      </c>
      <c r="V520" s="345" t="str">
        <f t="shared" si="92"/>
        <v>CO-DC</v>
      </c>
      <c r="W520" s="345" t="str">
        <f t="shared" si="93"/>
        <v>Distrito Capital de Bogotá</v>
      </c>
      <c r="X520" s="340" t="s">
        <v>586</v>
      </c>
      <c r="Y520" s="338">
        <v>2427400</v>
      </c>
      <c r="Z520" s="349" t="s">
        <v>160</v>
      </c>
      <c r="AA520" s="350"/>
      <c r="AB520" s="350"/>
      <c r="AC520" s="350"/>
      <c r="AD520" s="350"/>
      <c r="AE520" s="350"/>
      <c r="AF520" s="350"/>
      <c r="AG520" s="350"/>
      <c r="AH520" s="350"/>
      <c r="AI520" s="350"/>
      <c r="AJ520" s="350"/>
      <c r="AK520" s="350"/>
      <c r="AL520" s="350"/>
      <c r="AM520" s="350"/>
      <c r="AN520" s="350"/>
      <c r="AO520" s="350"/>
      <c r="AP520" s="350"/>
      <c r="AQ520" s="350"/>
      <c r="AR520" s="350"/>
      <c r="AS520" s="350"/>
      <c r="AT520" s="350"/>
      <c r="AU520" s="351"/>
      <c r="AV520" s="351"/>
      <c r="AW520" s="351"/>
      <c r="AX520" s="351"/>
      <c r="AY520" s="351"/>
      <c r="AZ520" s="351"/>
      <c r="BA520" s="351"/>
      <c r="BB520" s="351"/>
      <c r="BC520" s="351"/>
      <c r="BD520" s="351"/>
      <c r="BE520" s="351"/>
      <c r="BF520" s="351"/>
      <c r="BG520" s="351"/>
      <c r="BH520" s="351"/>
      <c r="BI520" s="351"/>
      <c r="BJ520" s="351"/>
      <c r="BK520" s="351"/>
      <c r="BL520" s="351"/>
      <c r="BM520" s="351"/>
      <c r="BN520" s="351"/>
      <c r="BO520" s="351"/>
      <c r="BP520" s="351"/>
      <c r="BQ520" s="351"/>
      <c r="BR520" s="351"/>
      <c r="BS520" s="351"/>
      <c r="BT520" s="351"/>
      <c r="BU520" s="351"/>
      <c r="BV520" s="351"/>
      <c r="BW520" s="351"/>
      <c r="BX520" s="351"/>
      <c r="BY520" s="351"/>
      <c r="BZ520" s="351"/>
      <c r="CA520" s="351"/>
      <c r="CB520" s="351"/>
      <c r="CC520" s="351"/>
      <c r="CD520" s="351"/>
      <c r="CE520" s="351"/>
      <c r="CF520" s="351"/>
      <c r="CG520" s="352"/>
    </row>
    <row r="521" spans="1:85" s="353" customFormat="1" ht="13.9" customHeight="1" x14ac:dyDescent="0.2">
      <c r="A521" s="337" t="s">
        <v>158</v>
      </c>
      <c r="B521" s="338">
        <v>12</v>
      </c>
      <c r="C521" s="339" t="s">
        <v>617</v>
      </c>
      <c r="D521" s="340" t="s">
        <v>159</v>
      </c>
      <c r="E521" s="341"/>
      <c r="F521" s="341">
        <v>1749472667</v>
      </c>
      <c r="G521" s="341"/>
      <c r="H521" s="340" t="s">
        <v>788</v>
      </c>
      <c r="I521" s="339" t="s">
        <v>597</v>
      </c>
      <c r="J521" s="338">
        <v>1</v>
      </c>
      <c r="K521" s="338">
        <v>1</v>
      </c>
      <c r="L521" s="338">
        <v>12</v>
      </c>
      <c r="M521" s="342">
        <f t="shared" si="82"/>
        <v>1</v>
      </c>
      <c r="N521" s="343" t="s">
        <v>36</v>
      </c>
      <c r="O521" s="344" t="str">
        <f>IF(ISBLANK(N521),"",VLOOKUP(N521,[20]Parámetros!$G$2:$H$23,2,FALSE))</f>
        <v xml:space="preserve">Contratación directa (con ofertas) </v>
      </c>
      <c r="P521" s="345">
        <f t="shared" si="94"/>
        <v>1</v>
      </c>
      <c r="Q521" s="346">
        <f t="shared" si="83"/>
        <v>1749472667</v>
      </c>
      <c r="R521" s="346">
        <f t="shared" si="84"/>
        <v>1749472667</v>
      </c>
      <c r="S521" s="347" t="s">
        <v>223</v>
      </c>
      <c r="T521" s="345">
        <f t="shared" ref="T521:T552" si="95">IF(ISBLANK(S521),"",IF(VALUE(S521)=0,0,IF(VALUE(S521)=1,3,"")))</f>
        <v>0</v>
      </c>
      <c r="U521" s="348" t="str">
        <f t="shared" si="85"/>
        <v>SUBDIRECCION DE GESTION CONTRACTUAL</v>
      </c>
      <c r="V521" s="345" t="str">
        <f t="shared" si="92"/>
        <v>CO-DC</v>
      </c>
      <c r="W521" s="345" t="str">
        <f t="shared" si="93"/>
        <v>Distrito Capital de Bogotá</v>
      </c>
      <c r="X521" s="340" t="s">
        <v>586</v>
      </c>
      <c r="Y521" s="338">
        <v>2427400</v>
      </c>
      <c r="Z521" s="349" t="s">
        <v>160</v>
      </c>
      <c r="AA521" s="350"/>
      <c r="AB521" s="350"/>
      <c r="AC521" s="350"/>
      <c r="AD521" s="350"/>
      <c r="AE521" s="350"/>
      <c r="AF521" s="350"/>
      <c r="AG521" s="350"/>
      <c r="AH521" s="350"/>
      <c r="AI521" s="350"/>
      <c r="AJ521" s="350"/>
      <c r="AK521" s="350"/>
      <c r="AL521" s="350"/>
      <c r="AM521" s="350"/>
      <c r="AN521" s="350"/>
      <c r="AO521" s="350"/>
      <c r="AP521" s="350"/>
      <c r="AQ521" s="350"/>
      <c r="AR521" s="350"/>
      <c r="AS521" s="350"/>
      <c r="AT521" s="350"/>
      <c r="AU521" s="351"/>
      <c r="AV521" s="351"/>
      <c r="AW521" s="351"/>
      <c r="AX521" s="351"/>
      <c r="AY521" s="351"/>
      <c r="AZ521" s="351"/>
      <c r="BA521" s="351"/>
      <c r="BB521" s="351"/>
      <c r="BC521" s="351"/>
      <c r="BD521" s="351"/>
      <c r="BE521" s="351"/>
      <c r="BF521" s="351"/>
      <c r="BG521" s="351"/>
      <c r="BH521" s="351"/>
      <c r="BI521" s="351"/>
      <c r="BJ521" s="351"/>
      <c r="BK521" s="351"/>
      <c r="BL521" s="351"/>
      <c r="BM521" s="351"/>
      <c r="BN521" s="351"/>
      <c r="BO521" s="351"/>
      <c r="BP521" s="351"/>
      <c r="BQ521" s="351"/>
      <c r="BR521" s="351"/>
      <c r="BS521" s="351"/>
      <c r="BT521" s="351"/>
      <c r="BU521" s="351"/>
      <c r="BV521" s="351"/>
      <c r="BW521" s="351"/>
      <c r="BX521" s="351"/>
      <c r="BY521" s="351"/>
      <c r="BZ521" s="351"/>
      <c r="CA521" s="351"/>
      <c r="CB521" s="351"/>
      <c r="CC521" s="351"/>
      <c r="CD521" s="351"/>
      <c r="CE521" s="351"/>
      <c r="CF521" s="351"/>
      <c r="CG521" s="352"/>
    </row>
    <row r="522" spans="1:85" s="353" customFormat="1" ht="13.9" customHeight="1" x14ac:dyDescent="0.2">
      <c r="A522" s="337" t="s">
        <v>158</v>
      </c>
      <c r="B522" s="338">
        <v>13</v>
      </c>
      <c r="C522" s="339" t="s">
        <v>617</v>
      </c>
      <c r="D522" s="340" t="s">
        <v>159</v>
      </c>
      <c r="E522" s="341"/>
      <c r="F522" s="341">
        <v>1600069165</v>
      </c>
      <c r="G522" s="341"/>
      <c r="H522" s="340" t="s">
        <v>788</v>
      </c>
      <c r="I522" s="339" t="s">
        <v>598</v>
      </c>
      <c r="J522" s="338">
        <v>1</v>
      </c>
      <c r="K522" s="338">
        <v>1</v>
      </c>
      <c r="L522" s="338">
        <v>12</v>
      </c>
      <c r="M522" s="342">
        <f t="shared" si="82"/>
        <v>1</v>
      </c>
      <c r="N522" s="343" t="s">
        <v>36</v>
      </c>
      <c r="O522" s="344" t="str">
        <f>IF(ISBLANK(N522),"",VLOOKUP(N522,[20]Parámetros!$G$2:$H$23,2,FALSE))</f>
        <v xml:space="preserve">Contratación directa (con ofertas) </v>
      </c>
      <c r="P522" s="345">
        <f t="shared" si="94"/>
        <v>1</v>
      </c>
      <c r="Q522" s="346">
        <f t="shared" si="83"/>
        <v>1600069165</v>
      </c>
      <c r="R522" s="346">
        <f t="shared" si="84"/>
        <v>1600069165</v>
      </c>
      <c r="S522" s="347" t="s">
        <v>223</v>
      </c>
      <c r="T522" s="345">
        <f t="shared" si="95"/>
        <v>0</v>
      </c>
      <c r="U522" s="348" t="str">
        <f t="shared" si="85"/>
        <v>SUBDIRECCION DE GESTION CONTRACTUAL</v>
      </c>
      <c r="V522" s="345" t="str">
        <f t="shared" si="92"/>
        <v>CO-DC</v>
      </c>
      <c r="W522" s="345" t="str">
        <f t="shared" si="93"/>
        <v>Distrito Capital de Bogotá</v>
      </c>
      <c r="X522" s="340" t="s">
        <v>586</v>
      </c>
      <c r="Y522" s="338">
        <v>2427400</v>
      </c>
      <c r="Z522" s="349" t="s">
        <v>160</v>
      </c>
      <c r="AA522" s="350"/>
      <c r="AB522" s="350"/>
      <c r="AC522" s="350"/>
      <c r="AD522" s="350"/>
      <c r="AE522" s="350"/>
      <c r="AF522" s="350"/>
      <c r="AG522" s="350"/>
      <c r="AH522" s="350"/>
      <c r="AI522" s="350"/>
      <c r="AJ522" s="350"/>
      <c r="AK522" s="350"/>
      <c r="AL522" s="350"/>
      <c r="AM522" s="350"/>
      <c r="AN522" s="350"/>
      <c r="AO522" s="350"/>
      <c r="AP522" s="350"/>
      <c r="AQ522" s="350"/>
      <c r="AR522" s="350"/>
      <c r="AS522" s="350"/>
      <c r="AT522" s="350"/>
      <c r="AU522" s="351"/>
      <c r="AV522" s="351"/>
      <c r="AW522" s="351"/>
      <c r="AX522" s="351"/>
      <c r="AY522" s="351"/>
      <c r="AZ522" s="351"/>
      <c r="BA522" s="351"/>
      <c r="BB522" s="351"/>
      <c r="BC522" s="351"/>
      <c r="BD522" s="351"/>
      <c r="BE522" s="351"/>
      <c r="BF522" s="351"/>
      <c r="BG522" s="351"/>
      <c r="BH522" s="351"/>
      <c r="BI522" s="351"/>
      <c r="BJ522" s="351"/>
      <c r="BK522" s="351"/>
      <c r="BL522" s="351"/>
      <c r="BM522" s="351"/>
      <c r="BN522" s="351"/>
      <c r="BO522" s="351"/>
      <c r="BP522" s="351"/>
      <c r="BQ522" s="351"/>
      <c r="BR522" s="351"/>
      <c r="BS522" s="351"/>
      <c r="BT522" s="351"/>
      <c r="BU522" s="351"/>
      <c r="BV522" s="351"/>
      <c r="BW522" s="351"/>
      <c r="BX522" s="351"/>
      <c r="BY522" s="351"/>
      <c r="BZ522" s="351"/>
      <c r="CA522" s="351"/>
      <c r="CB522" s="351"/>
      <c r="CC522" s="351"/>
      <c r="CD522" s="351"/>
      <c r="CE522" s="351"/>
      <c r="CF522" s="351"/>
      <c r="CG522" s="352"/>
    </row>
    <row r="523" spans="1:85" s="353" customFormat="1" ht="13.9" customHeight="1" x14ac:dyDescent="0.2">
      <c r="A523" s="337" t="s">
        <v>158</v>
      </c>
      <c r="B523" s="338">
        <v>14</v>
      </c>
      <c r="C523" s="339" t="s">
        <v>617</v>
      </c>
      <c r="D523" s="340" t="s">
        <v>159</v>
      </c>
      <c r="E523" s="341"/>
      <c r="F523" s="341">
        <v>1310662954</v>
      </c>
      <c r="G523" s="341"/>
      <c r="H523" s="340" t="s">
        <v>788</v>
      </c>
      <c r="I523" s="339" t="s">
        <v>599</v>
      </c>
      <c r="J523" s="338">
        <v>1</v>
      </c>
      <c r="K523" s="338">
        <v>1</v>
      </c>
      <c r="L523" s="338">
        <v>12</v>
      </c>
      <c r="M523" s="342">
        <f t="shared" si="82"/>
        <v>1</v>
      </c>
      <c r="N523" s="343" t="s">
        <v>36</v>
      </c>
      <c r="O523" s="344" t="str">
        <f>IF(ISBLANK(N523),"",VLOOKUP(N523,[20]Parámetros!$G$2:$H$23,2,FALSE))</f>
        <v xml:space="preserve">Contratación directa (con ofertas) </v>
      </c>
      <c r="P523" s="345">
        <f t="shared" si="94"/>
        <v>1</v>
      </c>
      <c r="Q523" s="346">
        <f t="shared" si="83"/>
        <v>1310662954</v>
      </c>
      <c r="R523" s="346">
        <f t="shared" si="84"/>
        <v>1310662954</v>
      </c>
      <c r="S523" s="347" t="s">
        <v>223</v>
      </c>
      <c r="T523" s="345">
        <f t="shared" si="95"/>
        <v>0</v>
      </c>
      <c r="U523" s="348" t="str">
        <f t="shared" si="85"/>
        <v>SUBDIRECCION DE GESTION CONTRACTUAL</v>
      </c>
      <c r="V523" s="345" t="str">
        <f t="shared" si="92"/>
        <v>CO-DC</v>
      </c>
      <c r="W523" s="345" t="str">
        <f t="shared" si="93"/>
        <v>Distrito Capital de Bogotá</v>
      </c>
      <c r="X523" s="340" t="s">
        <v>586</v>
      </c>
      <c r="Y523" s="338">
        <v>2427400</v>
      </c>
      <c r="Z523" s="349" t="s">
        <v>160</v>
      </c>
      <c r="AA523" s="350"/>
      <c r="AB523" s="350"/>
      <c r="AC523" s="350"/>
      <c r="AD523" s="350"/>
      <c r="AE523" s="350"/>
      <c r="AF523" s="350"/>
      <c r="AG523" s="350"/>
      <c r="AH523" s="350"/>
      <c r="AI523" s="350"/>
      <c r="AJ523" s="350"/>
      <c r="AK523" s="350"/>
      <c r="AL523" s="350"/>
      <c r="AM523" s="350"/>
      <c r="AN523" s="350"/>
      <c r="AO523" s="350"/>
      <c r="AP523" s="350"/>
      <c r="AQ523" s="350"/>
      <c r="AR523" s="350"/>
      <c r="AS523" s="350"/>
      <c r="AT523" s="350"/>
      <c r="AU523" s="351"/>
      <c r="AV523" s="351"/>
      <c r="AW523" s="351"/>
      <c r="AX523" s="351"/>
      <c r="AY523" s="351"/>
      <c r="AZ523" s="351"/>
      <c r="BA523" s="351"/>
      <c r="BB523" s="351"/>
      <c r="BC523" s="351"/>
      <c r="BD523" s="351"/>
      <c r="BE523" s="351"/>
      <c r="BF523" s="351"/>
      <c r="BG523" s="351"/>
      <c r="BH523" s="351"/>
      <c r="BI523" s="351"/>
      <c r="BJ523" s="351"/>
      <c r="BK523" s="351"/>
      <c r="BL523" s="351"/>
      <c r="BM523" s="351"/>
      <c r="BN523" s="351"/>
      <c r="BO523" s="351"/>
      <c r="BP523" s="351"/>
      <c r="BQ523" s="351"/>
      <c r="BR523" s="351"/>
      <c r="BS523" s="351"/>
      <c r="BT523" s="351"/>
      <c r="BU523" s="351"/>
      <c r="BV523" s="351"/>
      <c r="BW523" s="351"/>
      <c r="BX523" s="351"/>
      <c r="BY523" s="351"/>
      <c r="BZ523" s="351"/>
      <c r="CA523" s="351"/>
      <c r="CB523" s="351"/>
      <c r="CC523" s="351"/>
      <c r="CD523" s="351"/>
      <c r="CE523" s="351"/>
      <c r="CF523" s="351"/>
      <c r="CG523" s="352"/>
    </row>
    <row r="524" spans="1:85" s="353" customFormat="1" ht="13.9" customHeight="1" x14ac:dyDescent="0.2">
      <c r="A524" s="337" t="s">
        <v>158</v>
      </c>
      <c r="B524" s="338">
        <v>15</v>
      </c>
      <c r="C524" s="339" t="s">
        <v>617</v>
      </c>
      <c r="D524" s="340" t="s">
        <v>159</v>
      </c>
      <c r="E524" s="341"/>
      <c r="F524" s="341">
        <v>2553967515</v>
      </c>
      <c r="G524" s="341"/>
      <c r="H524" s="340" t="s">
        <v>788</v>
      </c>
      <c r="I524" s="339" t="s">
        <v>675</v>
      </c>
      <c r="J524" s="338">
        <v>1</v>
      </c>
      <c r="K524" s="338">
        <v>1</v>
      </c>
      <c r="L524" s="338">
        <v>12</v>
      </c>
      <c r="M524" s="342">
        <f t="shared" si="82"/>
        <v>1</v>
      </c>
      <c r="N524" s="343" t="s">
        <v>36</v>
      </c>
      <c r="O524" s="344" t="str">
        <f>IF(ISBLANK(N524),"",VLOOKUP(N524,[20]Parámetros!$G$2:$H$23,2,FALSE))</f>
        <v xml:space="preserve">Contratación directa (con ofertas) </v>
      </c>
      <c r="P524" s="345">
        <f t="shared" si="94"/>
        <v>1</v>
      </c>
      <c r="Q524" s="346">
        <f t="shared" si="83"/>
        <v>2553967515</v>
      </c>
      <c r="R524" s="346">
        <f t="shared" si="84"/>
        <v>2553967515</v>
      </c>
      <c r="S524" s="347" t="s">
        <v>223</v>
      </c>
      <c r="T524" s="345">
        <f t="shared" si="95"/>
        <v>0</v>
      </c>
      <c r="U524" s="348" t="str">
        <f t="shared" si="85"/>
        <v>SUBDIRECCION DE GESTION CONTRACTUAL</v>
      </c>
      <c r="V524" s="345" t="str">
        <f t="shared" si="92"/>
        <v>CO-DC</v>
      </c>
      <c r="W524" s="345" t="str">
        <f t="shared" si="93"/>
        <v>Distrito Capital de Bogotá</v>
      </c>
      <c r="X524" s="340" t="s">
        <v>586</v>
      </c>
      <c r="Y524" s="338">
        <v>2427400</v>
      </c>
      <c r="Z524" s="349" t="s">
        <v>160</v>
      </c>
      <c r="AA524" s="350"/>
      <c r="AB524" s="350"/>
      <c r="AC524" s="350"/>
      <c r="AD524" s="350"/>
      <c r="AE524" s="350"/>
      <c r="AF524" s="350"/>
      <c r="AG524" s="350"/>
      <c r="AH524" s="350"/>
      <c r="AI524" s="350"/>
      <c r="AJ524" s="350"/>
      <c r="AK524" s="350"/>
      <c r="AL524" s="350"/>
      <c r="AM524" s="350"/>
      <c r="AN524" s="350"/>
      <c r="AO524" s="350"/>
      <c r="AP524" s="350"/>
      <c r="AQ524" s="350"/>
      <c r="AR524" s="350"/>
      <c r="AS524" s="350"/>
      <c r="AT524" s="350"/>
      <c r="AU524" s="351"/>
      <c r="AV524" s="351"/>
      <c r="AW524" s="351"/>
      <c r="AX524" s="351"/>
      <c r="AY524" s="351"/>
      <c r="AZ524" s="351"/>
      <c r="BA524" s="351"/>
      <c r="BB524" s="351"/>
      <c r="BC524" s="351"/>
      <c r="BD524" s="351"/>
      <c r="BE524" s="351"/>
      <c r="BF524" s="351"/>
      <c r="BG524" s="351"/>
      <c r="BH524" s="351"/>
      <c r="BI524" s="351"/>
      <c r="BJ524" s="351"/>
      <c r="BK524" s="351"/>
      <c r="BL524" s="351"/>
      <c r="BM524" s="351"/>
      <c r="BN524" s="351"/>
      <c r="BO524" s="351"/>
      <c r="BP524" s="351"/>
      <c r="BQ524" s="351"/>
      <c r="BR524" s="351"/>
      <c r="BS524" s="351"/>
      <c r="BT524" s="351"/>
      <c r="BU524" s="351"/>
      <c r="BV524" s="351"/>
      <c r="BW524" s="351"/>
      <c r="BX524" s="351"/>
      <c r="BY524" s="351"/>
      <c r="BZ524" s="351"/>
      <c r="CA524" s="351"/>
      <c r="CB524" s="351"/>
      <c r="CC524" s="351"/>
      <c r="CD524" s="351"/>
      <c r="CE524" s="351"/>
      <c r="CF524" s="351"/>
      <c r="CG524" s="352"/>
    </row>
    <row r="525" spans="1:85" s="353" customFormat="1" ht="13.9" customHeight="1" x14ac:dyDescent="0.2">
      <c r="A525" s="337" t="s">
        <v>158</v>
      </c>
      <c r="B525" s="338">
        <v>16</v>
      </c>
      <c r="C525" s="339" t="s">
        <v>617</v>
      </c>
      <c r="D525" s="340" t="s">
        <v>159</v>
      </c>
      <c r="E525" s="341"/>
      <c r="F525" s="341">
        <v>2544687516</v>
      </c>
      <c r="G525" s="341"/>
      <c r="H525" s="340" t="s">
        <v>788</v>
      </c>
      <c r="I525" s="339" t="s">
        <v>676</v>
      </c>
      <c r="J525" s="338">
        <v>1</v>
      </c>
      <c r="K525" s="338">
        <v>1</v>
      </c>
      <c r="L525" s="338">
        <v>12</v>
      </c>
      <c r="M525" s="342">
        <f t="shared" si="82"/>
        <v>1</v>
      </c>
      <c r="N525" s="343" t="s">
        <v>36</v>
      </c>
      <c r="O525" s="344" t="str">
        <f>IF(ISBLANK(N525),"",VLOOKUP(N525,[20]Parámetros!$G$2:$H$23,2,FALSE))</f>
        <v xml:space="preserve">Contratación directa (con ofertas) </v>
      </c>
      <c r="P525" s="345">
        <f t="shared" si="94"/>
        <v>1</v>
      </c>
      <c r="Q525" s="346">
        <f t="shared" si="83"/>
        <v>2544687516</v>
      </c>
      <c r="R525" s="346">
        <f t="shared" si="84"/>
        <v>2544687516</v>
      </c>
      <c r="S525" s="347" t="s">
        <v>223</v>
      </c>
      <c r="T525" s="345">
        <f t="shared" si="95"/>
        <v>0</v>
      </c>
      <c r="U525" s="348" t="str">
        <f t="shared" si="85"/>
        <v>SUBDIRECCION DE GESTION CONTRACTUAL</v>
      </c>
      <c r="V525" s="345" t="str">
        <f t="shared" si="92"/>
        <v>CO-DC</v>
      </c>
      <c r="W525" s="345" t="str">
        <f t="shared" si="93"/>
        <v>Distrito Capital de Bogotá</v>
      </c>
      <c r="X525" s="340" t="s">
        <v>586</v>
      </c>
      <c r="Y525" s="338">
        <v>2427400</v>
      </c>
      <c r="Z525" s="349" t="s">
        <v>160</v>
      </c>
      <c r="AA525" s="350"/>
      <c r="AB525" s="350"/>
      <c r="AC525" s="350"/>
      <c r="AD525" s="350"/>
      <c r="AE525" s="350"/>
      <c r="AF525" s="350"/>
      <c r="AG525" s="350"/>
      <c r="AH525" s="350"/>
      <c r="AI525" s="350"/>
      <c r="AJ525" s="350"/>
      <c r="AK525" s="350"/>
      <c r="AL525" s="350"/>
      <c r="AM525" s="350"/>
      <c r="AN525" s="350"/>
      <c r="AO525" s="350"/>
      <c r="AP525" s="350"/>
      <c r="AQ525" s="350"/>
      <c r="AR525" s="350"/>
      <c r="AS525" s="350"/>
      <c r="AT525" s="350"/>
      <c r="AU525" s="351"/>
      <c r="AV525" s="351"/>
      <c r="AW525" s="351"/>
      <c r="AX525" s="351"/>
      <c r="AY525" s="351"/>
      <c r="AZ525" s="351"/>
      <c r="BA525" s="351"/>
      <c r="BB525" s="351"/>
      <c r="BC525" s="351"/>
      <c r="BD525" s="351"/>
      <c r="BE525" s="351"/>
      <c r="BF525" s="351"/>
      <c r="BG525" s="351"/>
      <c r="BH525" s="351"/>
      <c r="BI525" s="351"/>
      <c r="BJ525" s="351"/>
      <c r="BK525" s="351"/>
      <c r="BL525" s="351"/>
      <c r="BM525" s="351"/>
      <c r="BN525" s="351"/>
      <c r="BO525" s="351"/>
      <c r="BP525" s="351"/>
      <c r="BQ525" s="351"/>
      <c r="BR525" s="351"/>
      <c r="BS525" s="351"/>
      <c r="BT525" s="351"/>
      <c r="BU525" s="351"/>
      <c r="BV525" s="351"/>
      <c r="BW525" s="351"/>
      <c r="BX525" s="351"/>
      <c r="BY525" s="351"/>
      <c r="BZ525" s="351"/>
      <c r="CA525" s="351"/>
      <c r="CB525" s="351"/>
      <c r="CC525" s="351"/>
      <c r="CD525" s="351"/>
      <c r="CE525" s="351"/>
      <c r="CF525" s="351"/>
      <c r="CG525" s="352"/>
    </row>
    <row r="526" spans="1:85" s="353" customFormat="1" ht="13.9" customHeight="1" x14ac:dyDescent="0.2">
      <c r="A526" s="337" t="s">
        <v>158</v>
      </c>
      <c r="B526" s="338">
        <v>17</v>
      </c>
      <c r="C526" s="339" t="s">
        <v>617</v>
      </c>
      <c r="D526" s="340" t="s">
        <v>159</v>
      </c>
      <c r="E526" s="341"/>
      <c r="F526" s="341">
        <v>1310662954</v>
      </c>
      <c r="G526" s="341"/>
      <c r="H526" s="340" t="s">
        <v>788</v>
      </c>
      <c r="I526" s="339" t="s">
        <v>677</v>
      </c>
      <c r="J526" s="338">
        <v>1</v>
      </c>
      <c r="K526" s="338">
        <v>1</v>
      </c>
      <c r="L526" s="338">
        <v>12</v>
      </c>
      <c r="M526" s="342">
        <f t="shared" si="82"/>
        <v>1</v>
      </c>
      <c r="N526" s="343" t="s">
        <v>36</v>
      </c>
      <c r="O526" s="344" t="str">
        <f>IF(ISBLANK(N526),"",VLOOKUP(N526,[20]Parámetros!$G$2:$H$23,2,FALSE))</f>
        <v xml:space="preserve">Contratación directa (con ofertas) </v>
      </c>
      <c r="P526" s="345">
        <f t="shared" si="94"/>
        <v>1</v>
      </c>
      <c r="Q526" s="346">
        <f t="shared" si="83"/>
        <v>1310662954</v>
      </c>
      <c r="R526" s="346">
        <f t="shared" si="84"/>
        <v>1310662954</v>
      </c>
      <c r="S526" s="347" t="s">
        <v>223</v>
      </c>
      <c r="T526" s="345">
        <f t="shared" si="95"/>
        <v>0</v>
      </c>
      <c r="U526" s="348" t="str">
        <f t="shared" si="85"/>
        <v>SUBDIRECCION DE GESTION CONTRACTUAL</v>
      </c>
      <c r="V526" s="345" t="str">
        <f t="shared" si="92"/>
        <v>CO-DC</v>
      </c>
      <c r="W526" s="345" t="str">
        <f t="shared" si="93"/>
        <v>Distrito Capital de Bogotá</v>
      </c>
      <c r="X526" s="340" t="s">
        <v>586</v>
      </c>
      <c r="Y526" s="338">
        <v>2427400</v>
      </c>
      <c r="Z526" s="349" t="s">
        <v>160</v>
      </c>
      <c r="AA526" s="350"/>
      <c r="AB526" s="350"/>
      <c r="AC526" s="350"/>
      <c r="AD526" s="350"/>
      <c r="AE526" s="350"/>
      <c r="AF526" s="350"/>
      <c r="AG526" s="350"/>
      <c r="AH526" s="350"/>
      <c r="AI526" s="350"/>
      <c r="AJ526" s="350"/>
      <c r="AK526" s="350"/>
      <c r="AL526" s="350"/>
      <c r="AM526" s="350"/>
      <c r="AN526" s="350"/>
      <c r="AO526" s="350"/>
      <c r="AP526" s="350"/>
      <c r="AQ526" s="350"/>
      <c r="AR526" s="350"/>
      <c r="AS526" s="350"/>
      <c r="AT526" s="350"/>
      <c r="AU526" s="351"/>
      <c r="AV526" s="351"/>
      <c r="AW526" s="351"/>
      <c r="AX526" s="351"/>
      <c r="AY526" s="351"/>
      <c r="AZ526" s="351"/>
      <c r="BA526" s="351"/>
      <c r="BB526" s="351"/>
      <c r="BC526" s="351"/>
      <c r="BD526" s="351"/>
      <c r="BE526" s="351"/>
      <c r="BF526" s="351"/>
      <c r="BG526" s="351"/>
      <c r="BH526" s="351"/>
      <c r="BI526" s="351"/>
      <c r="BJ526" s="351"/>
      <c r="BK526" s="351"/>
      <c r="BL526" s="351"/>
      <c r="BM526" s="351"/>
      <c r="BN526" s="351"/>
      <c r="BO526" s="351"/>
      <c r="BP526" s="351"/>
      <c r="BQ526" s="351"/>
      <c r="BR526" s="351"/>
      <c r="BS526" s="351"/>
      <c r="BT526" s="351"/>
      <c r="BU526" s="351"/>
      <c r="BV526" s="351"/>
      <c r="BW526" s="351"/>
      <c r="BX526" s="351"/>
      <c r="BY526" s="351"/>
      <c r="BZ526" s="351"/>
      <c r="CA526" s="351"/>
      <c r="CB526" s="351"/>
      <c r="CC526" s="351"/>
      <c r="CD526" s="351"/>
      <c r="CE526" s="351"/>
      <c r="CF526" s="351"/>
      <c r="CG526" s="352"/>
    </row>
    <row r="527" spans="1:85" s="353" customFormat="1" ht="13.9" customHeight="1" x14ac:dyDescent="0.2">
      <c r="A527" s="337" t="s">
        <v>158</v>
      </c>
      <c r="B527" s="338">
        <v>18</v>
      </c>
      <c r="C527" s="339" t="s">
        <v>617</v>
      </c>
      <c r="D527" s="340" t="s">
        <v>159</v>
      </c>
      <c r="E527" s="341"/>
      <c r="F527" s="341">
        <v>305440000</v>
      </c>
      <c r="G527" s="341"/>
      <c r="H527" s="340" t="s">
        <v>788</v>
      </c>
      <c r="I527" s="339" t="s">
        <v>678</v>
      </c>
      <c r="J527" s="338">
        <v>1</v>
      </c>
      <c r="K527" s="338">
        <v>1</v>
      </c>
      <c r="L527" s="338">
        <v>12</v>
      </c>
      <c r="M527" s="342">
        <f t="shared" si="82"/>
        <v>1</v>
      </c>
      <c r="N527" s="343" t="s">
        <v>36</v>
      </c>
      <c r="O527" s="344" t="str">
        <f>IF(ISBLANK(N527),"",VLOOKUP(N527,[20]Parámetros!$G$2:$H$23,2,FALSE))</f>
        <v xml:space="preserve">Contratación directa (con ofertas) </v>
      </c>
      <c r="P527" s="345">
        <f t="shared" si="94"/>
        <v>1</v>
      </c>
      <c r="Q527" s="346">
        <f t="shared" si="83"/>
        <v>305440000</v>
      </c>
      <c r="R527" s="346">
        <f t="shared" si="84"/>
        <v>305440000</v>
      </c>
      <c r="S527" s="347" t="s">
        <v>223</v>
      </c>
      <c r="T527" s="345">
        <f t="shared" si="95"/>
        <v>0</v>
      </c>
      <c r="U527" s="348" t="str">
        <f t="shared" si="85"/>
        <v>SUBDIRECCION DE GESTION CONTRACTUAL</v>
      </c>
      <c r="V527" s="345" t="str">
        <f t="shared" si="92"/>
        <v>CO-DC</v>
      </c>
      <c r="W527" s="345" t="str">
        <f t="shared" si="93"/>
        <v>Distrito Capital de Bogotá</v>
      </c>
      <c r="X527" s="340" t="s">
        <v>586</v>
      </c>
      <c r="Y527" s="338">
        <v>2427400</v>
      </c>
      <c r="Z527" s="349" t="s">
        <v>160</v>
      </c>
      <c r="AA527" s="350"/>
      <c r="AB527" s="350"/>
      <c r="AC527" s="350"/>
      <c r="AD527" s="350"/>
      <c r="AE527" s="350"/>
      <c r="AF527" s="350"/>
      <c r="AG527" s="350"/>
      <c r="AH527" s="350"/>
      <c r="AI527" s="350"/>
      <c r="AJ527" s="350"/>
      <c r="AK527" s="350"/>
      <c r="AL527" s="350"/>
      <c r="AM527" s="350"/>
      <c r="AN527" s="350"/>
      <c r="AO527" s="350"/>
      <c r="AP527" s="350"/>
      <c r="AQ527" s="350"/>
      <c r="AR527" s="350"/>
      <c r="AS527" s="350"/>
      <c r="AT527" s="350"/>
      <c r="AU527" s="351"/>
      <c r="AV527" s="351"/>
      <c r="AW527" s="351"/>
      <c r="AX527" s="351"/>
      <c r="AY527" s="351"/>
      <c r="AZ527" s="351"/>
      <c r="BA527" s="351"/>
      <c r="BB527" s="351"/>
      <c r="BC527" s="351"/>
      <c r="BD527" s="351"/>
      <c r="BE527" s="351"/>
      <c r="BF527" s="351"/>
      <c r="BG527" s="351"/>
      <c r="BH527" s="351"/>
      <c r="BI527" s="351"/>
      <c r="BJ527" s="351"/>
      <c r="BK527" s="351"/>
      <c r="BL527" s="351"/>
      <c r="BM527" s="351"/>
      <c r="BN527" s="351"/>
      <c r="BO527" s="351"/>
      <c r="BP527" s="351"/>
      <c r="BQ527" s="351"/>
      <c r="BR527" s="351"/>
      <c r="BS527" s="351"/>
      <c r="BT527" s="351"/>
      <c r="BU527" s="351"/>
      <c r="BV527" s="351"/>
      <c r="BW527" s="351"/>
      <c r="BX527" s="351"/>
      <c r="BY527" s="351"/>
      <c r="BZ527" s="351"/>
      <c r="CA527" s="351"/>
      <c r="CB527" s="351"/>
      <c r="CC527" s="351"/>
      <c r="CD527" s="351"/>
      <c r="CE527" s="351"/>
      <c r="CF527" s="351"/>
      <c r="CG527" s="352"/>
    </row>
    <row r="528" spans="1:85" s="353" customFormat="1" ht="13.9" customHeight="1" x14ac:dyDescent="0.2">
      <c r="A528" s="337" t="s">
        <v>158</v>
      </c>
      <c r="B528" s="338">
        <v>19</v>
      </c>
      <c r="C528" s="339" t="s">
        <v>617</v>
      </c>
      <c r="D528" s="340" t="s">
        <v>159</v>
      </c>
      <c r="E528" s="341"/>
      <c r="F528" s="341">
        <v>1988398580</v>
      </c>
      <c r="G528" s="341"/>
      <c r="H528" s="340" t="s">
        <v>792</v>
      </c>
      <c r="I528" s="339" t="s">
        <v>679</v>
      </c>
      <c r="J528" s="338">
        <v>1</v>
      </c>
      <c r="K528" s="338">
        <v>1</v>
      </c>
      <c r="L528" s="338">
        <v>12</v>
      </c>
      <c r="M528" s="342">
        <f t="shared" si="82"/>
        <v>1</v>
      </c>
      <c r="N528" s="343" t="s">
        <v>36</v>
      </c>
      <c r="O528" s="344" t="str">
        <f>IF(ISBLANK(N528),"",VLOOKUP(N528,[20]Parámetros!$G$2:$H$23,2,FALSE))</f>
        <v xml:space="preserve">Contratación directa (con ofertas) </v>
      </c>
      <c r="P528" s="345">
        <f t="shared" si="94"/>
        <v>1</v>
      </c>
      <c r="Q528" s="346">
        <f t="shared" si="83"/>
        <v>1988398580</v>
      </c>
      <c r="R528" s="346">
        <f t="shared" si="84"/>
        <v>1988398580</v>
      </c>
      <c r="S528" s="347" t="s">
        <v>223</v>
      </c>
      <c r="T528" s="345">
        <f t="shared" si="95"/>
        <v>0</v>
      </c>
      <c r="U528" s="348" t="str">
        <f t="shared" si="85"/>
        <v>SUBDIRECCION DE GESTION CONTRACTUAL</v>
      </c>
      <c r="V528" s="345" t="str">
        <f t="shared" si="92"/>
        <v>CO-DC</v>
      </c>
      <c r="W528" s="345" t="str">
        <f t="shared" si="93"/>
        <v>Distrito Capital de Bogotá</v>
      </c>
      <c r="X528" s="340" t="s">
        <v>586</v>
      </c>
      <c r="Y528" s="338">
        <v>2427400</v>
      </c>
      <c r="Z528" s="349" t="s">
        <v>160</v>
      </c>
      <c r="AA528" s="350"/>
      <c r="AB528" s="350"/>
      <c r="AC528" s="350"/>
      <c r="AD528" s="350"/>
      <c r="AE528" s="350"/>
      <c r="AF528" s="350"/>
      <c r="AG528" s="350"/>
      <c r="AH528" s="350"/>
      <c r="AI528" s="350"/>
      <c r="AJ528" s="350"/>
      <c r="AK528" s="350"/>
      <c r="AL528" s="350"/>
      <c r="AM528" s="350"/>
      <c r="AN528" s="350"/>
      <c r="AO528" s="350"/>
      <c r="AP528" s="350"/>
      <c r="AQ528" s="350"/>
      <c r="AR528" s="350"/>
      <c r="AS528" s="350"/>
      <c r="AT528" s="350"/>
      <c r="AU528" s="351"/>
      <c r="AV528" s="351"/>
      <c r="AW528" s="351"/>
      <c r="AX528" s="351"/>
      <c r="AY528" s="351"/>
      <c r="AZ528" s="351"/>
      <c r="BA528" s="351"/>
      <c r="BB528" s="351"/>
      <c r="BC528" s="351"/>
      <c r="BD528" s="351"/>
      <c r="BE528" s="351"/>
      <c r="BF528" s="351"/>
      <c r="BG528" s="351"/>
      <c r="BH528" s="351"/>
      <c r="BI528" s="351"/>
      <c r="BJ528" s="351"/>
      <c r="BK528" s="351"/>
      <c r="BL528" s="351"/>
      <c r="BM528" s="351"/>
      <c r="BN528" s="351"/>
      <c r="BO528" s="351"/>
      <c r="BP528" s="351"/>
      <c r="BQ528" s="351"/>
      <c r="BR528" s="351"/>
      <c r="BS528" s="351"/>
      <c r="BT528" s="351"/>
      <c r="BU528" s="351"/>
      <c r="BV528" s="351"/>
      <c r="BW528" s="351"/>
      <c r="BX528" s="351"/>
      <c r="BY528" s="351"/>
      <c r="BZ528" s="351"/>
      <c r="CA528" s="351"/>
      <c r="CB528" s="351"/>
      <c r="CC528" s="351"/>
      <c r="CD528" s="351"/>
      <c r="CE528" s="351"/>
      <c r="CF528" s="351"/>
      <c r="CG528" s="352"/>
    </row>
    <row r="529" spans="1:85" s="353" customFormat="1" ht="13.9" customHeight="1" x14ac:dyDescent="0.2">
      <c r="A529" s="337" t="s">
        <v>158</v>
      </c>
      <c r="B529" s="338">
        <v>20</v>
      </c>
      <c r="C529" s="339" t="s">
        <v>617</v>
      </c>
      <c r="D529" s="340" t="s">
        <v>159</v>
      </c>
      <c r="E529" s="341"/>
      <c r="F529" s="341">
        <v>397679715</v>
      </c>
      <c r="G529" s="341"/>
      <c r="H529" s="340" t="s">
        <v>792</v>
      </c>
      <c r="I529" s="339" t="s">
        <v>679</v>
      </c>
      <c r="J529" s="338">
        <v>1</v>
      </c>
      <c r="K529" s="338">
        <v>1</v>
      </c>
      <c r="L529" s="338">
        <v>12</v>
      </c>
      <c r="M529" s="342">
        <f t="shared" si="82"/>
        <v>1</v>
      </c>
      <c r="N529" s="343" t="s">
        <v>36</v>
      </c>
      <c r="O529" s="344" t="str">
        <f>IF(ISBLANK(N529),"",VLOOKUP(N529,[20]Parámetros!$G$2:$H$23,2,FALSE))</f>
        <v xml:space="preserve">Contratación directa (con ofertas) </v>
      </c>
      <c r="P529" s="345">
        <f t="shared" si="94"/>
        <v>1</v>
      </c>
      <c r="Q529" s="346">
        <f t="shared" si="83"/>
        <v>397679715</v>
      </c>
      <c r="R529" s="346">
        <f t="shared" si="84"/>
        <v>397679715</v>
      </c>
      <c r="S529" s="347" t="s">
        <v>223</v>
      </c>
      <c r="T529" s="345">
        <f t="shared" si="95"/>
        <v>0</v>
      </c>
      <c r="U529" s="348" t="str">
        <f t="shared" si="85"/>
        <v>SUBDIRECCION DE GESTION CONTRACTUAL</v>
      </c>
      <c r="V529" s="345" t="str">
        <f t="shared" si="92"/>
        <v>CO-DC</v>
      </c>
      <c r="W529" s="345" t="str">
        <f t="shared" si="93"/>
        <v>Distrito Capital de Bogotá</v>
      </c>
      <c r="X529" s="340" t="s">
        <v>586</v>
      </c>
      <c r="Y529" s="338">
        <v>2427400</v>
      </c>
      <c r="Z529" s="349" t="s">
        <v>160</v>
      </c>
      <c r="AA529" s="350"/>
      <c r="AB529" s="350"/>
      <c r="AC529" s="350"/>
      <c r="AD529" s="350"/>
      <c r="AE529" s="350"/>
      <c r="AF529" s="350"/>
      <c r="AG529" s="350"/>
      <c r="AH529" s="350"/>
      <c r="AI529" s="350"/>
      <c r="AJ529" s="350"/>
      <c r="AK529" s="350"/>
      <c r="AL529" s="350"/>
      <c r="AM529" s="350"/>
      <c r="AN529" s="350"/>
      <c r="AO529" s="350"/>
      <c r="AP529" s="350"/>
      <c r="AQ529" s="350"/>
      <c r="AR529" s="350"/>
      <c r="AS529" s="350"/>
      <c r="AT529" s="350"/>
      <c r="AU529" s="351"/>
      <c r="AV529" s="351"/>
      <c r="AW529" s="351"/>
      <c r="AX529" s="351"/>
      <c r="AY529" s="351"/>
      <c r="AZ529" s="351"/>
      <c r="BA529" s="351"/>
      <c r="BB529" s="351"/>
      <c r="BC529" s="351"/>
      <c r="BD529" s="351"/>
      <c r="BE529" s="351"/>
      <c r="BF529" s="351"/>
      <c r="BG529" s="351"/>
      <c r="BH529" s="351"/>
      <c r="BI529" s="351"/>
      <c r="BJ529" s="351"/>
      <c r="BK529" s="351"/>
      <c r="BL529" s="351"/>
      <c r="BM529" s="351"/>
      <c r="BN529" s="351"/>
      <c r="BO529" s="351"/>
      <c r="BP529" s="351"/>
      <c r="BQ529" s="351"/>
      <c r="BR529" s="351"/>
      <c r="BS529" s="351"/>
      <c r="BT529" s="351"/>
      <c r="BU529" s="351"/>
      <c r="BV529" s="351"/>
      <c r="BW529" s="351"/>
      <c r="BX529" s="351"/>
      <c r="BY529" s="351"/>
      <c r="BZ529" s="351"/>
      <c r="CA529" s="351"/>
      <c r="CB529" s="351"/>
      <c r="CC529" s="351"/>
      <c r="CD529" s="351"/>
      <c r="CE529" s="351"/>
      <c r="CF529" s="351"/>
      <c r="CG529" s="352"/>
    </row>
    <row r="530" spans="1:85" s="353" customFormat="1" ht="13.9" customHeight="1" x14ac:dyDescent="0.2">
      <c r="A530" s="337" t="s">
        <v>158</v>
      </c>
      <c r="B530" s="338">
        <v>21</v>
      </c>
      <c r="C530" s="339" t="s">
        <v>617</v>
      </c>
      <c r="D530" s="340" t="s">
        <v>159</v>
      </c>
      <c r="E530" s="341"/>
      <c r="F530" s="341">
        <v>250000000</v>
      </c>
      <c r="G530" s="341"/>
      <c r="H530" s="340" t="s">
        <v>788</v>
      </c>
      <c r="I530" s="339" t="s">
        <v>681</v>
      </c>
      <c r="J530" s="338">
        <v>1</v>
      </c>
      <c r="K530" s="338">
        <v>1</v>
      </c>
      <c r="L530" s="338">
        <v>12</v>
      </c>
      <c r="M530" s="342">
        <f t="shared" si="82"/>
        <v>1</v>
      </c>
      <c r="N530" s="343" t="s">
        <v>36</v>
      </c>
      <c r="O530" s="344" t="str">
        <f>IF(ISBLANK(N530),"",VLOOKUP(N530,[20]Parámetros!$G$2:$H$23,2,FALSE))</f>
        <v xml:space="preserve">Contratación directa (con ofertas) </v>
      </c>
      <c r="P530" s="345">
        <f t="shared" si="94"/>
        <v>1</v>
      </c>
      <c r="Q530" s="346">
        <f t="shared" si="83"/>
        <v>250000000</v>
      </c>
      <c r="R530" s="346">
        <f t="shared" si="84"/>
        <v>250000000</v>
      </c>
      <c r="S530" s="347" t="s">
        <v>223</v>
      </c>
      <c r="T530" s="345">
        <f t="shared" si="95"/>
        <v>0</v>
      </c>
      <c r="U530" s="348" t="str">
        <f t="shared" si="85"/>
        <v>SUBDIRECCION DE GESTION CONTRACTUAL</v>
      </c>
      <c r="V530" s="345" t="str">
        <f t="shared" si="92"/>
        <v>CO-DC</v>
      </c>
      <c r="W530" s="345" t="str">
        <f t="shared" si="93"/>
        <v>Distrito Capital de Bogotá</v>
      </c>
      <c r="X530" s="340" t="s">
        <v>586</v>
      </c>
      <c r="Y530" s="338">
        <v>2427400</v>
      </c>
      <c r="Z530" s="349" t="s">
        <v>160</v>
      </c>
      <c r="AA530" s="350"/>
      <c r="AB530" s="350"/>
      <c r="AC530" s="350"/>
      <c r="AD530" s="350"/>
      <c r="AE530" s="350"/>
      <c r="AF530" s="350"/>
      <c r="AG530" s="350"/>
      <c r="AH530" s="350"/>
      <c r="AI530" s="350"/>
      <c r="AJ530" s="350"/>
      <c r="AK530" s="350"/>
      <c r="AL530" s="350"/>
      <c r="AM530" s="350"/>
      <c r="AN530" s="350"/>
      <c r="AO530" s="350"/>
      <c r="AP530" s="350"/>
      <c r="AQ530" s="350"/>
      <c r="AR530" s="350"/>
      <c r="AS530" s="350"/>
      <c r="AT530" s="350"/>
      <c r="AU530" s="351"/>
      <c r="AV530" s="351"/>
      <c r="AW530" s="351"/>
      <c r="AX530" s="351"/>
      <c r="AY530" s="351"/>
      <c r="AZ530" s="351"/>
      <c r="BA530" s="351"/>
      <c r="BB530" s="351"/>
      <c r="BC530" s="351"/>
      <c r="BD530" s="351"/>
      <c r="BE530" s="351"/>
      <c r="BF530" s="351"/>
      <c r="BG530" s="351"/>
      <c r="BH530" s="351"/>
      <c r="BI530" s="351"/>
      <c r="BJ530" s="351"/>
      <c r="BK530" s="351"/>
      <c r="BL530" s="351"/>
      <c r="BM530" s="351"/>
      <c r="BN530" s="351"/>
      <c r="BO530" s="351"/>
      <c r="BP530" s="351"/>
      <c r="BQ530" s="351"/>
      <c r="BR530" s="351"/>
      <c r="BS530" s="351"/>
      <c r="BT530" s="351"/>
      <c r="BU530" s="351"/>
      <c r="BV530" s="351"/>
      <c r="BW530" s="351"/>
      <c r="BX530" s="351"/>
      <c r="BY530" s="351"/>
      <c r="BZ530" s="351"/>
      <c r="CA530" s="351"/>
      <c r="CB530" s="351"/>
      <c r="CC530" s="351"/>
      <c r="CD530" s="351"/>
      <c r="CE530" s="351"/>
      <c r="CF530" s="351"/>
      <c r="CG530" s="352"/>
    </row>
    <row r="531" spans="1:85" s="353" customFormat="1" ht="13.9" customHeight="1" x14ac:dyDescent="0.2">
      <c r="A531" s="337" t="s">
        <v>158</v>
      </c>
      <c r="B531" s="338">
        <v>22</v>
      </c>
      <c r="C531" s="339" t="s">
        <v>617</v>
      </c>
      <c r="D531" s="340" t="s">
        <v>159</v>
      </c>
      <c r="E531" s="341"/>
      <c r="F531" s="341">
        <v>250000000</v>
      </c>
      <c r="G531" s="341"/>
      <c r="H531" s="340" t="s">
        <v>788</v>
      </c>
      <c r="I531" s="339" t="s">
        <v>680</v>
      </c>
      <c r="J531" s="338">
        <v>1</v>
      </c>
      <c r="K531" s="338">
        <v>1</v>
      </c>
      <c r="L531" s="338">
        <v>12</v>
      </c>
      <c r="M531" s="342">
        <f t="shared" si="82"/>
        <v>1</v>
      </c>
      <c r="N531" s="343" t="s">
        <v>36</v>
      </c>
      <c r="O531" s="344" t="str">
        <f>IF(ISBLANK(N531),"",VLOOKUP(N531,[20]Parámetros!$G$2:$H$23,2,FALSE))</f>
        <v xml:space="preserve">Contratación directa (con ofertas) </v>
      </c>
      <c r="P531" s="345">
        <f t="shared" si="94"/>
        <v>1</v>
      </c>
      <c r="Q531" s="346">
        <f t="shared" si="83"/>
        <v>250000000</v>
      </c>
      <c r="R531" s="346">
        <f t="shared" si="84"/>
        <v>250000000</v>
      </c>
      <c r="S531" s="347" t="s">
        <v>223</v>
      </c>
      <c r="T531" s="345">
        <f t="shared" si="95"/>
        <v>0</v>
      </c>
      <c r="U531" s="348" t="str">
        <f t="shared" si="85"/>
        <v>SUBDIRECCION DE GESTION CONTRACTUAL</v>
      </c>
      <c r="V531" s="345" t="str">
        <f t="shared" si="92"/>
        <v>CO-DC</v>
      </c>
      <c r="W531" s="345" t="str">
        <f t="shared" si="93"/>
        <v>Distrito Capital de Bogotá</v>
      </c>
      <c r="X531" s="340" t="s">
        <v>586</v>
      </c>
      <c r="Y531" s="338">
        <v>2427400</v>
      </c>
      <c r="Z531" s="349" t="s">
        <v>160</v>
      </c>
      <c r="AA531" s="350"/>
      <c r="AB531" s="350"/>
      <c r="AC531" s="350"/>
      <c r="AD531" s="350"/>
      <c r="AE531" s="350"/>
      <c r="AF531" s="350"/>
      <c r="AG531" s="350"/>
      <c r="AH531" s="350"/>
      <c r="AI531" s="350"/>
      <c r="AJ531" s="350"/>
      <c r="AK531" s="350"/>
      <c r="AL531" s="350"/>
      <c r="AM531" s="350"/>
      <c r="AN531" s="350"/>
      <c r="AO531" s="350"/>
      <c r="AP531" s="350"/>
      <c r="AQ531" s="350"/>
      <c r="AR531" s="350"/>
      <c r="AS531" s="350"/>
      <c r="AT531" s="350"/>
      <c r="AU531" s="351"/>
      <c r="AV531" s="351"/>
      <c r="AW531" s="351"/>
      <c r="AX531" s="351"/>
      <c r="AY531" s="351"/>
      <c r="AZ531" s="351"/>
      <c r="BA531" s="351"/>
      <c r="BB531" s="351"/>
      <c r="BC531" s="351"/>
      <c r="BD531" s="351"/>
      <c r="BE531" s="351"/>
      <c r="BF531" s="351"/>
      <c r="BG531" s="351"/>
      <c r="BH531" s="351"/>
      <c r="BI531" s="351"/>
      <c r="BJ531" s="351"/>
      <c r="BK531" s="351"/>
      <c r="BL531" s="351"/>
      <c r="BM531" s="351"/>
      <c r="BN531" s="351"/>
      <c r="BO531" s="351"/>
      <c r="BP531" s="351"/>
      <c r="BQ531" s="351"/>
      <c r="BR531" s="351"/>
      <c r="BS531" s="351"/>
      <c r="BT531" s="351"/>
      <c r="BU531" s="351"/>
      <c r="BV531" s="351"/>
      <c r="BW531" s="351"/>
      <c r="BX531" s="351"/>
      <c r="BY531" s="351"/>
      <c r="BZ531" s="351"/>
      <c r="CA531" s="351"/>
      <c r="CB531" s="351"/>
      <c r="CC531" s="351"/>
      <c r="CD531" s="351"/>
      <c r="CE531" s="351"/>
      <c r="CF531" s="351"/>
      <c r="CG531" s="352"/>
    </row>
    <row r="532" spans="1:85" s="353" customFormat="1" ht="13.9" customHeight="1" x14ac:dyDescent="0.2">
      <c r="A532" s="337" t="s">
        <v>158</v>
      </c>
      <c r="B532" s="338">
        <v>23</v>
      </c>
      <c r="C532" s="339" t="s">
        <v>617</v>
      </c>
      <c r="D532" s="340" t="s">
        <v>159</v>
      </c>
      <c r="E532" s="341"/>
      <c r="F532" s="341">
        <v>196577560</v>
      </c>
      <c r="G532" s="341"/>
      <c r="H532" s="340" t="s">
        <v>788</v>
      </c>
      <c r="I532" s="339" t="s">
        <v>682</v>
      </c>
      <c r="J532" s="338">
        <v>1</v>
      </c>
      <c r="K532" s="338">
        <v>1</v>
      </c>
      <c r="L532" s="338">
        <v>12</v>
      </c>
      <c r="M532" s="342">
        <f t="shared" si="82"/>
        <v>1</v>
      </c>
      <c r="N532" s="343" t="s">
        <v>36</v>
      </c>
      <c r="O532" s="344" t="str">
        <f>IF(ISBLANK(N532),"",VLOOKUP(N532,[20]Parámetros!$G$2:$H$23,2,FALSE))</f>
        <v xml:space="preserve">Contratación directa (con ofertas) </v>
      </c>
      <c r="P532" s="345">
        <f t="shared" si="94"/>
        <v>1</v>
      </c>
      <c r="Q532" s="346">
        <f t="shared" si="83"/>
        <v>196577560</v>
      </c>
      <c r="R532" s="346">
        <f t="shared" si="84"/>
        <v>196577560</v>
      </c>
      <c r="S532" s="347" t="s">
        <v>223</v>
      </c>
      <c r="T532" s="345">
        <f t="shared" si="95"/>
        <v>0</v>
      </c>
      <c r="U532" s="348" t="str">
        <f t="shared" si="85"/>
        <v>SUBDIRECCION DE GESTION CONTRACTUAL</v>
      </c>
      <c r="V532" s="345" t="str">
        <f t="shared" si="92"/>
        <v>CO-DC</v>
      </c>
      <c r="W532" s="345" t="str">
        <f t="shared" si="93"/>
        <v>Distrito Capital de Bogotá</v>
      </c>
      <c r="X532" s="340" t="s">
        <v>586</v>
      </c>
      <c r="Y532" s="338">
        <v>2427400</v>
      </c>
      <c r="Z532" s="349" t="s">
        <v>160</v>
      </c>
      <c r="AA532" s="350"/>
      <c r="AB532" s="350"/>
      <c r="AC532" s="350"/>
      <c r="AD532" s="350"/>
      <c r="AE532" s="350"/>
      <c r="AF532" s="350"/>
      <c r="AG532" s="350"/>
      <c r="AH532" s="350"/>
      <c r="AI532" s="350"/>
      <c r="AJ532" s="350"/>
      <c r="AK532" s="350"/>
      <c r="AL532" s="350"/>
      <c r="AM532" s="350"/>
      <c r="AN532" s="350"/>
      <c r="AO532" s="350"/>
      <c r="AP532" s="350"/>
      <c r="AQ532" s="350"/>
      <c r="AR532" s="350"/>
      <c r="AS532" s="350"/>
      <c r="AT532" s="350"/>
      <c r="AU532" s="351"/>
      <c r="AV532" s="351"/>
      <c r="AW532" s="351"/>
      <c r="AX532" s="351"/>
      <c r="AY532" s="351"/>
      <c r="AZ532" s="351"/>
      <c r="BA532" s="351"/>
      <c r="BB532" s="351"/>
      <c r="BC532" s="351"/>
      <c r="BD532" s="351"/>
      <c r="BE532" s="351"/>
      <c r="BF532" s="351"/>
      <c r="BG532" s="351"/>
      <c r="BH532" s="351"/>
      <c r="BI532" s="351"/>
      <c r="BJ532" s="351"/>
      <c r="BK532" s="351"/>
      <c r="BL532" s="351"/>
      <c r="BM532" s="351"/>
      <c r="BN532" s="351"/>
      <c r="BO532" s="351"/>
      <c r="BP532" s="351"/>
      <c r="BQ532" s="351"/>
      <c r="BR532" s="351"/>
      <c r="BS532" s="351"/>
      <c r="BT532" s="351"/>
      <c r="BU532" s="351"/>
      <c r="BV532" s="351"/>
      <c r="BW532" s="351"/>
      <c r="BX532" s="351"/>
      <c r="BY532" s="351"/>
      <c r="BZ532" s="351"/>
      <c r="CA532" s="351"/>
      <c r="CB532" s="351"/>
      <c r="CC532" s="351"/>
      <c r="CD532" s="351"/>
      <c r="CE532" s="351"/>
      <c r="CF532" s="351"/>
      <c r="CG532" s="352"/>
    </row>
    <row r="533" spans="1:85" s="353" customFormat="1" ht="13.9" customHeight="1" x14ac:dyDescent="0.2">
      <c r="A533" s="337" t="s">
        <v>158</v>
      </c>
      <c r="B533" s="338">
        <v>24</v>
      </c>
      <c r="C533" s="339" t="s">
        <v>617</v>
      </c>
      <c r="D533" s="340" t="s">
        <v>159</v>
      </c>
      <c r="E533" s="341"/>
      <c r="F533" s="341">
        <v>205000000</v>
      </c>
      <c r="G533" s="341"/>
      <c r="H533" s="340" t="s">
        <v>788</v>
      </c>
      <c r="I533" s="339" t="s">
        <v>683</v>
      </c>
      <c r="J533" s="338">
        <v>1</v>
      </c>
      <c r="K533" s="338">
        <v>1</v>
      </c>
      <c r="L533" s="338">
        <v>12</v>
      </c>
      <c r="M533" s="342">
        <f t="shared" si="82"/>
        <v>1</v>
      </c>
      <c r="N533" s="343" t="s">
        <v>36</v>
      </c>
      <c r="O533" s="344" t="str">
        <f>IF(ISBLANK(N533),"",VLOOKUP(N533,[20]Parámetros!$G$2:$H$23,2,FALSE))</f>
        <v xml:space="preserve">Contratación directa (con ofertas) </v>
      </c>
      <c r="P533" s="345">
        <f t="shared" si="94"/>
        <v>1</v>
      </c>
      <c r="Q533" s="346">
        <f t="shared" si="83"/>
        <v>205000000</v>
      </c>
      <c r="R533" s="346">
        <f t="shared" si="84"/>
        <v>205000000</v>
      </c>
      <c r="S533" s="347" t="s">
        <v>223</v>
      </c>
      <c r="T533" s="345">
        <f t="shared" si="95"/>
        <v>0</v>
      </c>
      <c r="U533" s="348" t="str">
        <f t="shared" si="85"/>
        <v>SUBDIRECCION DE GESTION CONTRACTUAL</v>
      </c>
      <c r="V533" s="345" t="str">
        <f t="shared" si="92"/>
        <v>CO-DC</v>
      </c>
      <c r="W533" s="345" t="str">
        <f t="shared" si="93"/>
        <v>Distrito Capital de Bogotá</v>
      </c>
      <c r="X533" s="340" t="s">
        <v>586</v>
      </c>
      <c r="Y533" s="338">
        <v>2427400</v>
      </c>
      <c r="Z533" s="349" t="s">
        <v>160</v>
      </c>
      <c r="AA533" s="350"/>
      <c r="AB533" s="350"/>
      <c r="AC533" s="350"/>
      <c r="AD533" s="350"/>
      <c r="AE533" s="350"/>
      <c r="AF533" s="350"/>
      <c r="AG533" s="350"/>
      <c r="AH533" s="350"/>
      <c r="AI533" s="350"/>
      <c r="AJ533" s="350"/>
      <c r="AK533" s="350"/>
      <c r="AL533" s="350"/>
      <c r="AM533" s="350"/>
      <c r="AN533" s="350"/>
      <c r="AO533" s="350"/>
      <c r="AP533" s="350"/>
      <c r="AQ533" s="350"/>
      <c r="AR533" s="350"/>
      <c r="AS533" s="350"/>
      <c r="AT533" s="350"/>
      <c r="AU533" s="351"/>
      <c r="AV533" s="351"/>
      <c r="AW533" s="351"/>
      <c r="AX533" s="351"/>
      <c r="AY533" s="351"/>
      <c r="AZ533" s="351"/>
      <c r="BA533" s="351"/>
      <c r="BB533" s="351"/>
      <c r="BC533" s="351"/>
      <c r="BD533" s="351"/>
      <c r="BE533" s="351"/>
      <c r="BF533" s="351"/>
      <c r="BG533" s="351"/>
      <c r="BH533" s="351"/>
      <c r="BI533" s="351"/>
      <c r="BJ533" s="351"/>
      <c r="BK533" s="351"/>
      <c r="BL533" s="351"/>
      <c r="BM533" s="351"/>
      <c r="BN533" s="351"/>
      <c r="BO533" s="351"/>
      <c r="BP533" s="351"/>
      <c r="BQ533" s="351"/>
      <c r="BR533" s="351"/>
      <c r="BS533" s="351"/>
      <c r="BT533" s="351"/>
      <c r="BU533" s="351"/>
      <c r="BV533" s="351"/>
      <c r="BW533" s="351"/>
      <c r="BX533" s="351"/>
      <c r="BY533" s="351"/>
      <c r="BZ533" s="351"/>
      <c r="CA533" s="351"/>
      <c r="CB533" s="351"/>
      <c r="CC533" s="351"/>
      <c r="CD533" s="351"/>
      <c r="CE533" s="351"/>
      <c r="CF533" s="351"/>
      <c r="CG533" s="352"/>
    </row>
    <row r="534" spans="1:85" s="353" customFormat="1" ht="13.9" customHeight="1" x14ac:dyDescent="0.2">
      <c r="A534" s="337" t="s">
        <v>158</v>
      </c>
      <c r="B534" s="338">
        <v>25</v>
      </c>
      <c r="C534" s="339" t="s">
        <v>617</v>
      </c>
      <c r="D534" s="340" t="s">
        <v>159</v>
      </c>
      <c r="E534" s="341"/>
      <c r="F534" s="341">
        <v>205000000</v>
      </c>
      <c r="G534" s="341"/>
      <c r="H534" s="340" t="s">
        <v>788</v>
      </c>
      <c r="I534" s="339" t="s">
        <v>684</v>
      </c>
      <c r="J534" s="338">
        <v>1</v>
      </c>
      <c r="K534" s="338">
        <v>1</v>
      </c>
      <c r="L534" s="338">
        <v>12</v>
      </c>
      <c r="M534" s="342">
        <f t="shared" ref="M534:M597" si="96">IF(ISBLANK(J534),"",1)</f>
        <v>1</v>
      </c>
      <c r="N534" s="343" t="s">
        <v>36</v>
      </c>
      <c r="O534" s="344" t="str">
        <f>IF(ISBLANK(N534),"",VLOOKUP(N534,[20]Parámetros!$G$2:$H$23,2,FALSE))</f>
        <v xml:space="preserve">Contratación directa (con ofertas) </v>
      </c>
      <c r="P534" s="345">
        <f t="shared" si="94"/>
        <v>1</v>
      </c>
      <c r="Q534" s="346">
        <f t="shared" ref="Q534:Q597" si="97">+E534+F534+G534</f>
        <v>205000000</v>
      </c>
      <c r="R534" s="346">
        <f t="shared" ref="R534:R597" si="98">+F534</f>
        <v>205000000</v>
      </c>
      <c r="S534" s="347" t="s">
        <v>223</v>
      </c>
      <c r="T534" s="345">
        <f t="shared" si="95"/>
        <v>0</v>
      </c>
      <c r="U534" s="348" t="str">
        <f t="shared" ref="U534:U597" si="99">IF(ISBLANK(N534),"","SUBDIRECCION DE GESTION CONTRACTUAL")</f>
        <v>SUBDIRECCION DE GESTION CONTRACTUAL</v>
      </c>
      <c r="V534" s="345" t="str">
        <f t="shared" si="92"/>
        <v>CO-DC</v>
      </c>
      <c r="W534" s="345" t="str">
        <f t="shared" si="93"/>
        <v>Distrito Capital de Bogotá</v>
      </c>
      <c r="X534" s="340" t="s">
        <v>586</v>
      </c>
      <c r="Y534" s="338">
        <v>2427400</v>
      </c>
      <c r="Z534" s="349" t="s">
        <v>160</v>
      </c>
      <c r="AA534" s="350"/>
      <c r="AB534" s="350"/>
      <c r="AC534" s="350"/>
      <c r="AD534" s="350"/>
      <c r="AE534" s="350"/>
      <c r="AF534" s="350"/>
      <c r="AG534" s="350"/>
      <c r="AH534" s="350"/>
      <c r="AI534" s="350"/>
      <c r="AJ534" s="350"/>
      <c r="AK534" s="350"/>
      <c r="AL534" s="350"/>
      <c r="AM534" s="350"/>
      <c r="AN534" s="350"/>
      <c r="AO534" s="350"/>
      <c r="AP534" s="350"/>
      <c r="AQ534" s="350"/>
      <c r="AR534" s="350"/>
      <c r="AS534" s="350"/>
      <c r="AT534" s="350"/>
      <c r="AU534" s="351"/>
      <c r="AV534" s="351"/>
      <c r="AW534" s="351"/>
      <c r="AX534" s="351"/>
      <c r="AY534" s="351"/>
      <c r="AZ534" s="351"/>
      <c r="BA534" s="351"/>
      <c r="BB534" s="351"/>
      <c r="BC534" s="351"/>
      <c r="BD534" s="351"/>
      <c r="BE534" s="351"/>
      <c r="BF534" s="351"/>
      <c r="BG534" s="351"/>
      <c r="BH534" s="351"/>
      <c r="BI534" s="351"/>
      <c r="BJ534" s="351"/>
      <c r="BK534" s="351"/>
      <c r="BL534" s="351"/>
      <c r="BM534" s="351"/>
      <c r="BN534" s="351"/>
      <c r="BO534" s="351"/>
      <c r="BP534" s="351"/>
      <c r="BQ534" s="351"/>
      <c r="BR534" s="351"/>
      <c r="BS534" s="351"/>
      <c r="BT534" s="351"/>
      <c r="BU534" s="351"/>
      <c r="BV534" s="351"/>
      <c r="BW534" s="351"/>
      <c r="BX534" s="351"/>
      <c r="BY534" s="351"/>
      <c r="BZ534" s="351"/>
      <c r="CA534" s="351"/>
      <c r="CB534" s="351"/>
      <c r="CC534" s="351"/>
      <c r="CD534" s="351"/>
      <c r="CE534" s="351"/>
      <c r="CF534" s="351"/>
      <c r="CG534" s="352"/>
    </row>
    <row r="535" spans="1:85" s="353" customFormat="1" ht="13.9" customHeight="1" x14ac:dyDescent="0.2">
      <c r="A535" s="337" t="s">
        <v>158</v>
      </c>
      <c r="B535" s="338">
        <v>26</v>
      </c>
      <c r="C535" s="339" t="s">
        <v>617</v>
      </c>
      <c r="D535" s="340" t="s">
        <v>159</v>
      </c>
      <c r="E535" s="341"/>
      <c r="F535" s="341">
        <v>250000000</v>
      </c>
      <c r="G535" s="341"/>
      <c r="H535" s="340" t="s">
        <v>788</v>
      </c>
      <c r="I535" s="339" t="s">
        <v>685</v>
      </c>
      <c r="J535" s="338">
        <v>1</v>
      </c>
      <c r="K535" s="338">
        <v>1</v>
      </c>
      <c r="L535" s="338">
        <v>12</v>
      </c>
      <c r="M535" s="342">
        <f t="shared" si="96"/>
        <v>1</v>
      </c>
      <c r="N535" s="343" t="s">
        <v>36</v>
      </c>
      <c r="O535" s="344" t="str">
        <f>IF(ISBLANK(N535),"",VLOOKUP(N535,[20]Parámetros!$G$2:$H$23,2,FALSE))</f>
        <v xml:space="preserve">Contratación directa (con ofertas) </v>
      </c>
      <c r="P535" s="345">
        <f t="shared" si="94"/>
        <v>1</v>
      </c>
      <c r="Q535" s="346">
        <f t="shared" si="97"/>
        <v>250000000</v>
      </c>
      <c r="R535" s="346">
        <f t="shared" si="98"/>
        <v>250000000</v>
      </c>
      <c r="S535" s="347" t="s">
        <v>223</v>
      </c>
      <c r="T535" s="345">
        <f t="shared" si="95"/>
        <v>0</v>
      </c>
      <c r="U535" s="348" t="str">
        <f t="shared" si="99"/>
        <v>SUBDIRECCION DE GESTION CONTRACTUAL</v>
      </c>
      <c r="V535" s="345" t="str">
        <f t="shared" si="92"/>
        <v>CO-DC</v>
      </c>
      <c r="W535" s="345" t="str">
        <f t="shared" si="93"/>
        <v>Distrito Capital de Bogotá</v>
      </c>
      <c r="X535" s="340" t="s">
        <v>586</v>
      </c>
      <c r="Y535" s="338">
        <v>2427400</v>
      </c>
      <c r="Z535" s="349" t="s">
        <v>160</v>
      </c>
      <c r="AA535" s="350"/>
      <c r="AB535" s="350"/>
      <c r="AC535" s="350"/>
      <c r="AD535" s="350"/>
      <c r="AE535" s="350"/>
      <c r="AF535" s="350"/>
      <c r="AG535" s="350"/>
      <c r="AH535" s="350"/>
      <c r="AI535" s="350"/>
      <c r="AJ535" s="350"/>
      <c r="AK535" s="350"/>
      <c r="AL535" s="350"/>
      <c r="AM535" s="350"/>
      <c r="AN535" s="350"/>
      <c r="AO535" s="350"/>
      <c r="AP535" s="350"/>
      <c r="AQ535" s="350"/>
      <c r="AR535" s="350"/>
      <c r="AS535" s="350"/>
      <c r="AT535" s="350"/>
      <c r="AU535" s="351"/>
      <c r="AV535" s="351"/>
      <c r="AW535" s="351"/>
      <c r="AX535" s="351"/>
      <c r="AY535" s="351"/>
      <c r="AZ535" s="351"/>
      <c r="BA535" s="351"/>
      <c r="BB535" s="351"/>
      <c r="BC535" s="351"/>
      <c r="BD535" s="351"/>
      <c r="BE535" s="351"/>
      <c r="BF535" s="351"/>
      <c r="BG535" s="351"/>
      <c r="BH535" s="351"/>
      <c r="BI535" s="351"/>
      <c r="BJ535" s="351"/>
      <c r="BK535" s="351"/>
      <c r="BL535" s="351"/>
      <c r="BM535" s="351"/>
      <c r="BN535" s="351"/>
      <c r="BO535" s="351"/>
      <c r="BP535" s="351"/>
      <c r="BQ535" s="351"/>
      <c r="BR535" s="351"/>
      <c r="BS535" s="351"/>
      <c r="BT535" s="351"/>
      <c r="BU535" s="351"/>
      <c r="BV535" s="351"/>
      <c r="BW535" s="351"/>
      <c r="BX535" s="351"/>
      <c r="BY535" s="351"/>
      <c r="BZ535" s="351"/>
      <c r="CA535" s="351"/>
      <c r="CB535" s="351"/>
      <c r="CC535" s="351"/>
      <c r="CD535" s="351"/>
      <c r="CE535" s="351"/>
      <c r="CF535" s="351"/>
      <c r="CG535" s="352"/>
    </row>
    <row r="536" spans="1:85" s="353" customFormat="1" ht="13.9" customHeight="1" x14ac:dyDescent="0.2">
      <c r="A536" s="337" t="s">
        <v>158</v>
      </c>
      <c r="B536" s="338">
        <v>27</v>
      </c>
      <c r="C536" s="339" t="s">
        <v>617</v>
      </c>
      <c r="D536" s="340" t="s">
        <v>159</v>
      </c>
      <c r="E536" s="341"/>
      <c r="F536" s="341">
        <v>605370738</v>
      </c>
      <c r="G536" s="341"/>
      <c r="H536" s="340" t="s">
        <v>792</v>
      </c>
      <c r="I536" s="339" t="s">
        <v>686</v>
      </c>
      <c r="J536" s="338">
        <v>1</v>
      </c>
      <c r="K536" s="338">
        <v>1</v>
      </c>
      <c r="L536" s="338">
        <v>12</v>
      </c>
      <c r="M536" s="342">
        <f t="shared" si="96"/>
        <v>1</v>
      </c>
      <c r="N536" s="343" t="s">
        <v>36</v>
      </c>
      <c r="O536" s="344" t="str">
        <f>IF(ISBLANK(N536),"",VLOOKUP(N536,[20]Parámetros!$G$2:$H$23,2,FALSE))</f>
        <v xml:space="preserve">Contratación directa (con ofertas) </v>
      </c>
      <c r="P536" s="345">
        <f t="shared" si="94"/>
        <v>1</v>
      </c>
      <c r="Q536" s="346">
        <f t="shared" si="97"/>
        <v>605370738</v>
      </c>
      <c r="R536" s="346">
        <f t="shared" si="98"/>
        <v>605370738</v>
      </c>
      <c r="S536" s="347" t="s">
        <v>223</v>
      </c>
      <c r="T536" s="345">
        <f t="shared" si="95"/>
        <v>0</v>
      </c>
      <c r="U536" s="348" t="str">
        <f t="shared" si="99"/>
        <v>SUBDIRECCION DE GESTION CONTRACTUAL</v>
      </c>
      <c r="V536" s="345" t="str">
        <f t="shared" si="92"/>
        <v>CO-DC</v>
      </c>
      <c r="W536" s="345" t="str">
        <f t="shared" si="93"/>
        <v>Distrito Capital de Bogotá</v>
      </c>
      <c r="X536" s="340" t="s">
        <v>586</v>
      </c>
      <c r="Y536" s="338">
        <v>2427400</v>
      </c>
      <c r="Z536" s="349" t="s">
        <v>160</v>
      </c>
      <c r="AA536" s="350"/>
      <c r="AB536" s="350"/>
      <c r="AC536" s="350"/>
      <c r="AD536" s="350"/>
      <c r="AE536" s="350"/>
      <c r="AF536" s="350"/>
      <c r="AG536" s="350"/>
      <c r="AH536" s="350"/>
      <c r="AI536" s="350"/>
      <c r="AJ536" s="350"/>
      <c r="AK536" s="350"/>
      <c r="AL536" s="350"/>
      <c r="AM536" s="350"/>
      <c r="AN536" s="350"/>
      <c r="AO536" s="350"/>
      <c r="AP536" s="350"/>
      <c r="AQ536" s="350"/>
      <c r="AR536" s="350"/>
      <c r="AS536" s="350"/>
      <c r="AT536" s="350"/>
      <c r="AU536" s="351"/>
      <c r="AV536" s="351"/>
      <c r="AW536" s="351"/>
      <c r="AX536" s="351"/>
      <c r="AY536" s="351"/>
      <c r="AZ536" s="351"/>
      <c r="BA536" s="351"/>
      <c r="BB536" s="351"/>
      <c r="BC536" s="351"/>
      <c r="BD536" s="351"/>
      <c r="BE536" s="351"/>
      <c r="BF536" s="351"/>
      <c r="BG536" s="351"/>
      <c r="BH536" s="351"/>
      <c r="BI536" s="351"/>
      <c r="BJ536" s="351"/>
      <c r="BK536" s="351"/>
      <c r="BL536" s="351"/>
      <c r="BM536" s="351"/>
      <c r="BN536" s="351"/>
      <c r="BO536" s="351"/>
      <c r="BP536" s="351"/>
      <c r="BQ536" s="351"/>
      <c r="BR536" s="351"/>
      <c r="BS536" s="351"/>
      <c r="BT536" s="351"/>
      <c r="BU536" s="351"/>
      <c r="BV536" s="351"/>
      <c r="BW536" s="351"/>
      <c r="BX536" s="351"/>
      <c r="BY536" s="351"/>
      <c r="BZ536" s="351"/>
      <c r="CA536" s="351"/>
      <c r="CB536" s="351"/>
      <c r="CC536" s="351"/>
      <c r="CD536" s="351"/>
      <c r="CE536" s="351"/>
      <c r="CF536" s="351"/>
      <c r="CG536" s="352"/>
    </row>
    <row r="537" spans="1:85" s="353" customFormat="1" ht="13.9" customHeight="1" x14ac:dyDescent="0.2">
      <c r="A537" s="337" t="s">
        <v>158</v>
      </c>
      <c r="B537" s="338">
        <v>28</v>
      </c>
      <c r="C537" s="339" t="s">
        <v>617</v>
      </c>
      <c r="D537" s="340" t="s">
        <v>159</v>
      </c>
      <c r="E537" s="341"/>
      <c r="F537" s="341">
        <v>1025000000</v>
      </c>
      <c r="G537" s="341"/>
      <c r="H537" s="340" t="s">
        <v>788</v>
      </c>
      <c r="I537" s="339" t="s">
        <v>728</v>
      </c>
      <c r="J537" s="338">
        <v>1</v>
      </c>
      <c r="K537" s="338">
        <v>1</v>
      </c>
      <c r="L537" s="338">
        <v>12</v>
      </c>
      <c r="M537" s="342">
        <f t="shared" si="96"/>
        <v>1</v>
      </c>
      <c r="N537" s="343" t="s">
        <v>36</v>
      </c>
      <c r="O537" s="344" t="str">
        <f>IF(ISBLANK(N537),"",VLOOKUP(N537,[20]Parámetros!$G$2:$H$23,2,FALSE))</f>
        <v xml:space="preserve">Contratación directa (con ofertas) </v>
      </c>
      <c r="P537" s="345">
        <f t="shared" si="94"/>
        <v>1</v>
      </c>
      <c r="Q537" s="346">
        <f t="shared" si="97"/>
        <v>1025000000</v>
      </c>
      <c r="R537" s="346">
        <f t="shared" si="98"/>
        <v>1025000000</v>
      </c>
      <c r="S537" s="347" t="s">
        <v>223</v>
      </c>
      <c r="T537" s="345">
        <f t="shared" si="95"/>
        <v>0</v>
      </c>
      <c r="U537" s="348" t="str">
        <f t="shared" si="99"/>
        <v>SUBDIRECCION DE GESTION CONTRACTUAL</v>
      </c>
      <c r="V537" s="345" t="str">
        <f t="shared" si="92"/>
        <v>CO-DC</v>
      </c>
      <c r="W537" s="345" t="str">
        <f t="shared" si="93"/>
        <v>Distrito Capital de Bogotá</v>
      </c>
      <c r="X537" s="340" t="s">
        <v>586</v>
      </c>
      <c r="Y537" s="338">
        <v>2427400</v>
      </c>
      <c r="Z537" s="349" t="s">
        <v>160</v>
      </c>
      <c r="AA537" s="350"/>
      <c r="AB537" s="350"/>
      <c r="AC537" s="350"/>
      <c r="AD537" s="350"/>
      <c r="AE537" s="350"/>
      <c r="AF537" s="350"/>
      <c r="AG537" s="350"/>
      <c r="AH537" s="350"/>
      <c r="AI537" s="350"/>
      <c r="AJ537" s="350"/>
      <c r="AK537" s="350"/>
      <c r="AL537" s="350"/>
      <c r="AM537" s="350"/>
      <c r="AN537" s="350"/>
      <c r="AO537" s="350"/>
      <c r="AP537" s="350"/>
      <c r="AQ537" s="350"/>
      <c r="AR537" s="350"/>
      <c r="AS537" s="350"/>
      <c r="AT537" s="350"/>
      <c r="AU537" s="351"/>
      <c r="AV537" s="351"/>
      <c r="AW537" s="351"/>
      <c r="AX537" s="351"/>
      <c r="AY537" s="351"/>
      <c r="AZ537" s="351"/>
      <c r="BA537" s="351"/>
      <c r="BB537" s="351"/>
      <c r="BC537" s="351"/>
      <c r="BD537" s="351"/>
      <c r="BE537" s="351"/>
      <c r="BF537" s="351"/>
      <c r="BG537" s="351"/>
      <c r="BH537" s="351"/>
      <c r="BI537" s="351"/>
      <c r="BJ537" s="351"/>
      <c r="BK537" s="351"/>
      <c r="BL537" s="351"/>
      <c r="BM537" s="351"/>
      <c r="BN537" s="351"/>
      <c r="BO537" s="351"/>
      <c r="BP537" s="351"/>
      <c r="BQ537" s="351"/>
      <c r="BR537" s="351"/>
      <c r="BS537" s="351"/>
      <c r="BT537" s="351"/>
      <c r="BU537" s="351"/>
      <c r="BV537" s="351"/>
      <c r="BW537" s="351"/>
      <c r="BX537" s="351"/>
      <c r="BY537" s="351"/>
      <c r="BZ537" s="351"/>
      <c r="CA537" s="351"/>
      <c r="CB537" s="351"/>
      <c r="CC537" s="351"/>
      <c r="CD537" s="351"/>
      <c r="CE537" s="351"/>
      <c r="CF537" s="351"/>
      <c r="CG537" s="352"/>
    </row>
    <row r="538" spans="1:85" s="353" customFormat="1" ht="13.9" customHeight="1" x14ac:dyDescent="0.2">
      <c r="A538" s="337" t="s">
        <v>158</v>
      </c>
      <c r="B538" s="338">
        <v>29</v>
      </c>
      <c r="C538" s="339" t="s">
        <v>617</v>
      </c>
      <c r="D538" s="340" t="s">
        <v>159</v>
      </c>
      <c r="E538" s="341"/>
      <c r="F538" s="341">
        <v>305440000</v>
      </c>
      <c r="G538" s="341"/>
      <c r="H538" s="340" t="s">
        <v>788</v>
      </c>
      <c r="I538" s="339" t="s">
        <v>729</v>
      </c>
      <c r="J538" s="338">
        <v>1</v>
      </c>
      <c r="K538" s="338">
        <v>1</v>
      </c>
      <c r="L538" s="338">
        <v>12</v>
      </c>
      <c r="M538" s="342">
        <f t="shared" si="96"/>
        <v>1</v>
      </c>
      <c r="N538" s="343" t="s">
        <v>36</v>
      </c>
      <c r="O538" s="344" t="str">
        <f>IF(ISBLANK(N538),"",VLOOKUP(N538,[20]Parámetros!$G$2:$H$23,2,FALSE))</f>
        <v xml:space="preserve">Contratación directa (con ofertas) </v>
      </c>
      <c r="P538" s="345">
        <f t="shared" si="94"/>
        <v>1</v>
      </c>
      <c r="Q538" s="346">
        <f t="shared" si="97"/>
        <v>305440000</v>
      </c>
      <c r="R538" s="346">
        <f t="shared" si="98"/>
        <v>305440000</v>
      </c>
      <c r="S538" s="347" t="s">
        <v>223</v>
      </c>
      <c r="T538" s="345">
        <f t="shared" si="95"/>
        <v>0</v>
      </c>
      <c r="U538" s="348" t="str">
        <f t="shared" si="99"/>
        <v>SUBDIRECCION DE GESTION CONTRACTUAL</v>
      </c>
      <c r="V538" s="345" t="str">
        <f t="shared" si="92"/>
        <v>CO-DC</v>
      </c>
      <c r="W538" s="345" t="str">
        <f t="shared" si="93"/>
        <v>Distrito Capital de Bogotá</v>
      </c>
      <c r="X538" s="340" t="s">
        <v>586</v>
      </c>
      <c r="Y538" s="338">
        <v>2427400</v>
      </c>
      <c r="Z538" s="349" t="s">
        <v>160</v>
      </c>
      <c r="AA538" s="350"/>
      <c r="AB538" s="350"/>
      <c r="AC538" s="350"/>
      <c r="AD538" s="350"/>
      <c r="AE538" s="350"/>
      <c r="AF538" s="350"/>
      <c r="AG538" s="350"/>
      <c r="AH538" s="350"/>
      <c r="AI538" s="350"/>
      <c r="AJ538" s="350"/>
      <c r="AK538" s="350"/>
      <c r="AL538" s="350"/>
      <c r="AM538" s="350"/>
      <c r="AN538" s="350"/>
      <c r="AO538" s="350"/>
      <c r="AP538" s="350"/>
      <c r="AQ538" s="350"/>
      <c r="AR538" s="350"/>
      <c r="AS538" s="350"/>
      <c r="AT538" s="350"/>
      <c r="AU538" s="351"/>
      <c r="AV538" s="351"/>
      <c r="AW538" s="351"/>
      <c r="AX538" s="351"/>
      <c r="AY538" s="351"/>
      <c r="AZ538" s="351"/>
      <c r="BA538" s="351"/>
      <c r="BB538" s="351"/>
      <c r="BC538" s="351"/>
      <c r="BD538" s="351"/>
      <c r="BE538" s="351"/>
      <c r="BF538" s="351"/>
      <c r="BG538" s="351"/>
      <c r="BH538" s="351"/>
      <c r="BI538" s="351"/>
      <c r="BJ538" s="351"/>
      <c r="BK538" s="351"/>
      <c r="BL538" s="351"/>
      <c r="BM538" s="351"/>
      <c r="BN538" s="351"/>
      <c r="BO538" s="351"/>
      <c r="BP538" s="351"/>
      <c r="BQ538" s="351"/>
      <c r="BR538" s="351"/>
      <c r="BS538" s="351"/>
      <c r="BT538" s="351"/>
      <c r="BU538" s="351"/>
      <c r="BV538" s="351"/>
      <c r="BW538" s="351"/>
      <c r="BX538" s="351"/>
      <c r="BY538" s="351"/>
      <c r="BZ538" s="351"/>
      <c r="CA538" s="351"/>
      <c r="CB538" s="351"/>
      <c r="CC538" s="351"/>
      <c r="CD538" s="351"/>
      <c r="CE538" s="351"/>
      <c r="CF538" s="351"/>
      <c r="CG538" s="352"/>
    </row>
    <row r="539" spans="1:85" s="353" customFormat="1" ht="13.9" customHeight="1" x14ac:dyDescent="0.2">
      <c r="A539" s="337" t="s">
        <v>158</v>
      </c>
      <c r="B539" s="338">
        <v>30</v>
      </c>
      <c r="C539" s="339" t="s">
        <v>617</v>
      </c>
      <c r="D539" s="340" t="s">
        <v>159</v>
      </c>
      <c r="E539" s="341"/>
      <c r="F539" s="341">
        <v>294400000</v>
      </c>
      <c r="G539" s="341"/>
      <c r="H539" s="340" t="s">
        <v>788</v>
      </c>
      <c r="I539" s="339" t="s">
        <v>730</v>
      </c>
      <c r="J539" s="338">
        <v>1</v>
      </c>
      <c r="K539" s="338">
        <v>1</v>
      </c>
      <c r="L539" s="338">
        <v>12</v>
      </c>
      <c r="M539" s="342">
        <f t="shared" si="96"/>
        <v>1</v>
      </c>
      <c r="N539" s="343" t="s">
        <v>36</v>
      </c>
      <c r="O539" s="344" t="str">
        <f>IF(ISBLANK(N539),"",VLOOKUP(N539,[20]Parámetros!$G$2:$H$23,2,FALSE))</f>
        <v xml:space="preserve">Contratación directa (con ofertas) </v>
      </c>
      <c r="P539" s="345">
        <f t="shared" si="94"/>
        <v>1</v>
      </c>
      <c r="Q539" s="346">
        <f t="shared" si="97"/>
        <v>294400000</v>
      </c>
      <c r="R539" s="346">
        <f t="shared" si="98"/>
        <v>294400000</v>
      </c>
      <c r="S539" s="347" t="s">
        <v>223</v>
      </c>
      <c r="T539" s="345">
        <f t="shared" si="95"/>
        <v>0</v>
      </c>
      <c r="U539" s="348" t="str">
        <f t="shared" si="99"/>
        <v>SUBDIRECCION DE GESTION CONTRACTUAL</v>
      </c>
      <c r="V539" s="345" t="str">
        <f t="shared" si="92"/>
        <v>CO-DC</v>
      </c>
      <c r="W539" s="345" t="str">
        <f t="shared" si="93"/>
        <v>Distrito Capital de Bogotá</v>
      </c>
      <c r="X539" s="340" t="s">
        <v>586</v>
      </c>
      <c r="Y539" s="338">
        <v>2427400</v>
      </c>
      <c r="Z539" s="349" t="s">
        <v>160</v>
      </c>
      <c r="AA539" s="350"/>
      <c r="AB539" s="350"/>
      <c r="AC539" s="350"/>
      <c r="AD539" s="350"/>
      <c r="AE539" s="350"/>
      <c r="AF539" s="350"/>
      <c r="AG539" s="350"/>
      <c r="AH539" s="350"/>
      <c r="AI539" s="350"/>
      <c r="AJ539" s="350"/>
      <c r="AK539" s="350"/>
      <c r="AL539" s="350"/>
      <c r="AM539" s="350"/>
      <c r="AN539" s="350"/>
      <c r="AO539" s="350"/>
      <c r="AP539" s="350"/>
      <c r="AQ539" s="350"/>
      <c r="AR539" s="350"/>
      <c r="AS539" s="350"/>
      <c r="AT539" s="350"/>
      <c r="AU539" s="351"/>
      <c r="AV539" s="351"/>
      <c r="AW539" s="351"/>
      <c r="AX539" s="351"/>
      <c r="AY539" s="351"/>
      <c r="AZ539" s="351"/>
      <c r="BA539" s="351"/>
      <c r="BB539" s="351"/>
      <c r="BC539" s="351"/>
      <c r="BD539" s="351"/>
      <c r="BE539" s="351"/>
      <c r="BF539" s="351"/>
      <c r="BG539" s="351"/>
      <c r="BH539" s="351"/>
      <c r="BI539" s="351"/>
      <c r="BJ539" s="351"/>
      <c r="BK539" s="351"/>
      <c r="BL539" s="351"/>
      <c r="BM539" s="351"/>
      <c r="BN539" s="351"/>
      <c r="BO539" s="351"/>
      <c r="BP539" s="351"/>
      <c r="BQ539" s="351"/>
      <c r="BR539" s="351"/>
      <c r="BS539" s="351"/>
      <c r="BT539" s="351"/>
      <c r="BU539" s="351"/>
      <c r="BV539" s="351"/>
      <c r="BW539" s="351"/>
      <c r="BX539" s="351"/>
      <c r="BY539" s="351"/>
      <c r="BZ539" s="351"/>
      <c r="CA539" s="351"/>
      <c r="CB539" s="351"/>
      <c r="CC539" s="351"/>
      <c r="CD539" s="351"/>
      <c r="CE539" s="351"/>
      <c r="CF539" s="351"/>
      <c r="CG539" s="352"/>
    </row>
    <row r="540" spans="1:85" s="353" customFormat="1" ht="13.9" customHeight="1" x14ac:dyDescent="0.2">
      <c r="A540" s="337" t="s">
        <v>158</v>
      </c>
      <c r="B540" s="338">
        <v>31</v>
      </c>
      <c r="C540" s="339" t="s">
        <v>617</v>
      </c>
      <c r="D540" s="340" t="s">
        <v>159</v>
      </c>
      <c r="E540" s="341"/>
      <c r="F540" s="341">
        <v>414000000</v>
      </c>
      <c r="G540" s="341"/>
      <c r="H540" s="340" t="s">
        <v>788</v>
      </c>
      <c r="I540" s="339" t="s">
        <v>731</v>
      </c>
      <c r="J540" s="338">
        <v>1</v>
      </c>
      <c r="K540" s="338">
        <v>1</v>
      </c>
      <c r="L540" s="338">
        <v>12</v>
      </c>
      <c r="M540" s="342">
        <f t="shared" si="96"/>
        <v>1</v>
      </c>
      <c r="N540" s="343" t="s">
        <v>36</v>
      </c>
      <c r="O540" s="344" t="str">
        <f>IF(ISBLANK(N540),"",VLOOKUP(N540,[20]Parámetros!$G$2:$H$23,2,FALSE))</f>
        <v xml:space="preserve">Contratación directa (con ofertas) </v>
      </c>
      <c r="P540" s="345">
        <f t="shared" si="94"/>
        <v>1</v>
      </c>
      <c r="Q540" s="346">
        <f t="shared" si="97"/>
        <v>414000000</v>
      </c>
      <c r="R540" s="346">
        <f t="shared" si="98"/>
        <v>414000000</v>
      </c>
      <c r="S540" s="347" t="s">
        <v>223</v>
      </c>
      <c r="T540" s="345">
        <f t="shared" si="95"/>
        <v>0</v>
      </c>
      <c r="U540" s="348" t="str">
        <f t="shared" si="99"/>
        <v>SUBDIRECCION DE GESTION CONTRACTUAL</v>
      </c>
      <c r="V540" s="345" t="str">
        <f t="shared" si="92"/>
        <v>CO-DC</v>
      </c>
      <c r="W540" s="345" t="str">
        <f t="shared" si="93"/>
        <v>Distrito Capital de Bogotá</v>
      </c>
      <c r="X540" s="340" t="s">
        <v>586</v>
      </c>
      <c r="Y540" s="338">
        <v>2427400</v>
      </c>
      <c r="Z540" s="349" t="s">
        <v>160</v>
      </c>
      <c r="AA540" s="350"/>
      <c r="AB540" s="350"/>
      <c r="AC540" s="350"/>
      <c r="AD540" s="350"/>
      <c r="AE540" s="350"/>
      <c r="AF540" s="350"/>
      <c r="AG540" s="350"/>
      <c r="AH540" s="350"/>
      <c r="AI540" s="350"/>
      <c r="AJ540" s="350"/>
      <c r="AK540" s="350"/>
      <c r="AL540" s="350"/>
      <c r="AM540" s="350"/>
      <c r="AN540" s="350"/>
      <c r="AO540" s="350"/>
      <c r="AP540" s="350"/>
      <c r="AQ540" s="350"/>
      <c r="AR540" s="350"/>
      <c r="AS540" s="350"/>
      <c r="AT540" s="350"/>
      <c r="AU540" s="351"/>
      <c r="AV540" s="351"/>
      <c r="AW540" s="351"/>
      <c r="AX540" s="351"/>
      <c r="AY540" s="351"/>
      <c r="AZ540" s="351"/>
      <c r="BA540" s="351"/>
      <c r="BB540" s="351"/>
      <c r="BC540" s="351"/>
      <c r="BD540" s="351"/>
      <c r="BE540" s="351"/>
      <c r="BF540" s="351"/>
      <c r="BG540" s="351"/>
      <c r="BH540" s="351"/>
      <c r="BI540" s="351"/>
      <c r="BJ540" s="351"/>
      <c r="BK540" s="351"/>
      <c r="BL540" s="351"/>
      <c r="BM540" s="351"/>
      <c r="BN540" s="351"/>
      <c r="BO540" s="351"/>
      <c r="BP540" s="351"/>
      <c r="BQ540" s="351"/>
      <c r="BR540" s="351"/>
      <c r="BS540" s="351"/>
      <c r="BT540" s="351"/>
      <c r="BU540" s="351"/>
      <c r="BV540" s="351"/>
      <c r="BW540" s="351"/>
      <c r="BX540" s="351"/>
      <c r="BY540" s="351"/>
      <c r="BZ540" s="351"/>
      <c r="CA540" s="351"/>
      <c r="CB540" s="351"/>
      <c r="CC540" s="351"/>
      <c r="CD540" s="351"/>
      <c r="CE540" s="351"/>
      <c r="CF540" s="351"/>
      <c r="CG540" s="352"/>
    </row>
    <row r="541" spans="1:85" s="353" customFormat="1" ht="13.9" customHeight="1" x14ac:dyDescent="0.2">
      <c r="A541" s="337" t="s">
        <v>158</v>
      </c>
      <c r="B541" s="338">
        <v>32</v>
      </c>
      <c r="C541" s="339" t="s">
        <v>617</v>
      </c>
      <c r="D541" s="340" t="s">
        <v>159</v>
      </c>
      <c r="E541" s="341"/>
      <c r="F541" s="341">
        <v>205000000</v>
      </c>
      <c r="G541" s="341"/>
      <c r="H541" s="340" t="s">
        <v>788</v>
      </c>
      <c r="I541" s="339" t="s">
        <v>732</v>
      </c>
      <c r="J541" s="338">
        <v>1</v>
      </c>
      <c r="K541" s="338">
        <v>1</v>
      </c>
      <c r="L541" s="338">
        <v>12</v>
      </c>
      <c r="M541" s="342">
        <f t="shared" si="96"/>
        <v>1</v>
      </c>
      <c r="N541" s="343" t="s">
        <v>36</v>
      </c>
      <c r="O541" s="344" t="str">
        <f>IF(ISBLANK(N541),"",VLOOKUP(N541,[20]Parámetros!$G$2:$H$23,2,FALSE))</f>
        <v xml:space="preserve">Contratación directa (con ofertas) </v>
      </c>
      <c r="P541" s="345">
        <f t="shared" si="94"/>
        <v>1</v>
      </c>
      <c r="Q541" s="346">
        <f t="shared" si="97"/>
        <v>205000000</v>
      </c>
      <c r="R541" s="346">
        <f t="shared" si="98"/>
        <v>205000000</v>
      </c>
      <c r="S541" s="347" t="s">
        <v>223</v>
      </c>
      <c r="T541" s="345">
        <f t="shared" si="95"/>
        <v>0</v>
      </c>
      <c r="U541" s="348" t="str">
        <f t="shared" si="99"/>
        <v>SUBDIRECCION DE GESTION CONTRACTUAL</v>
      </c>
      <c r="V541" s="345" t="str">
        <f t="shared" ref="V541:V572" si="100">IF(ISBLANK(N541),"","CO-DC")</f>
        <v>CO-DC</v>
      </c>
      <c r="W541" s="345" t="str">
        <f t="shared" ref="W541:W572" si="101">IF(ISBLANK(N541),"","Distrito Capital de Bogotá")</f>
        <v>Distrito Capital de Bogotá</v>
      </c>
      <c r="X541" s="340" t="s">
        <v>586</v>
      </c>
      <c r="Y541" s="338">
        <v>2427400</v>
      </c>
      <c r="Z541" s="349" t="s">
        <v>160</v>
      </c>
      <c r="AA541" s="350"/>
      <c r="AB541" s="350"/>
      <c r="AC541" s="350"/>
      <c r="AD541" s="350"/>
      <c r="AE541" s="350"/>
      <c r="AF541" s="350"/>
      <c r="AG541" s="350"/>
      <c r="AH541" s="350"/>
      <c r="AI541" s="350"/>
      <c r="AJ541" s="350"/>
      <c r="AK541" s="350"/>
      <c r="AL541" s="350"/>
      <c r="AM541" s="350"/>
      <c r="AN541" s="350"/>
      <c r="AO541" s="350"/>
      <c r="AP541" s="350"/>
      <c r="AQ541" s="350"/>
      <c r="AR541" s="350"/>
      <c r="AS541" s="350"/>
      <c r="AT541" s="350"/>
      <c r="AU541" s="351"/>
      <c r="AV541" s="351"/>
      <c r="AW541" s="351"/>
      <c r="AX541" s="351"/>
      <c r="AY541" s="351"/>
      <c r="AZ541" s="351"/>
      <c r="BA541" s="351"/>
      <c r="BB541" s="351"/>
      <c r="BC541" s="351"/>
      <c r="BD541" s="351"/>
      <c r="BE541" s="351"/>
      <c r="BF541" s="351"/>
      <c r="BG541" s="351"/>
      <c r="BH541" s="351"/>
      <c r="BI541" s="351"/>
      <c r="BJ541" s="351"/>
      <c r="BK541" s="351"/>
      <c r="BL541" s="351"/>
      <c r="BM541" s="351"/>
      <c r="BN541" s="351"/>
      <c r="BO541" s="351"/>
      <c r="BP541" s="351"/>
      <c r="BQ541" s="351"/>
      <c r="BR541" s="351"/>
      <c r="BS541" s="351"/>
      <c r="BT541" s="351"/>
      <c r="BU541" s="351"/>
      <c r="BV541" s="351"/>
      <c r="BW541" s="351"/>
      <c r="BX541" s="351"/>
      <c r="BY541" s="351"/>
      <c r="BZ541" s="351"/>
      <c r="CA541" s="351"/>
      <c r="CB541" s="351"/>
      <c r="CC541" s="351"/>
      <c r="CD541" s="351"/>
      <c r="CE541" s="351"/>
      <c r="CF541" s="351"/>
      <c r="CG541" s="352"/>
    </row>
    <row r="542" spans="1:85" s="353" customFormat="1" ht="13.9" customHeight="1" x14ac:dyDescent="0.2">
      <c r="A542" s="337" t="s">
        <v>158</v>
      </c>
      <c r="B542" s="338">
        <v>33</v>
      </c>
      <c r="C542" s="339" t="s">
        <v>617</v>
      </c>
      <c r="D542" s="340" t="s">
        <v>159</v>
      </c>
      <c r="E542" s="341"/>
      <c r="F542" s="341">
        <v>250000000</v>
      </c>
      <c r="G542" s="341"/>
      <c r="H542" s="340" t="s">
        <v>788</v>
      </c>
      <c r="I542" s="339" t="s">
        <v>733</v>
      </c>
      <c r="J542" s="338">
        <v>1</v>
      </c>
      <c r="K542" s="338">
        <v>1</v>
      </c>
      <c r="L542" s="338">
        <v>12</v>
      </c>
      <c r="M542" s="342">
        <f t="shared" si="96"/>
        <v>1</v>
      </c>
      <c r="N542" s="343" t="s">
        <v>36</v>
      </c>
      <c r="O542" s="344" t="str">
        <f>IF(ISBLANK(N542),"",VLOOKUP(N542,[20]Parámetros!$G$2:$H$23,2,FALSE))</f>
        <v xml:space="preserve">Contratación directa (con ofertas) </v>
      </c>
      <c r="P542" s="345">
        <f t="shared" ref="P542:P573" si="102">IF(ISBLANK(N542),"",1)</f>
        <v>1</v>
      </c>
      <c r="Q542" s="346">
        <f t="shared" si="97"/>
        <v>250000000</v>
      </c>
      <c r="R542" s="346">
        <f t="shared" si="98"/>
        <v>250000000</v>
      </c>
      <c r="S542" s="347" t="s">
        <v>223</v>
      </c>
      <c r="T542" s="345">
        <f t="shared" si="95"/>
        <v>0</v>
      </c>
      <c r="U542" s="348" t="str">
        <f t="shared" si="99"/>
        <v>SUBDIRECCION DE GESTION CONTRACTUAL</v>
      </c>
      <c r="V542" s="345" t="str">
        <f t="shared" si="100"/>
        <v>CO-DC</v>
      </c>
      <c r="W542" s="345" t="str">
        <f t="shared" si="101"/>
        <v>Distrito Capital de Bogotá</v>
      </c>
      <c r="X542" s="340" t="s">
        <v>586</v>
      </c>
      <c r="Y542" s="338">
        <v>2427400</v>
      </c>
      <c r="Z542" s="349" t="s">
        <v>160</v>
      </c>
      <c r="AA542" s="350"/>
      <c r="AB542" s="350"/>
      <c r="AC542" s="350"/>
      <c r="AD542" s="350"/>
      <c r="AE542" s="350"/>
      <c r="AF542" s="350"/>
      <c r="AG542" s="350"/>
      <c r="AH542" s="350"/>
      <c r="AI542" s="350"/>
      <c r="AJ542" s="350"/>
      <c r="AK542" s="350"/>
      <c r="AL542" s="350"/>
      <c r="AM542" s="350"/>
      <c r="AN542" s="350"/>
      <c r="AO542" s="350"/>
      <c r="AP542" s="350"/>
      <c r="AQ542" s="350"/>
      <c r="AR542" s="350"/>
      <c r="AS542" s="350"/>
      <c r="AT542" s="350"/>
      <c r="AU542" s="351"/>
      <c r="AV542" s="351"/>
      <c r="AW542" s="351"/>
      <c r="AX542" s="351"/>
      <c r="AY542" s="351"/>
      <c r="AZ542" s="351"/>
      <c r="BA542" s="351"/>
      <c r="BB542" s="351"/>
      <c r="BC542" s="351"/>
      <c r="BD542" s="351"/>
      <c r="BE542" s="351"/>
      <c r="BF542" s="351"/>
      <c r="BG542" s="351"/>
      <c r="BH542" s="351"/>
      <c r="BI542" s="351"/>
      <c r="BJ542" s="351"/>
      <c r="BK542" s="351"/>
      <c r="BL542" s="351"/>
      <c r="BM542" s="351"/>
      <c r="BN542" s="351"/>
      <c r="BO542" s="351"/>
      <c r="BP542" s="351"/>
      <c r="BQ542" s="351"/>
      <c r="BR542" s="351"/>
      <c r="BS542" s="351"/>
      <c r="BT542" s="351"/>
      <c r="BU542" s="351"/>
      <c r="BV542" s="351"/>
      <c r="BW542" s="351"/>
      <c r="BX542" s="351"/>
      <c r="BY542" s="351"/>
      <c r="BZ542" s="351"/>
      <c r="CA542" s="351"/>
      <c r="CB542" s="351"/>
      <c r="CC542" s="351"/>
      <c r="CD542" s="351"/>
      <c r="CE542" s="351"/>
      <c r="CF542" s="351"/>
      <c r="CG542" s="352"/>
    </row>
    <row r="543" spans="1:85" s="353" customFormat="1" ht="13.9" customHeight="1" x14ac:dyDescent="0.2">
      <c r="A543" s="337" t="s">
        <v>158</v>
      </c>
      <c r="B543" s="338">
        <v>34</v>
      </c>
      <c r="C543" s="339" t="s">
        <v>617</v>
      </c>
      <c r="D543" s="340" t="s">
        <v>159</v>
      </c>
      <c r="E543" s="341"/>
      <c r="F543" s="341">
        <v>250000000</v>
      </c>
      <c r="G543" s="341"/>
      <c r="H543" s="340" t="s">
        <v>788</v>
      </c>
      <c r="I543" s="339" t="s">
        <v>734</v>
      </c>
      <c r="J543" s="338">
        <v>1</v>
      </c>
      <c r="K543" s="338">
        <v>1</v>
      </c>
      <c r="L543" s="338">
        <v>12</v>
      </c>
      <c r="M543" s="342">
        <f t="shared" si="96"/>
        <v>1</v>
      </c>
      <c r="N543" s="343" t="s">
        <v>36</v>
      </c>
      <c r="O543" s="344" t="str">
        <f>IF(ISBLANK(N543),"",VLOOKUP(N543,[20]Parámetros!$G$2:$H$23,2,FALSE))</f>
        <v xml:space="preserve">Contratación directa (con ofertas) </v>
      </c>
      <c r="P543" s="345">
        <f t="shared" si="102"/>
        <v>1</v>
      </c>
      <c r="Q543" s="346">
        <f t="shared" si="97"/>
        <v>250000000</v>
      </c>
      <c r="R543" s="346">
        <f t="shared" si="98"/>
        <v>250000000</v>
      </c>
      <c r="S543" s="347" t="s">
        <v>223</v>
      </c>
      <c r="T543" s="345">
        <f t="shared" si="95"/>
        <v>0</v>
      </c>
      <c r="U543" s="348" t="str">
        <f t="shared" si="99"/>
        <v>SUBDIRECCION DE GESTION CONTRACTUAL</v>
      </c>
      <c r="V543" s="345" t="str">
        <f t="shared" si="100"/>
        <v>CO-DC</v>
      </c>
      <c r="W543" s="345" t="str">
        <f t="shared" si="101"/>
        <v>Distrito Capital de Bogotá</v>
      </c>
      <c r="X543" s="340" t="s">
        <v>586</v>
      </c>
      <c r="Y543" s="338">
        <v>2427400</v>
      </c>
      <c r="Z543" s="349" t="s">
        <v>160</v>
      </c>
      <c r="AA543" s="350"/>
      <c r="AB543" s="350"/>
      <c r="AC543" s="350"/>
      <c r="AD543" s="350"/>
      <c r="AE543" s="350"/>
      <c r="AF543" s="350"/>
      <c r="AG543" s="350"/>
      <c r="AH543" s="350"/>
      <c r="AI543" s="350"/>
      <c r="AJ543" s="350"/>
      <c r="AK543" s="350"/>
      <c r="AL543" s="350"/>
      <c r="AM543" s="350"/>
      <c r="AN543" s="350"/>
      <c r="AO543" s="350"/>
      <c r="AP543" s="350"/>
      <c r="AQ543" s="350"/>
      <c r="AR543" s="350"/>
      <c r="AS543" s="350"/>
      <c r="AT543" s="350"/>
      <c r="AU543" s="351"/>
      <c r="AV543" s="351"/>
      <c r="AW543" s="351"/>
      <c r="AX543" s="351"/>
      <c r="AY543" s="351"/>
      <c r="AZ543" s="351"/>
      <c r="BA543" s="351"/>
      <c r="BB543" s="351"/>
      <c r="BC543" s="351"/>
      <c r="BD543" s="351"/>
      <c r="BE543" s="351"/>
      <c r="BF543" s="351"/>
      <c r="BG543" s="351"/>
      <c r="BH543" s="351"/>
      <c r="BI543" s="351"/>
      <c r="BJ543" s="351"/>
      <c r="BK543" s="351"/>
      <c r="BL543" s="351"/>
      <c r="BM543" s="351"/>
      <c r="BN543" s="351"/>
      <c r="BO543" s="351"/>
      <c r="BP543" s="351"/>
      <c r="BQ543" s="351"/>
      <c r="BR543" s="351"/>
      <c r="BS543" s="351"/>
      <c r="BT543" s="351"/>
      <c r="BU543" s="351"/>
      <c r="BV543" s="351"/>
      <c r="BW543" s="351"/>
      <c r="BX543" s="351"/>
      <c r="BY543" s="351"/>
      <c r="BZ543" s="351"/>
      <c r="CA543" s="351"/>
      <c r="CB543" s="351"/>
      <c r="CC543" s="351"/>
      <c r="CD543" s="351"/>
      <c r="CE543" s="351"/>
      <c r="CF543" s="351"/>
      <c r="CG543" s="352"/>
    </row>
    <row r="544" spans="1:85" s="353" customFormat="1" ht="13.9" customHeight="1" x14ac:dyDescent="0.2">
      <c r="A544" s="337" t="s">
        <v>158</v>
      </c>
      <c r="B544" s="338">
        <v>35</v>
      </c>
      <c r="C544" s="339" t="s">
        <v>617</v>
      </c>
      <c r="D544" s="340" t="s">
        <v>159</v>
      </c>
      <c r="E544" s="341"/>
      <c r="F544" s="341">
        <v>147071700</v>
      </c>
      <c r="G544" s="341"/>
      <c r="H544" s="340" t="s">
        <v>788</v>
      </c>
      <c r="I544" s="339" t="s">
        <v>735</v>
      </c>
      <c r="J544" s="338">
        <v>1</v>
      </c>
      <c r="K544" s="338">
        <v>1</v>
      </c>
      <c r="L544" s="338">
        <v>12</v>
      </c>
      <c r="M544" s="342">
        <f t="shared" si="96"/>
        <v>1</v>
      </c>
      <c r="N544" s="343" t="s">
        <v>36</v>
      </c>
      <c r="O544" s="344" t="str">
        <f>IF(ISBLANK(N544),"",VLOOKUP(N544,[20]Parámetros!$G$2:$H$23,2,FALSE))</f>
        <v xml:space="preserve">Contratación directa (con ofertas) </v>
      </c>
      <c r="P544" s="345">
        <f t="shared" si="102"/>
        <v>1</v>
      </c>
      <c r="Q544" s="346">
        <f t="shared" si="97"/>
        <v>147071700</v>
      </c>
      <c r="R544" s="346">
        <f t="shared" si="98"/>
        <v>147071700</v>
      </c>
      <c r="S544" s="347" t="s">
        <v>223</v>
      </c>
      <c r="T544" s="345">
        <f t="shared" si="95"/>
        <v>0</v>
      </c>
      <c r="U544" s="348" t="str">
        <f t="shared" si="99"/>
        <v>SUBDIRECCION DE GESTION CONTRACTUAL</v>
      </c>
      <c r="V544" s="345" t="str">
        <f t="shared" si="100"/>
        <v>CO-DC</v>
      </c>
      <c r="W544" s="345" t="str">
        <f t="shared" si="101"/>
        <v>Distrito Capital de Bogotá</v>
      </c>
      <c r="X544" s="340" t="s">
        <v>586</v>
      </c>
      <c r="Y544" s="338">
        <v>2427400</v>
      </c>
      <c r="Z544" s="349" t="s">
        <v>160</v>
      </c>
      <c r="AA544" s="350"/>
      <c r="AB544" s="350"/>
      <c r="AC544" s="350"/>
      <c r="AD544" s="350"/>
      <c r="AE544" s="350"/>
      <c r="AF544" s="350"/>
      <c r="AG544" s="350"/>
      <c r="AH544" s="350"/>
      <c r="AI544" s="350"/>
      <c r="AJ544" s="350"/>
      <c r="AK544" s="350"/>
      <c r="AL544" s="350"/>
      <c r="AM544" s="350"/>
      <c r="AN544" s="350"/>
      <c r="AO544" s="350"/>
      <c r="AP544" s="350"/>
      <c r="AQ544" s="350"/>
      <c r="AR544" s="350"/>
      <c r="AS544" s="350"/>
      <c r="AT544" s="350"/>
      <c r="AU544" s="351"/>
      <c r="AV544" s="351"/>
      <c r="AW544" s="351"/>
      <c r="AX544" s="351"/>
      <c r="AY544" s="351"/>
      <c r="AZ544" s="351"/>
      <c r="BA544" s="351"/>
      <c r="BB544" s="351"/>
      <c r="BC544" s="351"/>
      <c r="BD544" s="351"/>
      <c r="BE544" s="351"/>
      <c r="BF544" s="351"/>
      <c r="BG544" s="351"/>
      <c r="BH544" s="351"/>
      <c r="BI544" s="351"/>
      <c r="BJ544" s="351"/>
      <c r="BK544" s="351"/>
      <c r="BL544" s="351"/>
      <c r="BM544" s="351"/>
      <c r="BN544" s="351"/>
      <c r="BO544" s="351"/>
      <c r="BP544" s="351"/>
      <c r="BQ544" s="351"/>
      <c r="BR544" s="351"/>
      <c r="BS544" s="351"/>
      <c r="BT544" s="351"/>
      <c r="BU544" s="351"/>
      <c r="BV544" s="351"/>
      <c r="BW544" s="351"/>
      <c r="BX544" s="351"/>
      <c r="BY544" s="351"/>
      <c r="BZ544" s="351"/>
      <c r="CA544" s="351"/>
      <c r="CB544" s="351"/>
      <c r="CC544" s="351"/>
      <c r="CD544" s="351"/>
      <c r="CE544" s="351"/>
      <c r="CF544" s="351"/>
      <c r="CG544" s="352"/>
    </row>
    <row r="545" spans="1:85" s="353" customFormat="1" ht="13.9" customHeight="1" x14ac:dyDescent="0.2">
      <c r="A545" s="337" t="s">
        <v>158</v>
      </c>
      <c r="B545" s="338">
        <v>36</v>
      </c>
      <c r="C545" s="339" t="s">
        <v>617</v>
      </c>
      <c r="D545" s="340" t="s">
        <v>159</v>
      </c>
      <c r="E545" s="341"/>
      <c r="F545" s="341">
        <v>359287380</v>
      </c>
      <c r="G545" s="341"/>
      <c r="H545" s="340" t="s">
        <v>788</v>
      </c>
      <c r="I545" s="339" t="s">
        <v>736</v>
      </c>
      <c r="J545" s="338">
        <v>1</v>
      </c>
      <c r="K545" s="338">
        <v>1</v>
      </c>
      <c r="L545" s="338">
        <v>12</v>
      </c>
      <c r="M545" s="342">
        <f t="shared" si="96"/>
        <v>1</v>
      </c>
      <c r="N545" s="343" t="s">
        <v>36</v>
      </c>
      <c r="O545" s="344" t="str">
        <f>IF(ISBLANK(N545),"",VLOOKUP(N545,[20]Parámetros!$G$2:$H$23,2,FALSE))</f>
        <v xml:space="preserve">Contratación directa (con ofertas) </v>
      </c>
      <c r="P545" s="345">
        <f t="shared" si="102"/>
        <v>1</v>
      </c>
      <c r="Q545" s="346">
        <f t="shared" si="97"/>
        <v>359287380</v>
      </c>
      <c r="R545" s="346">
        <f t="shared" si="98"/>
        <v>359287380</v>
      </c>
      <c r="S545" s="347" t="s">
        <v>223</v>
      </c>
      <c r="T545" s="345">
        <f t="shared" si="95"/>
        <v>0</v>
      </c>
      <c r="U545" s="348" t="str">
        <f t="shared" si="99"/>
        <v>SUBDIRECCION DE GESTION CONTRACTUAL</v>
      </c>
      <c r="V545" s="345" t="str">
        <f t="shared" si="100"/>
        <v>CO-DC</v>
      </c>
      <c r="W545" s="345" t="str">
        <f t="shared" si="101"/>
        <v>Distrito Capital de Bogotá</v>
      </c>
      <c r="X545" s="340" t="s">
        <v>586</v>
      </c>
      <c r="Y545" s="338">
        <v>2427400</v>
      </c>
      <c r="Z545" s="349" t="s">
        <v>160</v>
      </c>
      <c r="AA545" s="350"/>
      <c r="AB545" s="350"/>
      <c r="AC545" s="350"/>
      <c r="AD545" s="350"/>
      <c r="AE545" s="350"/>
      <c r="AF545" s="350"/>
      <c r="AG545" s="350"/>
      <c r="AH545" s="350"/>
      <c r="AI545" s="350"/>
      <c r="AJ545" s="350"/>
      <c r="AK545" s="350"/>
      <c r="AL545" s="350"/>
      <c r="AM545" s="350"/>
      <c r="AN545" s="350"/>
      <c r="AO545" s="350"/>
      <c r="AP545" s="350"/>
      <c r="AQ545" s="350"/>
      <c r="AR545" s="350"/>
      <c r="AS545" s="350"/>
      <c r="AT545" s="350"/>
      <c r="AU545" s="351"/>
      <c r="AV545" s="351"/>
      <c r="AW545" s="351"/>
      <c r="AX545" s="351"/>
      <c r="AY545" s="351"/>
      <c r="AZ545" s="351"/>
      <c r="BA545" s="351"/>
      <c r="BB545" s="351"/>
      <c r="BC545" s="351"/>
      <c r="BD545" s="351"/>
      <c r="BE545" s="351"/>
      <c r="BF545" s="351"/>
      <c r="BG545" s="351"/>
      <c r="BH545" s="351"/>
      <c r="BI545" s="351"/>
      <c r="BJ545" s="351"/>
      <c r="BK545" s="351"/>
      <c r="BL545" s="351"/>
      <c r="BM545" s="351"/>
      <c r="BN545" s="351"/>
      <c r="BO545" s="351"/>
      <c r="BP545" s="351"/>
      <c r="BQ545" s="351"/>
      <c r="BR545" s="351"/>
      <c r="BS545" s="351"/>
      <c r="BT545" s="351"/>
      <c r="BU545" s="351"/>
      <c r="BV545" s="351"/>
      <c r="BW545" s="351"/>
      <c r="BX545" s="351"/>
      <c r="BY545" s="351"/>
      <c r="BZ545" s="351"/>
      <c r="CA545" s="351"/>
      <c r="CB545" s="351"/>
      <c r="CC545" s="351"/>
      <c r="CD545" s="351"/>
      <c r="CE545" s="351"/>
      <c r="CF545" s="351"/>
      <c r="CG545" s="352"/>
    </row>
    <row r="546" spans="1:85" s="353" customFormat="1" ht="13.9" customHeight="1" x14ac:dyDescent="0.2">
      <c r="A546" s="337" t="s">
        <v>158</v>
      </c>
      <c r="B546" s="338">
        <v>37</v>
      </c>
      <c r="C546" s="339" t="s">
        <v>617</v>
      </c>
      <c r="D546" s="340" t="s">
        <v>159</v>
      </c>
      <c r="E546" s="341"/>
      <c r="F546" s="341">
        <v>147071700</v>
      </c>
      <c r="G546" s="341"/>
      <c r="H546" s="340" t="s">
        <v>788</v>
      </c>
      <c r="I546" s="339" t="s">
        <v>737</v>
      </c>
      <c r="J546" s="338">
        <v>1</v>
      </c>
      <c r="K546" s="338">
        <v>1</v>
      </c>
      <c r="L546" s="338">
        <v>12</v>
      </c>
      <c r="M546" s="342">
        <f t="shared" si="96"/>
        <v>1</v>
      </c>
      <c r="N546" s="343" t="s">
        <v>36</v>
      </c>
      <c r="O546" s="344" t="str">
        <f>IF(ISBLANK(N546),"",VLOOKUP(N546,[20]Parámetros!$G$2:$H$23,2,FALSE))</f>
        <v xml:space="preserve">Contratación directa (con ofertas) </v>
      </c>
      <c r="P546" s="345">
        <f t="shared" si="102"/>
        <v>1</v>
      </c>
      <c r="Q546" s="346">
        <f t="shared" si="97"/>
        <v>147071700</v>
      </c>
      <c r="R546" s="346">
        <f t="shared" si="98"/>
        <v>147071700</v>
      </c>
      <c r="S546" s="347" t="s">
        <v>223</v>
      </c>
      <c r="T546" s="345">
        <f t="shared" si="95"/>
        <v>0</v>
      </c>
      <c r="U546" s="348" t="str">
        <f t="shared" si="99"/>
        <v>SUBDIRECCION DE GESTION CONTRACTUAL</v>
      </c>
      <c r="V546" s="345" t="str">
        <f t="shared" si="100"/>
        <v>CO-DC</v>
      </c>
      <c r="W546" s="345" t="str">
        <f t="shared" si="101"/>
        <v>Distrito Capital de Bogotá</v>
      </c>
      <c r="X546" s="340" t="s">
        <v>586</v>
      </c>
      <c r="Y546" s="338">
        <v>2427400</v>
      </c>
      <c r="Z546" s="349" t="s">
        <v>160</v>
      </c>
      <c r="AA546" s="350"/>
      <c r="AB546" s="350"/>
      <c r="AC546" s="350"/>
      <c r="AD546" s="350"/>
      <c r="AE546" s="350"/>
      <c r="AF546" s="350"/>
      <c r="AG546" s="350"/>
      <c r="AH546" s="350"/>
      <c r="AI546" s="350"/>
      <c r="AJ546" s="350"/>
      <c r="AK546" s="350"/>
      <c r="AL546" s="350"/>
      <c r="AM546" s="350"/>
      <c r="AN546" s="350"/>
      <c r="AO546" s="350"/>
      <c r="AP546" s="350"/>
      <c r="AQ546" s="350"/>
      <c r="AR546" s="350"/>
      <c r="AS546" s="350"/>
      <c r="AT546" s="350"/>
      <c r="AU546" s="351"/>
      <c r="AV546" s="351"/>
      <c r="AW546" s="351"/>
      <c r="AX546" s="351"/>
      <c r="AY546" s="351"/>
      <c r="AZ546" s="351"/>
      <c r="BA546" s="351"/>
      <c r="BB546" s="351"/>
      <c r="BC546" s="351"/>
      <c r="BD546" s="351"/>
      <c r="BE546" s="351"/>
      <c r="BF546" s="351"/>
      <c r="BG546" s="351"/>
      <c r="BH546" s="351"/>
      <c r="BI546" s="351"/>
      <c r="BJ546" s="351"/>
      <c r="BK546" s="351"/>
      <c r="BL546" s="351"/>
      <c r="BM546" s="351"/>
      <c r="BN546" s="351"/>
      <c r="BO546" s="351"/>
      <c r="BP546" s="351"/>
      <c r="BQ546" s="351"/>
      <c r="BR546" s="351"/>
      <c r="BS546" s="351"/>
      <c r="BT546" s="351"/>
      <c r="BU546" s="351"/>
      <c r="BV546" s="351"/>
      <c r="BW546" s="351"/>
      <c r="BX546" s="351"/>
      <c r="BY546" s="351"/>
      <c r="BZ546" s="351"/>
      <c r="CA546" s="351"/>
      <c r="CB546" s="351"/>
      <c r="CC546" s="351"/>
      <c r="CD546" s="351"/>
      <c r="CE546" s="351"/>
      <c r="CF546" s="351"/>
      <c r="CG546" s="352"/>
    </row>
    <row r="547" spans="1:85" s="353" customFormat="1" ht="13.9" customHeight="1" x14ac:dyDescent="0.2">
      <c r="A547" s="337" t="s">
        <v>158</v>
      </c>
      <c r="B547" s="338">
        <v>38</v>
      </c>
      <c r="C547" s="339" t="s">
        <v>617</v>
      </c>
      <c r="D547" s="340" t="s">
        <v>159</v>
      </c>
      <c r="E547" s="341"/>
      <c r="F547" s="341">
        <v>147071700</v>
      </c>
      <c r="G547" s="341"/>
      <c r="H547" s="340" t="s">
        <v>788</v>
      </c>
      <c r="I547" s="339" t="s">
        <v>738</v>
      </c>
      <c r="J547" s="338">
        <v>1</v>
      </c>
      <c r="K547" s="338">
        <v>1</v>
      </c>
      <c r="L547" s="338">
        <v>12</v>
      </c>
      <c r="M547" s="342">
        <f t="shared" si="96"/>
        <v>1</v>
      </c>
      <c r="N547" s="343" t="s">
        <v>36</v>
      </c>
      <c r="O547" s="344" t="str">
        <f>IF(ISBLANK(N547),"",VLOOKUP(N547,[20]Parámetros!$G$2:$H$23,2,FALSE))</f>
        <v xml:space="preserve">Contratación directa (con ofertas) </v>
      </c>
      <c r="P547" s="345">
        <f t="shared" si="102"/>
        <v>1</v>
      </c>
      <c r="Q547" s="346">
        <f t="shared" si="97"/>
        <v>147071700</v>
      </c>
      <c r="R547" s="346">
        <f t="shared" si="98"/>
        <v>147071700</v>
      </c>
      <c r="S547" s="347" t="s">
        <v>223</v>
      </c>
      <c r="T547" s="345">
        <f t="shared" si="95"/>
        <v>0</v>
      </c>
      <c r="U547" s="348" t="str">
        <f t="shared" si="99"/>
        <v>SUBDIRECCION DE GESTION CONTRACTUAL</v>
      </c>
      <c r="V547" s="345" t="str">
        <f t="shared" si="100"/>
        <v>CO-DC</v>
      </c>
      <c r="W547" s="345" t="str">
        <f t="shared" si="101"/>
        <v>Distrito Capital de Bogotá</v>
      </c>
      <c r="X547" s="340" t="s">
        <v>586</v>
      </c>
      <c r="Y547" s="338">
        <v>2427400</v>
      </c>
      <c r="Z547" s="349" t="s">
        <v>160</v>
      </c>
      <c r="AA547" s="350"/>
      <c r="AB547" s="350"/>
      <c r="AC547" s="350"/>
      <c r="AD547" s="350"/>
      <c r="AE547" s="350"/>
      <c r="AF547" s="350"/>
      <c r="AG547" s="350"/>
      <c r="AH547" s="350"/>
      <c r="AI547" s="350"/>
      <c r="AJ547" s="350"/>
      <c r="AK547" s="350"/>
      <c r="AL547" s="350"/>
      <c r="AM547" s="350"/>
      <c r="AN547" s="350"/>
      <c r="AO547" s="350"/>
      <c r="AP547" s="350"/>
      <c r="AQ547" s="350"/>
      <c r="AR547" s="350"/>
      <c r="AS547" s="350"/>
      <c r="AT547" s="350"/>
      <c r="AU547" s="351"/>
      <c r="AV547" s="351"/>
      <c r="AW547" s="351"/>
      <c r="AX547" s="351"/>
      <c r="AY547" s="351"/>
      <c r="AZ547" s="351"/>
      <c r="BA547" s="351"/>
      <c r="BB547" s="351"/>
      <c r="BC547" s="351"/>
      <c r="BD547" s="351"/>
      <c r="BE547" s="351"/>
      <c r="BF547" s="351"/>
      <c r="BG547" s="351"/>
      <c r="BH547" s="351"/>
      <c r="BI547" s="351"/>
      <c r="BJ547" s="351"/>
      <c r="BK547" s="351"/>
      <c r="BL547" s="351"/>
      <c r="BM547" s="351"/>
      <c r="BN547" s="351"/>
      <c r="BO547" s="351"/>
      <c r="BP547" s="351"/>
      <c r="BQ547" s="351"/>
      <c r="BR547" s="351"/>
      <c r="BS547" s="351"/>
      <c r="BT547" s="351"/>
      <c r="BU547" s="351"/>
      <c r="BV547" s="351"/>
      <c r="BW547" s="351"/>
      <c r="BX547" s="351"/>
      <c r="BY547" s="351"/>
      <c r="BZ547" s="351"/>
      <c r="CA547" s="351"/>
      <c r="CB547" s="351"/>
      <c r="CC547" s="351"/>
      <c r="CD547" s="351"/>
      <c r="CE547" s="351"/>
      <c r="CF547" s="351"/>
      <c r="CG547" s="352"/>
    </row>
    <row r="548" spans="1:85" s="353" customFormat="1" ht="13.9" customHeight="1" x14ac:dyDescent="0.2">
      <c r="A548" s="337" t="s">
        <v>158</v>
      </c>
      <c r="B548" s="338">
        <v>39</v>
      </c>
      <c r="C548" s="339" t="s">
        <v>617</v>
      </c>
      <c r="D548" s="340" t="s">
        <v>159</v>
      </c>
      <c r="E548" s="341"/>
      <c r="F548" s="341">
        <v>4716328480</v>
      </c>
      <c r="G548" s="341"/>
      <c r="H548" s="340" t="s">
        <v>792</v>
      </c>
      <c r="I548" s="339" t="s">
        <v>739</v>
      </c>
      <c r="J548" s="338">
        <v>1</v>
      </c>
      <c r="K548" s="338">
        <v>1</v>
      </c>
      <c r="L548" s="338">
        <v>12</v>
      </c>
      <c r="M548" s="342">
        <f t="shared" si="96"/>
        <v>1</v>
      </c>
      <c r="N548" s="343" t="s">
        <v>36</v>
      </c>
      <c r="O548" s="344" t="str">
        <f>IF(ISBLANK(N548),"",VLOOKUP(N548,[20]Parámetros!$G$2:$H$23,2,FALSE))</f>
        <v xml:space="preserve">Contratación directa (con ofertas) </v>
      </c>
      <c r="P548" s="345">
        <f t="shared" si="102"/>
        <v>1</v>
      </c>
      <c r="Q548" s="346">
        <f t="shared" si="97"/>
        <v>4716328480</v>
      </c>
      <c r="R548" s="346">
        <f t="shared" si="98"/>
        <v>4716328480</v>
      </c>
      <c r="S548" s="347" t="s">
        <v>223</v>
      </c>
      <c r="T548" s="345">
        <f t="shared" si="95"/>
        <v>0</v>
      </c>
      <c r="U548" s="348" t="str">
        <f t="shared" si="99"/>
        <v>SUBDIRECCION DE GESTION CONTRACTUAL</v>
      </c>
      <c r="V548" s="345" t="str">
        <f t="shared" si="100"/>
        <v>CO-DC</v>
      </c>
      <c r="W548" s="345" t="str">
        <f t="shared" si="101"/>
        <v>Distrito Capital de Bogotá</v>
      </c>
      <c r="X548" s="340" t="s">
        <v>586</v>
      </c>
      <c r="Y548" s="338">
        <v>2427400</v>
      </c>
      <c r="Z548" s="349" t="s">
        <v>160</v>
      </c>
      <c r="AA548" s="350"/>
      <c r="AB548" s="350"/>
      <c r="AC548" s="350"/>
      <c r="AD548" s="350"/>
      <c r="AE548" s="350"/>
      <c r="AF548" s="350"/>
      <c r="AG548" s="350"/>
      <c r="AH548" s="350"/>
      <c r="AI548" s="350"/>
      <c r="AJ548" s="350"/>
      <c r="AK548" s="350"/>
      <c r="AL548" s="350"/>
      <c r="AM548" s="350"/>
      <c r="AN548" s="350"/>
      <c r="AO548" s="350"/>
      <c r="AP548" s="350"/>
      <c r="AQ548" s="350"/>
      <c r="AR548" s="350"/>
      <c r="AS548" s="350"/>
      <c r="AT548" s="350"/>
      <c r="AU548" s="351"/>
      <c r="AV548" s="351"/>
      <c r="AW548" s="351"/>
      <c r="AX548" s="351"/>
      <c r="AY548" s="351"/>
      <c r="AZ548" s="351"/>
      <c r="BA548" s="351"/>
      <c r="BB548" s="351"/>
      <c r="BC548" s="351"/>
      <c r="BD548" s="351"/>
      <c r="BE548" s="351"/>
      <c r="BF548" s="351"/>
      <c r="BG548" s="351"/>
      <c r="BH548" s="351"/>
      <c r="BI548" s="351"/>
      <c r="BJ548" s="351"/>
      <c r="BK548" s="351"/>
      <c r="BL548" s="351"/>
      <c r="BM548" s="351"/>
      <c r="BN548" s="351"/>
      <c r="BO548" s="351"/>
      <c r="BP548" s="351"/>
      <c r="BQ548" s="351"/>
      <c r="BR548" s="351"/>
      <c r="BS548" s="351"/>
      <c r="BT548" s="351"/>
      <c r="BU548" s="351"/>
      <c r="BV548" s="351"/>
      <c r="BW548" s="351"/>
      <c r="BX548" s="351"/>
      <c r="BY548" s="351"/>
      <c r="BZ548" s="351"/>
      <c r="CA548" s="351"/>
      <c r="CB548" s="351"/>
      <c r="CC548" s="351"/>
      <c r="CD548" s="351"/>
      <c r="CE548" s="351"/>
      <c r="CF548" s="351"/>
      <c r="CG548" s="352"/>
    </row>
    <row r="549" spans="1:85" s="353" customFormat="1" ht="13.9" customHeight="1" x14ac:dyDescent="0.2">
      <c r="A549" s="337" t="s">
        <v>158</v>
      </c>
      <c r="B549" s="338">
        <v>40</v>
      </c>
      <c r="C549" s="339" t="s">
        <v>617</v>
      </c>
      <c r="D549" s="340" t="s">
        <v>159</v>
      </c>
      <c r="E549" s="341"/>
      <c r="F549" s="341">
        <v>1025000000</v>
      </c>
      <c r="G549" s="341"/>
      <c r="H549" s="340" t="s">
        <v>788</v>
      </c>
      <c r="I549" s="339" t="s">
        <v>740</v>
      </c>
      <c r="J549" s="338">
        <v>1</v>
      </c>
      <c r="K549" s="338">
        <v>1</v>
      </c>
      <c r="L549" s="338">
        <v>12</v>
      </c>
      <c r="M549" s="342">
        <f t="shared" si="96"/>
        <v>1</v>
      </c>
      <c r="N549" s="343" t="s">
        <v>36</v>
      </c>
      <c r="O549" s="344" t="str">
        <f>IF(ISBLANK(N549),"",VLOOKUP(N549,[20]Parámetros!$G$2:$H$23,2,FALSE))</f>
        <v xml:space="preserve">Contratación directa (con ofertas) </v>
      </c>
      <c r="P549" s="345">
        <f t="shared" si="102"/>
        <v>1</v>
      </c>
      <c r="Q549" s="346">
        <f t="shared" si="97"/>
        <v>1025000000</v>
      </c>
      <c r="R549" s="346">
        <f t="shared" si="98"/>
        <v>1025000000</v>
      </c>
      <c r="S549" s="347" t="s">
        <v>223</v>
      </c>
      <c r="T549" s="345">
        <f t="shared" si="95"/>
        <v>0</v>
      </c>
      <c r="U549" s="348" t="str">
        <f t="shared" si="99"/>
        <v>SUBDIRECCION DE GESTION CONTRACTUAL</v>
      </c>
      <c r="V549" s="345" t="str">
        <f t="shared" si="100"/>
        <v>CO-DC</v>
      </c>
      <c r="W549" s="345" t="str">
        <f t="shared" si="101"/>
        <v>Distrito Capital de Bogotá</v>
      </c>
      <c r="X549" s="340" t="s">
        <v>586</v>
      </c>
      <c r="Y549" s="338">
        <v>2427400</v>
      </c>
      <c r="Z549" s="349" t="s">
        <v>160</v>
      </c>
      <c r="AA549" s="350"/>
      <c r="AB549" s="350"/>
      <c r="AC549" s="350"/>
      <c r="AD549" s="350"/>
      <c r="AE549" s="350"/>
      <c r="AF549" s="350"/>
      <c r="AG549" s="350"/>
      <c r="AH549" s="350"/>
      <c r="AI549" s="350"/>
      <c r="AJ549" s="350"/>
      <c r="AK549" s="350"/>
      <c r="AL549" s="350"/>
      <c r="AM549" s="350"/>
      <c r="AN549" s="350"/>
      <c r="AO549" s="350"/>
      <c r="AP549" s="350"/>
      <c r="AQ549" s="350"/>
      <c r="AR549" s="350"/>
      <c r="AS549" s="350"/>
      <c r="AT549" s="350"/>
      <c r="AU549" s="351"/>
      <c r="AV549" s="351"/>
      <c r="AW549" s="351"/>
      <c r="AX549" s="351"/>
      <c r="AY549" s="351"/>
      <c r="AZ549" s="351"/>
      <c r="BA549" s="351"/>
      <c r="BB549" s="351"/>
      <c r="BC549" s="351"/>
      <c r="BD549" s="351"/>
      <c r="BE549" s="351"/>
      <c r="BF549" s="351"/>
      <c r="BG549" s="351"/>
      <c r="BH549" s="351"/>
      <c r="BI549" s="351"/>
      <c r="BJ549" s="351"/>
      <c r="BK549" s="351"/>
      <c r="BL549" s="351"/>
      <c r="BM549" s="351"/>
      <c r="BN549" s="351"/>
      <c r="BO549" s="351"/>
      <c r="BP549" s="351"/>
      <c r="BQ549" s="351"/>
      <c r="BR549" s="351"/>
      <c r="BS549" s="351"/>
      <c r="BT549" s="351"/>
      <c r="BU549" s="351"/>
      <c r="BV549" s="351"/>
      <c r="BW549" s="351"/>
      <c r="BX549" s="351"/>
      <c r="BY549" s="351"/>
      <c r="BZ549" s="351"/>
      <c r="CA549" s="351"/>
      <c r="CB549" s="351"/>
      <c r="CC549" s="351"/>
      <c r="CD549" s="351"/>
      <c r="CE549" s="351"/>
      <c r="CF549" s="351"/>
      <c r="CG549" s="352"/>
    </row>
    <row r="550" spans="1:85" s="353" customFormat="1" ht="13.9" customHeight="1" x14ac:dyDescent="0.2">
      <c r="A550" s="337" t="s">
        <v>158</v>
      </c>
      <c r="B550" s="338">
        <v>41</v>
      </c>
      <c r="C550" s="339" t="s">
        <v>617</v>
      </c>
      <c r="D550" s="340" t="s">
        <v>159</v>
      </c>
      <c r="E550" s="341"/>
      <c r="F550" s="341">
        <v>514750950</v>
      </c>
      <c r="G550" s="341"/>
      <c r="H550" s="340" t="s">
        <v>788</v>
      </c>
      <c r="I550" s="339" t="s">
        <v>741</v>
      </c>
      <c r="J550" s="338">
        <v>1</v>
      </c>
      <c r="K550" s="338">
        <v>1</v>
      </c>
      <c r="L550" s="338">
        <v>12</v>
      </c>
      <c r="M550" s="342">
        <f t="shared" si="96"/>
        <v>1</v>
      </c>
      <c r="N550" s="343" t="s">
        <v>36</v>
      </c>
      <c r="O550" s="344" t="str">
        <f>IF(ISBLANK(N550),"",VLOOKUP(N550,[20]Parámetros!$G$2:$H$23,2,FALSE))</f>
        <v xml:space="preserve">Contratación directa (con ofertas) </v>
      </c>
      <c r="P550" s="345">
        <f t="shared" si="102"/>
        <v>1</v>
      </c>
      <c r="Q550" s="346">
        <f t="shared" si="97"/>
        <v>514750950</v>
      </c>
      <c r="R550" s="346">
        <f t="shared" si="98"/>
        <v>514750950</v>
      </c>
      <c r="S550" s="347" t="s">
        <v>223</v>
      </c>
      <c r="T550" s="345">
        <f t="shared" si="95"/>
        <v>0</v>
      </c>
      <c r="U550" s="348" t="str">
        <f t="shared" si="99"/>
        <v>SUBDIRECCION DE GESTION CONTRACTUAL</v>
      </c>
      <c r="V550" s="345" t="str">
        <f t="shared" si="100"/>
        <v>CO-DC</v>
      </c>
      <c r="W550" s="345" t="str">
        <f t="shared" si="101"/>
        <v>Distrito Capital de Bogotá</v>
      </c>
      <c r="X550" s="340" t="s">
        <v>586</v>
      </c>
      <c r="Y550" s="338">
        <v>2427400</v>
      </c>
      <c r="Z550" s="349" t="s">
        <v>160</v>
      </c>
      <c r="AA550" s="350"/>
      <c r="AB550" s="350"/>
      <c r="AC550" s="350"/>
      <c r="AD550" s="350"/>
      <c r="AE550" s="350"/>
      <c r="AF550" s="350"/>
      <c r="AG550" s="350"/>
      <c r="AH550" s="350"/>
      <c r="AI550" s="350"/>
      <c r="AJ550" s="350"/>
      <c r="AK550" s="350"/>
      <c r="AL550" s="350"/>
      <c r="AM550" s="350"/>
      <c r="AN550" s="350"/>
      <c r="AO550" s="350"/>
      <c r="AP550" s="350"/>
      <c r="AQ550" s="350"/>
      <c r="AR550" s="350"/>
      <c r="AS550" s="350"/>
      <c r="AT550" s="350"/>
      <c r="AU550" s="351"/>
      <c r="AV550" s="351"/>
      <c r="AW550" s="351"/>
      <c r="AX550" s="351"/>
      <c r="AY550" s="351"/>
      <c r="AZ550" s="351"/>
      <c r="BA550" s="351"/>
      <c r="BB550" s="351"/>
      <c r="BC550" s="351"/>
      <c r="BD550" s="351"/>
      <c r="BE550" s="351"/>
      <c r="BF550" s="351"/>
      <c r="BG550" s="351"/>
      <c r="BH550" s="351"/>
      <c r="BI550" s="351"/>
      <c r="BJ550" s="351"/>
      <c r="BK550" s="351"/>
      <c r="BL550" s="351"/>
      <c r="BM550" s="351"/>
      <c r="BN550" s="351"/>
      <c r="BO550" s="351"/>
      <c r="BP550" s="351"/>
      <c r="BQ550" s="351"/>
      <c r="BR550" s="351"/>
      <c r="BS550" s="351"/>
      <c r="BT550" s="351"/>
      <c r="BU550" s="351"/>
      <c r="BV550" s="351"/>
      <c r="BW550" s="351"/>
      <c r="BX550" s="351"/>
      <c r="BY550" s="351"/>
      <c r="BZ550" s="351"/>
      <c r="CA550" s="351"/>
      <c r="CB550" s="351"/>
      <c r="CC550" s="351"/>
      <c r="CD550" s="351"/>
      <c r="CE550" s="351"/>
      <c r="CF550" s="351"/>
      <c r="CG550" s="352"/>
    </row>
    <row r="551" spans="1:85" s="353" customFormat="1" ht="13.9" customHeight="1" x14ac:dyDescent="0.2">
      <c r="A551" s="337" t="s">
        <v>158</v>
      </c>
      <c r="B551" s="338">
        <v>42</v>
      </c>
      <c r="C551" s="339" t="s">
        <v>617</v>
      </c>
      <c r="D551" s="340" t="s">
        <v>159</v>
      </c>
      <c r="E551" s="341"/>
      <c r="F551" s="341">
        <v>1101245901</v>
      </c>
      <c r="G551" s="341"/>
      <c r="H551" s="340" t="s">
        <v>788</v>
      </c>
      <c r="I551" s="339" t="s">
        <v>742</v>
      </c>
      <c r="J551" s="338">
        <v>1</v>
      </c>
      <c r="K551" s="338">
        <v>1</v>
      </c>
      <c r="L551" s="338">
        <v>12</v>
      </c>
      <c r="M551" s="342">
        <f t="shared" si="96"/>
        <v>1</v>
      </c>
      <c r="N551" s="343" t="s">
        <v>36</v>
      </c>
      <c r="O551" s="344" t="str">
        <f>IF(ISBLANK(N551),"",VLOOKUP(N551,[20]Parámetros!$G$2:$H$23,2,FALSE))</f>
        <v xml:space="preserve">Contratación directa (con ofertas) </v>
      </c>
      <c r="P551" s="345">
        <f t="shared" si="102"/>
        <v>1</v>
      </c>
      <c r="Q551" s="346">
        <f t="shared" si="97"/>
        <v>1101245901</v>
      </c>
      <c r="R551" s="346">
        <f t="shared" si="98"/>
        <v>1101245901</v>
      </c>
      <c r="S551" s="347" t="s">
        <v>223</v>
      </c>
      <c r="T551" s="345">
        <f t="shared" si="95"/>
        <v>0</v>
      </c>
      <c r="U551" s="348" t="str">
        <f t="shared" si="99"/>
        <v>SUBDIRECCION DE GESTION CONTRACTUAL</v>
      </c>
      <c r="V551" s="345" t="str">
        <f t="shared" si="100"/>
        <v>CO-DC</v>
      </c>
      <c r="W551" s="345" t="str">
        <f t="shared" si="101"/>
        <v>Distrito Capital de Bogotá</v>
      </c>
      <c r="X551" s="340" t="s">
        <v>586</v>
      </c>
      <c r="Y551" s="338">
        <v>2427400</v>
      </c>
      <c r="Z551" s="349" t="s">
        <v>160</v>
      </c>
      <c r="AA551" s="350"/>
      <c r="AB551" s="350"/>
      <c r="AC551" s="350"/>
      <c r="AD551" s="350"/>
      <c r="AE551" s="350"/>
      <c r="AF551" s="350"/>
      <c r="AG551" s="350"/>
      <c r="AH551" s="350"/>
      <c r="AI551" s="350"/>
      <c r="AJ551" s="350"/>
      <c r="AK551" s="350"/>
      <c r="AL551" s="350"/>
      <c r="AM551" s="350"/>
      <c r="AN551" s="350"/>
      <c r="AO551" s="350"/>
      <c r="AP551" s="350"/>
      <c r="AQ551" s="350"/>
      <c r="AR551" s="350"/>
      <c r="AS551" s="350"/>
      <c r="AT551" s="350"/>
      <c r="AU551" s="351"/>
      <c r="AV551" s="351"/>
      <c r="AW551" s="351"/>
      <c r="AX551" s="351"/>
      <c r="AY551" s="351"/>
      <c r="AZ551" s="351"/>
      <c r="BA551" s="351"/>
      <c r="BB551" s="351"/>
      <c r="BC551" s="351"/>
      <c r="BD551" s="351"/>
      <c r="BE551" s="351"/>
      <c r="BF551" s="351"/>
      <c r="BG551" s="351"/>
      <c r="BH551" s="351"/>
      <c r="BI551" s="351"/>
      <c r="BJ551" s="351"/>
      <c r="BK551" s="351"/>
      <c r="BL551" s="351"/>
      <c r="BM551" s="351"/>
      <c r="BN551" s="351"/>
      <c r="BO551" s="351"/>
      <c r="BP551" s="351"/>
      <c r="BQ551" s="351"/>
      <c r="BR551" s="351"/>
      <c r="BS551" s="351"/>
      <c r="BT551" s="351"/>
      <c r="BU551" s="351"/>
      <c r="BV551" s="351"/>
      <c r="BW551" s="351"/>
      <c r="BX551" s="351"/>
      <c r="BY551" s="351"/>
      <c r="BZ551" s="351"/>
      <c r="CA551" s="351"/>
      <c r="CB551" s="351"/>
      <c r="CC551" s="351"/>
      <c r="CD551" s="351"/>
      <c r="CE551" s="351"/>
      <c r="CF551" s="351"/>
      <c r="CG551" s="352"/>
    </row>
    <row r="552" spans="1:85" s="353" customFormat="1" ht="13.9" customHeight="1" x14ac:dyDescent="0.2">
      <c r="A552" s="337" t="s">
        <v>158</v>
      </c>
      <c r="B552" s="338">
        <v>43</v>
      </c>
      <c r="C552" s="339" t="s">
        <v>617</v>
      </c>
      <c r="D552" s="340" t="s">
        <v>159</v>
      </c>
      <c r="E552" s="341"/>
      <c r="F552" s="341">
        <v>727303040</v>
      </c>
      <c r="G552" s="341"/>
      <c r="H552" s="340" t="s">
        <v>788</v>
      </c>
      <c r="I552" s="339" t="s">
        <v>743</v>
      </c>
      <c r="J552" s="338">
        <v>1</v>
      </c>
      <c r="K552" s="338">
        <v>1</v>
      </c>
      <c r="L552" s="338">
        <v>12</v>
      </c>
      <c r="M552" s="342">
        <f t="shared" si="96"/>
        <v>1</v>
      </c>
      <c r="N552" s="343" t="s">
        <v>36</v>
      </c>
      <c r="O552" s="344" t="str">
        <f>IF(ISBLANK(N552),"",VLOOKUP(N552,[20]Parámetros!$G$2:$H$23,2,FALSE))</f>
        <v xml:space="preserve">Contratación directa (con ofertas) </v>
      </c>
      <c r="P552" s="345">
        <f t="shared" si="102"/>
        <v>1</v>
      </c>
      <c r="Q552" s="346">
        <f t="shared" si="97"/>
        <v>727303040</v>
      </c>
      <c r="R552" s="346">
        <f t="shared" si="98"/>
        <v>727303040</v>
      </c>
      <c r="S552" s="347" t="s">
        <v>223</v>
      </c>
      <c r="T552" s="345">
        <f t="shared" si="95"/>
        <v>0</v>
      </c>
      <c r="U552" s="348" t="str">
        <f t="shared" si="99"/>
        <v>SUBDIRECCION DE GESTION CONTRACTUAL</v>
      </c>
      <c r="V552" s="345" t="str">
        <f t="shared" si="100"/>
        <v>CO-DC</v>
      </c>
      <c r="W552" s="345" t="str">
        <f t="shared" si="101"/>
        <v>Distrito Capital de Bogotá</v>
      </c>
      <c r="X552" s="340" t="s">
        <v>586</v>
      </c>
      <c r="Y552" s="338">
        <v>2427400</v>
      </c>
      <c r="Z552" s="349" t="s">
        <v>160</v>
      </c>
      <c r="AA552" s="350"/>
      <c r="AB552" s="350"/>
      <c r="AC552" s="350"/>
      <c r="AD552" s="350"/>
      <c r="AE552" s="350"/>
      <c r="AF552" s="350"/>
      <c r="AG552" s="350"/>
      <c r="AH552" s="350"/>
      <c r="AI552" s="350"/>
      <c r="AJ552" s="350"/>
      <c r="AK552" s="350"/>
      <c r="AL552" s="350"/>
      <c r="AM552" s="350"/>
      <c r="AN552" s="350"/>
      <c r="AO552" s="350"/>
      <c r="AP552" s="350"/>
      <c r="AQ552" s="350"/>
      <c r="AR552" s="350"/>
      <c r="AS552" s="350"/>
      <c r="AT552" s="350"/>
      <c r="AU552" s="351"/>
      <c r="AV552" s="351"/>
      <c r="AW552" s="351"/>
      <c r="AX552" s="351"/>
      <c r="AY552" s="351"/>
      <c r="AZ552" s="351"/>
      <c r="BA552" s="351"/>
      <c r="BB552" s="351"/>
      <c r="BC552" s="351"/>
      <c r="BD552" s="351"/>
      <c r="BE552" s="351"/>
      <c r="BF552" s="351"/>
      <c r="BG552" s="351"/>
      <c r="BH552" s="351"/>
      <c r="BI552" s="351"/>
      <c r="BJ552" s="351"/>
      <c r="BK552" s="351"/>
      <c r="BL552" s="351"/>
      <c r="BM552" s="351"/>
      <c r="BN552" s="351"/>
      <c r="BO552" s="351"/>
      <c r="BP552" s="351"/>
      <c r="BQ552" s="351"/>
      <c r="BR552" s="351"/>
      <c r="BS552" s="351"/>
      <c r="BT552" s="351"/>
      <c r="BU552" s="351"/>
      <c r="BV552" s="351"/>
      <c r="BW552" s="351"/>
      <c r="BX552" s="351"/>
      <c r="BY552" s="351"/>
      <c r="BZ552" s="351"/>
      <c r="CA552" s="351"/>
      <c r="CB552" s="351"/>
      <c r="CC552" s="351"/>
      <c r="CD552" s="351"/>
      <c r="CE552" s="351"/>
      <c r="CF552" s="351"/>
      <c r="CG552" s="352"/>
    </row>
    <row r="553" spans="1:85" s="353" customFormat="1" ht="13.9" customHeight="1" x14ac:dyDescent="0.2">
      <c r="A553" s="337" t="s">
        <v>158</v>
      </c>
      <c r="B553" s="338">
        <v>44</v>
      </c>
      <c r="C553" s="339" t="s">
        <v>617</v>
      </c>
      <c r="D553" s="340" t="s">
        <v>159</v>
      </c>
      <c r="E553" s="341"/>
      <c r="F553" s="341">
        <v>205000000</v>
      </c>
      <c r="G553" s="341"/>
      <c r="H553" s="340" t="s">
        <v>788</v>
      </c>
      <c r="I553" s="339" t="s">
        <v>745</v>
      </c>
      <c r="J553" s="338">
        <v>1</v>
      </c>
      <c r="K553" s="338">
        <v>1</v>
      </c>
      <c r="L553" s="338">
        <v>12</v>
      </c>
      <c r="M553" s="342">
        <f t="shared" si="96"/>
        <v>1</v>
      </c>
      <c r="N553" s="343" t="s">
        <v>36</v>
      </c>
      <c r="O553" s="344" t="str">
        <f>IF(ISBLANK(N553),"",VLOOKUP(N553,[20]Parámetros!$G$2:$H$23,2,FALSE))</f>
        <v xml:space="preserve">Contratación directa (con ofertas) </v>
      </c>
      <c r="P553" s="345">
        <f t="shared" si="102"/>
        <v>1</v>
      </c>
      <c r="Q553" s="346">
        <f t="shared" si="97"/>
        <v>205000000</v>
      </c>
      <c r="R553" s="346">
        <f t="shared" si="98"/>
        <v>205000000</v>
      </c>
      <c r="S553" s="347" t="s">
        <v>223</v>
      </c>
      <c r="T553" s="345">
        <f t="shared" ref="T553:T584" si="103">IF(ISBLANK(S553),"",IF(VALUE(S553)=0,0,IF(VALUE(S553)=1,3,"")))</f>
        <v>0</v>
      </c>
      <c r="U553" s="348" t="str">
        <f t="shared" si="99"/>
        <v>SUBDIRECCION DE GESTION CONTRACTUAL</v>
      </c>
      <c r="V553" s="345" t="str">
        <f t="shared" si="100"/>
        <v>CO-DC</v>
      </c>
      <c r="W553" s="345" t="str">
        <f t="shared" si="101"/>
        <v>Distrito Capital de Bogotá</v>
      </c>
      <c r="X553" s="340" t="s">
        <v>586</v>
      </c>
      <c r="Y553" s="338">
        <v>2427400</v>
      </c>
      <c r="Z553" s="349" t="s">
        <v>160</v>
      </c>
      <c r="AA553" s="350"/>
      <c r="AB553" s="350"/>
      <c r="AC553" s="350"/>
      <c r="AD553" s="350"/>
      <c r="AE553" s="350"/>
      <c r="AF553" s="350"/>
      <c r="AG553" s="350"/>
      <c r="AH553" s="350"/>
      <c r="AI553" s="350"/>
      <c r="AJ553" s="350"/>
      <c r="AK553" s="350"/>
      <c r="AL553" s="350"/>
      <c r="AM553" s="350"/>
      <c r="AN553" s="350"/>
      <c r="AO553" s="350"/>
      <c r="AP553" s="350"/>
      <c r="AQ553" s="350"/>
      <c r="AR553" s="350"/>
      <c r="AS553" s="350"/>
      <c r="AT553" s="350"/>
      <c r="AU553" s="351"/>
      <c r="AV553" s="351"/>
      <c r="AW553" s="351"/>
      <c r="AX553" s="351"/>
      <c r="AY553" s="351"/>
      <c r="AZ553" s="351"/>
      <c r="BA553" s="351"/>
      <c r="BB553" s="351"/>
      <c r="BC553" s="351"/>
      <c r="BD553" s="351"/>
      <c r="BE553" s="351"/>
      <c r="BF553" s="351"/>
      <c r="BG553" s="351"/>
      <c r="BH553" s="351"/>
      <c r="BI553" s="351"/>
      <c r="BJ553" s="351"/>
      <c r="BK553" s="351"/>
      <c r="BL553" s="351"/>
      <c r="BM553" s="351"/>
      <c r="BN553" s="351"/>
      <c r="BO553" s="351"/>
      <c r="BP553" s="351"/>
      <c r="BQ553" s="351"/>
      <c r="BR553" s="351"/>
      <c r="BS553" s="351"/>
      <c r="BT553" s="351"/>
      <c r="BU553" s="351"/>
      <c r="BV553" s="351"/>
      <c r="BW553" s="351"/>
      <c r="BX553" s="351"/>
      <c r="BY553" s="351"/>
      <c r="BZ553" s="351"/>
      <c r="CA553" s="351"/>
      <c r="CB553" s="351"/>
      <c r="CC553" s="351"/>
      <c r="CD553" s="351"/>
      <c r="CE553" s="351"/>
      <c r="CF553" s="351"/>
      <c r="CG553" s="352"/>
    </row>
    <row r="554" spans="1:85" s="353" customFormat="1" ht="13.9" customHeight="1" x14ac:dyDescent="0.2">
      <c r="A554" s="337" t="s">
        <v>158</v>
      </c>
      <c r="B554" s="338">
        <v>45</v>
      </c>
      <c r="C554" s="339" t="s">
        <v>617</v>
      </c>
      <c r="D554" s="340" t="s">
        <v>159</v>
      </c>
      <c r="E554" s="341"/>
      <c r="F554" s="341">
        <v>962792662</v>
      </c>
      <c r="G554" s="341"/>
      <c r="H554" s="340" t="s">
        <v>792</v>
      </c>
      <c r="I554" s="339" t="s">
        <v>744</v>
      </c>
      <c r="J554" s="338">
        <v>1</v>
      </c>
      <c r="K554" s="338">
        <v>1</v>
      </c>
      <c r="L554" s="338">
        <v>12</v>
      </c>
      <c r="M554" s="342">
        <f t="shared" si="96"/>
        <v>1</v>
      </c>
      <c r="N554" s="343" t="s">
        <v>36</v>
      </c>
      <c r="O554" s="344" t="str">
        <f>IF(ISBLANK(N554),"",VLOOKUP(N554,[20]Parámetros!$G$2:$H$23,2,FALSE))</f>
        <v xml:space="preserve">Contratación directa (con ofertas) </v>
      </c>
      <c r="P554" s="345">
        <f t="shared" si="102"/>
        <v>1</v>
      </c>
      <c r="Q554" s="346">
        <f t="shared" si="97"/>
        <v>962792662</v>
      </c>
      <c r="R554" s="346">
        <f t="shared" si="98"/>
        <v>962792662</v>
      </c>
      <c r="S554" s="347" t="s">
        <v>223</v>
      </c>
      <c r="T554" s="345">
        <f t="shared" si="103"/>
        <v>0</v>
      </c>
      <c r="U554" s="348" t="str">
        <f t="shared" si="99"/>
        <v>SUBDIRECCION DE GESTION CONTRACTUAL</v>
      </c>
      <c r="V554" s="345" t="str">
        <f t="shared" si="100"/>
        <v>CO-DC</v>
      </c>
      <c r="W554" s="345" t="str">
        <f t="shared" si="101"/>
        <v>Distrito Capital de Bogotá</v>
      </c>
      <c r="X554" s="340" t="s">
        <v>586</v>
      </c>
      <c r="Y554" s="338">
        <v>2427400</v>
      </c>
      <c r="Z554" s="349" t="s">
        <v>160</v>
      </c>
      <c r="AA554" s="350"/>
      <c r="AB554" s="350"/>
      <c r="AC554" s="350"/>
      <c r="AD554" s="350"/>
      <c r="AE554" s="350"/>
      <c r="AF554" s="350"/>
      <c r="AG554" s="350"/>
      <c r="AH554" s="350"/>
      <c r="AI554" s="350"/>
      <c r="AJ554" s="350"/>
      <c r="AK554" s="350"/>
      <c r="AL554" s="350"/>
      <c r="AM554" s="350"/>
      <c r="AN554" s="350"/>
      <c r="AO554" s="350"/>
      <c r="AP554" s="350"/>
      <c r="AQ554" s="350"/>
      <c r="AR554" s="350"/>
      <c r="AS554" s="350"/>
      <c r="AT554" s="350"/>
      <c r="AU554" s="351"/>
      <c r="AV554" s="351"/>
      <c r="AW554" s="351"/>
      <c r="AX554" s="351"/>
      <c r="AY554" s="351"/>
      <c r="AZ554" s="351"/>
      <c r="BA554" s="351"/>
      <c r="BB554" s="351"/>
      <c r="BC554" s="351"/>
      <c r="BD554" s="351"/>
      <c r="BE554" s="351"/>
      <c r="BF554" s="351"/>
      <c r="BG554" s="351"/>
      <c r="BH554" s="351"/>
      <c r="BI554" s="351"/>
      <c r="BJ554" s="351"/>
      <c r="BK554" s="351"/>
      <c r="BL554" s="351"/>
      <c r="BM554" s="351"/>
      <c r="BN554" s="351"/>
      <c r="BO554" s="351"/>
      <c r="BP554" s="351"/>
      <c r="BQ554" s="351"/>
      <c r="BR554" s="351"/>
      <c r="BS554" s="351"/>
      <c r="BT554" s="351"/>
      <c r="BU554" s="351"/>
      <c r="BV554" s="351"/>
      <c r="BW554" s="351"/>
      <c r="BX554" s="351"/>
      <c r="BY554" s="351"/>
      <c r="BZ554" s="351"/>
      <c r="CA554" s="351"/>
      <c r="CB554" s="351"/>
      <c r="CC554" s="351"/>
      <c r="CD554" s="351"/>
      <c r="CE554" s="351"/>
      <c r="CF554" s="351"/>
      <c r="CG554" s="352"/>
    </row>
    <row r="555" spans="1:85" s="353" customFormat="1" ht="13.9" customHeight="1" x14ac:dyDescent="0.2">
      <c r="A555" s="337" t="s">
        <v>158</v>
      </c>
      <c r="B555" s="338">
        <v>46</v>
      </c>
      <c r="C555" s="339" t="s">
        <v>617</v>
      </c>
      <c r="D555" s="340" t="s">
        <v>159</v>
      </c>
      <c r="E555" s="341"/>
      <c r="F555" s="341">
        <v>725303040</v>
      </c>
      <c r="G555" s="341"/>
      <c r="H555" s="340" t="s">
        <v>788</v>
      </c>
      <c r="I555" s="339" t="s">
        <v>746</v>
      </c>
      <c r="J555" s="338">
        <v>1</v>
      </c>
      <c r="K555" s="338">
        <v>1</v>
      </c>
      <c r="L555" s="338">
        <v>12</v>
      </c>
      <c r="M555" s="342">
        <f t="shared" si="96"/>
        <v>1</v>
      </c>
      <c r="N555" s="343" t="s">
        <v>36</v>
      </c>
      <c r="O555" s="344" t="str">
        <f>IF(ISBLANK(N555),"",VLOOKUP(N555,[20]Parámetros!$G$2:$H$23,2,FALSE))</f>
        <v xml:space="preserve">Contratación directa (con ofertas) </v>
      </c>
      <c r="P555" s="345">
        <f t="shared" si="102"/>
        <v>1</v>
      </c>
      <c r="Q555" s="346">
        <f t="shared" si="97"/>
        <v>725303040</v>
      </c>
      <c r="R555" s="346">
        <f t="shared" si="98"/>
        <v>725303040</v>
      </c>
      <c r="S555" s="347" t="s">
        <v>223</v>
      </c>
      <c r="T555" s="345">
        <f t="shared" si="103"/>
        <v>0</v>
      </c>
      <c r="U555" s="348" t="str">
        <f t="shared" si="99"/>
        <v>SUBDIRECCION DE GESTION CONTRACTUAL</v>
      </c>
      <c r="V555" s="345" t="str">
        <f t="shared" si="100"/>
        <v>CO-DC</v>
      </c>
      <c r="W555" s="345" t="str">
        <f t="shared" si="101"/>
        <v>Distrito Capital de Bogotá</v>
      </c>
      <c r="X555" s="340" t="s">
        <v>586</v>
      </c>
      <c r="Y555" s="338">
        <v>2427400</v>
      </c>
      <c r="Z555" s="349" t="s">
        <v>160</v>
      </c>
      <c r="AA555" s="350"/>
      <c r="AB555" s="350"/>
      <c r="AC555" s="350"/>
      <c r="AD555" s="350"/>
      <c r="AE555" s="350"/>
      <c r="AF555" s="350"/>
      <c r="AG555" s="350"/>
      <c r="AH555" s="350"/>
      <c r="AI555" s="350"/>
      <c r="AJ555" s="350"/>
      <c r="AK555" s="350"/>
      <c r="AL555" s="350"/>
      <c r="AM555" s="350"/>
      <c r="AN555" s="350"/>
      <c r="AO555" s="350"/>
      <c r="AP555" s="350"/>
      <c r="AQ555" s="350"/>
      <c r="AR555" s="350"/>
      <c r="AS555" s="350"/>
      <c r="AT555" s="350"/>
      <c r="AU555" s="351"/>
      <c r="AV555" s="351"/>
      <c r="AW555" s="351"/>
      <c r="AX555" s="351"/>
      <c r="AY555" s="351"/>
      <c r="AZ555" s="351"/>
      <c r="BA555" s="351"/>
      <c r="BB555" s="351"/>
      <c r="BC555" s="351"/>
      <c r="BD555" s="351"/>
      <c r="BE555" s="351"/>
      <c r="BF555" s="351"/>
      <c r="BG555" s="351"/>
      <c r="BH555" s="351"/>
      <c r="BI555" s="351"/>
      <c r="BJ555" s="351"/>
      <c r="BK555" s="351"/>
      <c r="BL555" s="351"/>
      <c r="BM555" s="351"/>
      <c r="BN555" s="351"/>
      <c r="BO555" s="351"/>
      <c r="BP555" s="351"/>
      <c r="BQ555" s="351"/>
      <c r="BR555" s="351"/>
      <c r="BS555" s="351"/>
      <c r="BT555" s="351"/>
      <c r="BU555" s="351"/>
      <c r="BV555" s="351"/>
      <c r="BW555" s="351"/>
      <c r="BX555" s="351"/>
      <c r="BY555" s="351"/>
      <c r="BZ555" s="351"/>
      <c r="CA555" s="351"/>
      <c r="CB555" s="351"/>
      <c r="CC555" s="351"/>
      <c r="CD555" s="351"/>
      <c r="CE555" s="351"/>
      <c r="CF555" s="351"/>
      <c r="CG555" s="352"/>
    </row>
    <row r="556" spans="1:85" s="353" customFormat="1" ht="13.9" customHeight="1" x14ac:dyDescent="0.2">
      <c r="A556" s="337" t="s">
        <v>158</v>
      </c>
      <c r="B556" s="338">
        <v>47</v>
      </c>
      <c r="C556" s="339" t="s">
        <v>617</v>
      </c>
      <c r="D556" s="340" t="s">
        <v>159</v>
      </c>
      <c r="E556" s="341"/>
      <c r="F556" s="341">
        <v>360741600</v>
      </c>
      <c r="G556" s="341"/>
      <c r="H556" s="340" t="s">
        <v>788</v>
      </c>
      <c r="I556" s="339" t="s">
        <v>747</v>
      </c>
      <c r="J556" s="338">
        <v>1</v>
      </c>
      <c r="K556" s="338">
        <v>1</v>
      </c>
      <c r="L556" s="338">
        <v>12</v>
      </c>
      <c r="M556" s="342">
        <f t="shared" si="96"/>
        <v>1</v>
      </c>
      <c r="N556" s="343" t="s">
        <v>36</v>
      </c>
      <c r="O556" s="344" t="str">
        <f>IF(ISBLANK(N556),"",VLOOKUP(N556,[20]Parámetros!$G$2:$H$23,2,FALSE))</f>
        <v xml:space="preserve">Contratación directa (con ofertas) </v>
      </c>
      <c r="P556" s="345">
        <f t="shared" si="102"/>
        <v>1</v>
      </c>
      <c r="Q556" s="346">
        <f t="shared" si="97"/>
        <v>360741600</v>
      </c>
      <c r="R556" s="346">
        <f t="shared" si="98"/>
        <v>360741600</v>
      </c>
      <c r="S556" s="347" t="s">
        <v>223</v>
      </c>
      <c r="T556" s="345">
        <f t="shared" si="103"/>
        <v>0</v>
      </c>
      <c r="U556" s="348" t="str">
        <f t="shared" si="99"/>
        <v>SUBDIRECCION DE GESTION CONTRACTUAL</v>
      </c>
      <c r="V556" s="345" t="str">
        <f t="shared" si="100"/>
        <v>CO-DC</v>
      </c>
      <c r="W556" s="345" t="str">
        <f t="shared" si="101"/>
        <v>Distrito Capital de Bogotá</v>
      </c>
      <c r="X556" s="340" t="s">
        <v>586</v>
      </c>
      <c r="Y556" s="338">
        <v>2427400</v>
      </c>
      <c r="Z556" s="349" t="s">
        <v>160</v>
      </c>
      <c r="AA556" s="350"/>
      <c r="AB556" s="350"/>
      <c r="AC556" s="350"/>
      <c r="AD556" s="350"/>
      <c r="AE556" s="350"/>
      <c r="AF556" s="350"/>
      <c r="AG556" s="350"/>
      <c r="AH556" s="350"/>
      <c r="AI556" s="350"/>
      <c r="AJ556" s="350"/>
      <c r="AK556" s="350"/>
      <c r="AL556" s="350"/>
      <c r="AM556" s="350"/>
      <c r="AN556" s="350"/>
      <c r="AO556" s="350"/>
      <c r="AP556" s="350"/>
      <c r="AQ556" s="350"/>
      <c r="AR556" s="350"/>
      <c r="AS556" s="350"/>
      <c r="AT556" s="350"/>
      <c r="AU556" s="351"/>
      <c r="AV556" s="351"/>
      <c r="AW556" s="351"/>
      <c r="AX556" s="351"/>
      <c r="AY556" s="351"/>
      <c r="AZ556" s="351"/>
      <c r="BA556" s="351"/>
      <c r="BB556" s="351"/>
      <c r="BC556" s="351"/>
      <c r="BD556" s="351"/>
      <c r="BE556" s="351"/>
      <c r="BF556" s="351"/>
      <c r="BG556" s="351"/>
      <c r="BH556" s="351"/>
      <c r="BI556" s="351"/>
      <c r="BJ556" s="351"/>
      <c r="BK556" s="351"/>
      <c r="BL556" s="351"/>
      <c r="BM556" s="351"/>
      <c r="BN556" s="351"/>
      <c r="BO556" s="351"/>
      <c r="BP556" s="351"/>
      <c r="BQ556" s="351"/>
      <c r="BR556" s="351"/>
      <c r="BS556" s="351"/>
      <c r="BT556" s="351"/>
      <c r="BU556" s="351"/>
      <c r="BV556" s="351"/>
      <c r="BW556" s="351"/>
      <c r="BX556" s="351"/>
      <c r="BY556" s="351"/>
      <c r="BZ556" s="351"/>
      <c r="CA556" s="351"/>
      <c r="CB556" s="351"/>
      <c r="CC556" s="351"/>
      <c r="CD556" s="351"/>
      <c r="CE556" s="351"/>
      <c r="CF556" s="351"/>
      <c r="CG556" s="352"/>
    </row>
    <row r="557" spans="1:85" s="353" customFormat="1" ht="13.9" customHeight="1" x14ac:dyDescent="0.2">
      <c r="A557" s="337" t="s">
        <v>158</v>
      </c>
      <c r="B557" s="338">
        <v>48</v>
      </c>
      <c r="C557" s="339" t="s">
        <v>617</v>
      </c>
      <c r="D557" s="340" t="s">
        <v>159</v>
      </c>
      <c r="E557" s="341"/>
      <c r="F557" s="341">
        <v>725303040</v>
      </c>
      <c r="G557" s="341"/>
      <c r="H557" s="340" t="s">
        <v>788</v>
      </c>
      <c r="I557" s="339" t="s">
        <v>748</v>
      </c>
      <c r="J557" s="338">
        <v>1</v>
      </c>
      <c r="K557" s="338">
        <v>1</v>
      </c>
      <c r="L557" s="338">
        <v>12</v>
      </c>
      <c r="M557" s="342">
        <f t="shared" si="96"/>
        <v>1</v>
      </c>
      <c r="N557" s="343" t="s">
        <v>36</v>
      </c>
      <c r="O557" s="344" t="str">
        <f>IF(ISBLANK(N557),"",VLOOKUP(N557,[20]Parámetros!$G$2:$H$23,2,FALSE))</f>
        <v xml:space="preserve">Contratación directa (con ofertas) </v>
      </c>
      <c r="P557" s="345">
        <f t="shared" si="102"/>
        <v>1</v>
      </c>
      <c r="Q557" s="346">
        <f t="shared" si="97"/>
        <v>725303040</v>
      </c>
      <c r="R557" s="346">
        <f t="shared" si="98"/>
        <v>725303040</v>
      </c>
      <c r="S557" s="347" t="s">
        <v>223</v>
      </c>
      <c r="T557" s="345">
        <f t="shared" si="103"/>
        <v>0</v>
      </c>
      <c r="U557" s="348" t="str">
        <f t="shared" si="99"/>
        <v>SUBDIRECCION DE GESTION CONTRACTUAL</v>
      </c>
      <c r="V557" s="345" t="str">
        <f t="shared" si="100"/>
        <v>CO-DC</v>
      </c>
      <c r="W557" s="345" t="str">
        <f t="shared" si="101"/>
        <v>Distrito Capital de Bogotá</v>
      </c>
      <c r="X557" s="340" t="s">
        <v>586</v>
      </c>
      <c r="Y557" s="338">
        <v>2427400</v>
      </c>
      <c r="Z557" s="349" t="s">
        <v>160</v>
      </c>
      <c r="AA557" s="350"/>
      <c r="AB557" s="350"/>
      <c r="AC557" s="350"/>
      <c r="AD557" s="350"/>
      <c r="AE557" s="350"/>
      <c r="AF557" s="350"/>
      <c r="AG557" s="350"/>
      <c r="AH557" s="350"/>
      <c r="AI557" s="350"/>
      <c r="AJ557" s="350"/>
      <c r="AK557" s="350"/>
      <c r="AL557" s="350"/>
      <c r="AM557" s="350"/>
      <c r="AN557" s="350"/>
      <c r="AO557" s="350"/>
      <c r="AP557" s="350"/>
      <c r="AQ557" s="350"/>
      <c r="AR557" s="350"/>
      <c r="AS557" s="350"/>
      <c r="AT557" s="350"/>
      <c r="AU557" s="351"/>
      <c r="AV557" s="351"/>
      <c r="AW557" s="351"/>
      <c r="AX557" s="351"/>
      <c r="AY557" s="351"/>
      <c r="AZ557" s="351"/>
      <c r="BA557" s="351"/>
      <c r="BB557" s="351"/>
      <c r="BC557" s="351"/>
      <c r="BD557" s="351"/>
      <c r="BE557" s="351"/>
      <c r="BF557" s="351"/>
      <c r="BG557" s="351"/>
      <c r="BH557" s="351"/>
      <c r="BI557" s="351"/>
      <c r="BJ557" s="351"/>
      <c r="BK557" s="351"/>
      <c r="BL557" s="351"/>
      <c r="BM557" s="351"/>
      <c r="BN557" s="351"/>
      <c r="BO557" s="351"/>
      <c r="BP557" s="351"/>
      <c r="BQ557" s="351"/>
      <c r="BR557" s="351"/>
      <c r="BS557" s="351"/>
      <c r="BT557" s="351"/>
      <c r="BU557" s="351"/>
      <c r="BV557" s="351"/>
      <c r="BW557" s="351"/>
      <c r="BX557" s="351"/>
      <c r="BY557" s="351"/>
      <c r="BZ557" s="351"/>
      <c r="CA557" s="351"/>
      <c r="CB557" s="351"/>
      <c r="CC557" s="351"/>
      <c r="CD557" s="351"/>
      <c r="CE557" s="351"/>
      <c r="CF557" s="351"/>
      <c r="CG557" s="352"/>
    </row>
    <row r="558" spans="1:85" s="353" customFormat="1" ht="13.9" customHeight="1" x14ac:dyDescent="0.2">
      <c r="A558" s="337" t="s">
        <v>158</v>
      </c>
      <c r="B558" s="338">
        <v>49</v>
      </c>
      <c r="C558" s="339" t="s">
        <v>617</v>
      </c>
      <c r="D558" s="340" t="s">
        <v>159</v>
      </c>
      <c r="E558" s="341"/>
      <c r="F558" s="341">
        <v>305440000</v>
      </c>
      <c r="G558" s="341"/>
      <c r="H558" s="340" t="s">
        <v>788</v>
      </c>
      <c r="I558" s="339" t="s">
        <v>749</v>
      </c>
      <c r="J558" s="338">
        <v>1</v>
      </c>
      <c r="K558" s="338">
        <v>1</v>
      </c>
      <c r="L558" s="338">
        <v>12</v>
      </c>
      <c r="M558" s="342">
        <f t="shared" si="96"/>
        <v>1</v>
      </c>
      <c r="N558" s="343" t="s">
        <v>36</v>
      </c>
      <c r="O558" s="344" t="str">
        <f>IF(ISBLANK(N558),"",VLOOKUP(N558,[20]Parámetros!$G$2:$H$23,2,FALSE))</f>
        <v xml:space="preserve">Contratación directa (con ofertas) </v>
      </c>
      <c r="P558" s="345">
        <f t="shared" si="102"/>
        <v>1</v>
      </c>
      <c r="Q558" s="346">
        <f t="shared" si="97"/>
        <v>305440000</v>
      </c>
      <c r="R558" s="346">
        <f t="shared" si="98"/>
        <v>305440000</v>
      </c>
      <c r="S558" s="347" t="s">
        <v>223</v>
      </c>
      <c r="T558" s="345">
        <f t="shared" si="103"/>
        <v>0</v>
      </c>
      <c r="U558" s="348" t="str">
        <f t="shared" si="99"/>
        <v>SUBDIRECCION DE GESTION CONTRACTUAL</v>
      </c>
      <c r="V558" s="345" t="str">
        <f t="shared" si="100"/>
        <v>CO-DC</v>
      </c>
      <c r="W558" s="345" t="str">
        <f t="shared" si="101"/>
        <v>Distrito Capital de Bogotá</v>
      </c>
      <c r="X558" s="340" t="s">
        <v>586</v>
      </c>
      <c r="Y558" s="338">
        <v>2427400</v>
      </c>
      <c r="Z558" s="349" t="s">
        <v>160</v>
      </c>
      <c r="AA558" s="350"/>
      <c r="AB558" s="350"/>
      <c r="AC558" s="350"/>
      <c r="AD558" s="350"/>
      <c r="AE558" s="350"/>
      <c r="AF558" s="350"/>
      <c r="AG558" s="350"/>
      <c r="AH558" s="350"/>
      <c r="AI558" s="350"/>
      <c r="AJ558" s="350"/>
      <c r="AK558" s="350"/>
      <c r="AL558" s="350"/>
      <c r="AM558" s="350"/>
      <c r="AN558" s="350"/>
      <c r="AO558" s="350"/>
      <c r="AP558" s="350"/>
      <c r="AQ558" s="350"/>
      <c r="AR558" s="350"/>
      <c r="AS558" s="350"/>
      <c r="AT558" s="350"/>
      <c r="AU558" s="351"/>
      <c r="AV558" s="351"/>
      <c r="AW558" s="351"/>
      <c r="AX558" s="351"/>
      <c r="AY558" s="351"/>
      <c r="AZ558" s="351"/>
      <c r="BA558" s="351"/>
      <c r="BB558" s="351"/>
      <c r="BC558" s="351"/>
      <c r="BD558" s="351"/>
      <c r="BE558" s="351"/>
      <c r="BF558" s="351"/>
      <c r="BG558" s="351"/>
      <c r="BH558" s="351"/>
      <c r="BI558" s="351"/>
      <c r="BJ558" s="351"/>
      <c r="BK558" s="351"/>
      <c r="BL558" s="351"/>
      <c r="BM558" s="351"/>
      <c r="BN558" s="351"/>
      <c r="BO558" s="351"/>
      <c r="BP558" s="351"/>
      <c r="BQ558" s="351"/>
      <c r="BR558" s="351"/>
      <c r="BS558" s="351"/>
      <c r="BT558" s="351"/>
      <c r="BU558" s="351"/>
      <c r="BV558" s="351"/>
      <c r="BW558" s="351"/>
      <c r="BX558" s="351"/>
      <c r="BY558" s="351"/>
      <c r="BZ558" s="351"/>
      <c r="CA558" s="351"/>
      <c r="CB558" s="351"/>
      <c r="CC558" s="351"/>
      <c r="CD558" s="351"/>
      <c r="CE558" s="351"/>
      <c r="CF558" s="351"/>
      <c r="CG558" s="352"/>
    </row>
    <row r="559" spans="1:85" s="353" customFormat="1" ht="13.9" customHeight="1" x14ac:dyDescent="0.2">
      <c r="A559" s="337" t="s">
        <v>158</v>
      </c>
      <c r="B559" s="338">
        <v>50</v>
      </c>
      <c r="C559" s="339" t="s">
        <v>617</v>
      </c>
      <c r="D559" s="340" t="s">
        <v>159</v>
      </c>
      <c r="E559" s="341"/>
      <c r="F559" s="341">
        <v>367679250</v>
      </c>
      <c r="G559" s="341"/>
      <c r="H559" s="340" t="s">
        <v>788</v>
      </c>
      <c r="I559" s="339" t="s">
        <v>750</v>
      </c>
      <c r="J559" s="338">
        <v>1</v>
      </c>
      <c r="K559" s="338">
        <v>1</v>
      </c>
      <c r="L559" s="338">
        <v>12</v>
      </c>
      <c r="M559" s="342">
        <f t="shared" si="96"/>
        <v>1</v>
      </c>
      <c r="N559" s="343" t="s">
        <v>36</v>
      </c>
      <c r="O559" s="344" t="str">
        <f>IF(ISBLANK(N559),"",VLOOKUP(N559,[20]Parámetros!$G$2:$H$23,2,FALSE))</f>
        <v xml:space="preserve">Contratación directa (con ofertas) </v>
      </c>
      <c r="P559" s="345">
        <f t="shared" si="102"/>
        <v>1</v>
      </c>
      <c r="Q559" s="346">
        <f t="shared" si="97"/>
        <v>367679250</v>
      </c>
      <c r="R559" s="346">
        <f t="shared" si="98"/>
        <v>367679250</v>
      </c>
      <c r="S559" s="347" t="s">
        <v>223</v>
      </c>
      <c r="T559" s="345">
        <f t="shared" si="103"/>
        <v>0</v>
      </c>
      <c r="U559" s="348" t="str">
        <f t="shared" si="99"/>
        <v>SUBDIRECCION DE GESTION CONTRACTUAL</v>
      </c>
      <c r="V559" s="345" t="str">
        <f t="shared" si="100"/>
        <v>CO-DC</v>
      </c>
      <c r="W559" s="345" t="str">
        <f t="shared" si="101"/>
        <v>Distrito Capital de Bogotá</v>
      </c>
      <c r="X559" s="340" t="s">
        <v>586</v>
      </c>
      <c r="Y559" s="338">
        <v>2427400</v>
      </c>
      <c r="Z559" s="349" t="s">
        <v>160</v>
      </c>
      <c r="AA559" s="350"/>
      <c r="AB559" s="350"/>
      <c r="AC559" s="350"/>
      <c r="AD559" s="350"/>
      <c r="AE559" s="350"/>
      <c r="AF559" s="350"/>
      <c r="AG559" s="350"/>
      <c r="AH559" s="350"/>
      <c r="AI559" s="350"/>
      <c r="AJ559" s="350"/>
      <c r="AK559" s="350"/>
      <c r="AL559" s="350"/>
      <c r="AM559" s="350"/>
      <c r="AN559" s="350"/>
      <c r="AO559" s="350"/>
      <c r="AP559" s="350"/>
      <c r="AQ559" s="350"/>
      <c r="AR559" s="350"/>
      <c r="AS559" s="350"/>
      <c r="AT559" s="350"/>
      <c r="AU559" s="351"/>
      <c r="AV559" s="351"/>
      <c r="AW559" s="351"/>
      <c r="AX559" s="351"/>
      <c r="AY559" s="351"/>
      <c r="AZ559" s="351"/>
      <c r="BA559" s="351"/>
      <c r="BB559" s="351"/>
      <c r="BC559" s="351"/>
      <c r="BD559" s="351"/>
      <c r="BE559" s="351"/>
      <c r="BF559" s="351"/>
      <c r="BG559" s="351"/>
      <c r="BH559" s="351"/>
      <c r="BI559" s="351"/>
      <c r="BJ559" s="351"/>
      <c r="BK559" s="351"/>
      <c r="BL559" s="351"/>
      <c r="BM559" s="351"/>
      <c r="BN559" s="351"/>
      <c r="BO559" s="351"/>
      <c r="BP559" s="351"/>
      <c r="BQ559" s="351"/>
      <c r="BR559" s="351"/>
      <c r="BS559" s="351"/>
      <c r="BT559" s="351"/>
      <c r="BU559" s="351"/>
      <c r="BV559" s="351"/>
      <c r="BW559" s="351"/>
      <c r="BX559" s="351"/>
      <c r="BY559" s="351"/>
      <c r="BZ559" s="351"/>
      <c r="CA559" s="351"/>
      <c r="CB559" s="351"/>
      <c r="CC559" s="351"/>
      <c r="CD559" s="351"/>
      <c r="CE559" s="351"/>
      <c r="CF559" s="351"/>
      <c r="CG559" s="352"/>
    </row>
    <row r="560" spans="1:85" s="353" customFormat="1" ht="13.9" customHeight="1" x14ac:dyDescent="0.2">
      <c r="A560" s="337" t="s">
        <v>158</v>
      </c>
      <c r="B560" s="338">
        <v>51</v>
      </c>
      <c r="C560" s="339" t="s">
        <v>617</v>
      </c>
      <c r="D560" s="340" t="s">
        <v>159</v>
      </c>
      <c r="E560" s="341"/>
      <c r="F560" s="341">
        <v>250000000</v>
      </c>
      <c r="G560" s="341"/>
      <c r="H560" s="340" t="s">
        <v>788</v>
      </c>
      <c r="I560" s="339" t="s">
        <v>751</v>
      </c>
      <c r="J560" s="338">
        <v>1</v>
      </c>
      <c r="K560" s="338">
        <v>1</v>
      </c>
      <c r="L560" s="338">
        <v>12</v>
      </c>
      <c r="M560" s="342">
        <f t="shared" si="96"/>
        <v>1</v>
      </c>
      <c r="N560" s="343" t="s">
        <v>36</v>
      </c>
      <c r="O560" s="344" t="str">
        <f>IF(ISBLANK(N560),"",VLOOKUP(N560,[20]Parámetros!$G$2:$H$23,2,FALSE))</f>
        <v xml:space="preserve">Contratación directa (con ofertas) </v>
      </c>
      <c r="P560" s="345">
        <f t="shared" si="102"/>
        <v>1</v>
      </c>
      <c r="Q560" s="346">
        <f t="shared" si="97"/>
        <v>250000000</v>
      </c>
      <c r="R560" s="346">
        <f t="shared" si="98"/>
        <v>250000000</v>
      </c>
      <c r="S560" s="347" t="s">
        <v>223</v>
      </c>
      <c r="T560" s="345">
        <f t="shared" si="103"/>
        <v>0</v>
      </c>
      <c r="U560" s="348" t="str">
        <f t="shared" si="99"/>
        <v>SUBDIRECCION DE GESTION CONTRACTUAL</v>
      </c>
      <c r="V560" s="345" t="str">
        <f t="shared" si="100"/>
        <v>CO-DC</v>
      </c>
      <c r="W560" s="345" t="str">
        <f t="shared" si="101"/>
        <v>Distrito Capital de Bogotá</v>
      </c>
      <c r="X560" s="340" t="s">
        <v>586</v>
      </c>
      <c r="Y560" s="338">
        <v>2427400</v>
      </c>
      <c r="Z560" s="349" t="s">
        <v>160</v>
      </c>
      <c r="AA560" s="350"/>
      <c r="AB560" s="350"/>
      <c r="AC560" s="350"/>
      <c r="AD560" s="350"/>
      <c r="AE560" s="350"/>
      <c r="AF560" s="350"/>
      <c r="AG560" s="350"/>
      <c r="AH560" s="350"/>
      <c r="AI560" s="350"/>
      <c r="AJ560" s="350"/>
      <c r="AK560" s="350"/>
      <c r="AL560" s="350"/>
      <c r="AM560" s="350"/>
      <c r="AN560" s="350"/>
      <c r="AO560" s="350"/>
      <c r="AP560" s="350"/>
      <c r="AQ560" s="350"/>
      <c r="AR560" s="350"/>
      <c r="AS560" s="350"/>
      <c r="AT560" s="350"/>
      <c r="AU560" s="351"/>
      <c r="AV560" s="351"/>
      <c r="AW560" s="351"/>
      <c r="AX560" s="351"/>
      <c r="AY560" s="351"/>
      <c r="AZ560" s="351"/>
      <c r="BA560" s="351"/>
      <c r="BB560" s="351"/>
      <c r="BC560" s="351"/>
      <c r="BD560" s="351"/>
      <c r="BE560" s="351"/>
      <c r="BF560" s="351"/>
      <c r="BG560" s="351"/>
      <c r="BH560" s="351"/>
      <c r="BI560" s="351"/>
      <c r="BJ560" s="351"/>
      <c r="BK560" s="351"/>
      <c r="BL560" s="351"/>
      <c r="BM560" s="351"/>
      <c r="BN560" s="351"/>
      <c r="BO560" s="351"/>
      <c r="BP560" s="351"/>
      <c r="BQ560" s="351"/>
      <c r="BR560" s="351"/>
      <c r="BS560" s="351"/>
      <c r="BT560" s="351"/>
      <c r="BU560" s="351"/>
      <c r="BV560" s="351"/>
      <c r="BW560" s="351"/>
      <c r="BX560" s="351"/>
      <c r="BY560" s="351"/>
      <c r="BZ560" s="351"/>
      <c r="CA560" s="351"/>
      <c r="CB560" s="351"/>
      <c r="CC560" s="351"/>
      <c r="CD560" s="351"/>
      <c r="CE560" s="351"/>
      <c r="CF560" s="351"/>
      <c r="CG560" s="352"/>
    </row>
    <row r="561" spans="1:85" s="353" customFormat="1" ht="13.9" customHeight="1" x14ac:dyDescent="0.2">
      <c r="A561" s="337" t="s">
        <v>158</v>
      </c>
      <c r="B561" s="338">
        <v>52</v>
      </c>
      <c r="C561" s="339" t="s">
        <v>617</v>
      </c>
      <c r="D561" s="340" t="s">
        <v>159</v>
      </c>
      <c r="E561" s="341"/>
      <c r="F561" s="341">
        <v>1459293457</v>
      </c>
      <c r="G561" s="341"/>
      <c r="H561" s="340" t="s">
        <v>792</v>
      </c>
      <c r="I561" s="339" t="s">
        <v>752</v>
      </c>
      <c r="J561" s="338">
        <v>1</v>
      </c>
      <c r="K561" s="338">
        <v>1</v>
      </c>
      <c r="L561" s="338">
        <v>12</v>
      </c>
      <c r="M561" s="342">
        <f t="shared" si="96"/>
        <v>1</v>
      </c>
      <c r="N561" s="343" t="s">
        <v>36</v>
      </c>
      <c r="O561" s="344" t="str">
        <f>IF(ISBLANK(N561),"",VLOOKUP(N561,[20]Parámetros!$G$2:$H$23,2,FALSE))</f>
        <v xml:space="preserve">Contratación directa (con ofertas) </v>
      </c>
      <c r="P561" s="345">
        <f t="shared" si="102"/>
        <v>1</v>
      </c>
      <c r="Q561" s="346">
        <f t="shared" si="97"/>
        <v>1459293457</v>
      </c>
      <c r="R561" s="346">
        <f t="shared" si="98"/>
        <v>1459293457</v>
      </c>
      <c r="S561" s="347" t="s">
        <v>223</v>
      </c>
      <c r="T561" s="345">
        <f t="shared" si="103"/>
        <v>0</v>
      </c>
      <c r="U561" s="348" t="str">
        <f t="shared" si="99"/>
        <v>SUBDIRECCION DE GESTION CONTRACTUAL</v>
      </c>
      <c r="V561" s="345" t="str">
        <f t="shared" si="100"/>
        <v>CO-DC</v>
      </c>
      <c r="W561" s="345" t="str">
        <f t="shared" si="101"/>
        <v>Distrito Capital de Bogotá</v>
      </c>
      <c r="X561" s="340" t="s">
        <v>586</v>
      </c>
      <c r="Y561" s="338">
        <v>2427400</v>
      </c>
      <c r="Z561" s="349" t="s">
        <v>160</v>
      </c>
      <c r="AA561" s="350"/>
      <c r="AB561" s="350"/>
      <c r="AC561" s="350"/>
      <c r="AD561" s="350"/>
      <c r="AE561" s="350"/>
      <c r="AF561" s="350"/>
      <c r="AG561" s="350"/>
      <c r="AH561" s="350"/>
      <c r="AI561" s="350"/>
      <c r="AJ561" s="350"/>
      <c r="AK561" s="350"/>
      <c r="AL561" s="350"/>
      <c r="AM561" s="350"/>
      <c r="AN561" s="350"/>
      <c r="AO561" s="350"/>
      <c r="AP561" s="350"/>
      <c r="AQ561" s="350"/>
      <c r="AR561" s="350"/>
      <c r="AS561" s="350"/>
      <c r="AT561" s="350"/>
      <c r="AU561" s="351"/>
      <c r="AV561" s="351"/>
      <c r="AW561" s="351"/>
      <c r="AX561" s="351"/>
      <c r="AY561" s="351"/>
      <c r="AZ561" s="351"/>
      <c r="BA561" s="351"/>
      <c r="BB561" s="351"/>
      <c r="BC561" s="351"/>
      <c r="BD561" s="351"/>
      <c r="BE561" s="351"/>
      <c r="BF561" s="351"/>
      <c r="BG561" s="351"/>
      <c r="BH561" s="351"/>
      <c r="BI561" s="351"/>
      <c r="BJ561" s="351"/>
      <c r="BK561" s="351"/>
      <c r="BL561" s="351"/>
      <c r="BM561" s="351"/>
      <c r="BN561" s="351"/>
      <c r="BO561" s="351"/>
      <c r="BP561" s="351"/>
      <c r="BQ561" s="351"/>
      <c r="BR561" s="351"/>
      <c r="BS561" s="351"/>
      <c r="BT561" s="351"/>
      <c r="BU561" s="351"/>
      <c r="BV561" s="351"/>
      <c r="BW561" s="351"/>
      <c r="BX561" s="351"/>
      <c r="BY561" s="351"/>
      <c r="BZ561" s="351"/>
      <c r="CA561" s="351"/>
      <c r="CB561" s="351"/>
      <c r="CC561" s="351"/>
      <c r="CD561" s="351"/>
      <c r="CE561" s="351"/>
      <c r="CF561" s="351"/>
      <c r="CG561" s="352"/>
    </row>
    <row r="562" spans="1:85" s="353" customFormat="1" ht="13.9" customHeight="1" x14ac:dyDescent="0.2">
      <c r="A562" s="337" t="s">
        <v>158</v>
      </c>
      <c r="B562" s="338">
        <v>53</v>
      </c>
      <c r="C562" s="339" t="s">
        <v>617</v>
      </c>
      <c r="D562" s="340" t="s">
        <v>159</v>
      </c>
      <c r="E562" s="341"/>
      <c r="F562" s="341">
        <v>147071700</v>
      </c>
      <c r="G562" s="341"/>
      <c r="H562" s="340" t="s">
        <v>788</v>
      </c>
      <c r="I562" s="339" t="s">
        <v>753</v>
      </c>
      <c r="J562" s="338">
        <v>1</v>
      </c>
      <c r="K562" s="338">
        <v>1</v>
      </c>
      <c r="L562" s="338">
        <v>12</v>
      </c>
      <c r="M562" s="342">
        <f t="shared" si="96"/>
        <v>1</v>
      </c>
      <c r="N562" s="343" t="s">
        <v>36</v>
      </c>
      <c r="O562" s="344" t="str">
        <f>IF(ISBLANK(N562),"",VLOOKUP(N562,[20]Parámetros!$G$2:$H$23,2,FALSE))</f>
        <v xml:space="preserve">Contratación directa (con ofertas) </v>
      </c>
      <c r="P562" s="345">
        <f t="shared" si="102"/>
        <v>1</v>
      </c>
      <c r="Q562" s="346">
        <f t="shared" si="97"/>
        <v>147071700</v>
      </c>
      <c r="R562" s="346">
        <f t="shared" si="98"/>
        <v>147071700</v>
      </c>
      <c r="S562" s="347" t="s">
        <v>223</v>
      </c>
      <c r="T562" s="345">
        <f t="shared" si="103"/>
        <v>0</v>
      </c>
      <c r="U562" s="348" t="str">
        <f t="shared" si="99"/>
        <v>SUBDIRECCION DE GESTION CONTRACTUAL</v>
      </c>
      <c r="V562" s="345" t="str">
        <f t="shared" si="100"/>
        <v>CO-DC</v>
      </c>
      <c r="W562" s="345" t="str">
        <f t="shared" si="101"/>
        <v>Distrito Capital de Bogotá</v>
      </c>
      <c r="X562" s="340" t="s">
        <v>586</v>
      </c>
      <c r="Y562" s="338">
        <v>2427400</v>
      </c>
      <c r="Z562" s="349" t="s">
        <v>160</v>
      </c>
      <c r="AA562" s="350"/>
      <c r="AB562" s="350"/>
      <c r="AC562" s="350"/>
      <c r="AD562" s="350"/>
      <c r="AE562" s="350"/>
      <c r="AF562" s="350"/>
      <c r="AG562" s="350"/>
      <c r="AH562" s="350"/>
      <c r="AI562" s="350"/>
      <c r="AJ562" s="350"/>
      <c r="AK562" s="350"/>
      <c r="AL562" s="350"/>
      <c r="AM562" s="350"/>
      <c r="AN562" s="350"/>
      <c r="AO562" s="350"/>
      <c r="AP562" s="350"/>
      <c r="AQ562" s="350"/>
      <c r="AR562" s="350"/>
      <c r="AS562" s="350"/>
      <c r="AT562" s="350"/>
      <c r="AU562" s="351"/>
      <c r="AV562" s="351"/>
      <c r="AW562" s="351"/>
      <c r="AX562" s="351"/>
      <c r="AY562" s="351"/>
      <c r="AZ562" s="351"/>
      <c r="BA562" s="351"/>
      <c r="BB562" s="351"/>
      <c r="BC562" s="351"/>
      <c r="BD562" s="351"/>
      <c r="BE562" s="351"/>
      <c r="BF562" s="351"/>
      <c r="BG562" s="351"/>
      <c r="BH562" s="351"/>
      <c r="BI562" s="351"/>
      <c r="BJ562" s="351"/>
      <c r="BK562" s="351"/>
      <c r="BL562" s="351"/>
      <c r="BM562" s="351"/>
      <c r="BN562" s="351"/>
      <c r="BO562" s="351"/>
      <c r="BP562" s="351"/>
      <c r="BQ562" s="351"/>
      <c r="BR562" s="351"/>
      <c r="BS562" s="351"/>
      <c r="BT562" s="351"/>
      <c r="BU562" s="351"/>
      <c r="BV562" s="351"/>
      <c r="BW562" s="351"/>
      <c r="BX562" s="351"/>
      <c r="BY562" s="351"/>
      <c r="BZ562" s="351"/>
      <c r="CA562" s="351"/>
      <c r="CB562" s="351"/>
      <c r="CC562" s="351"/>
      <c r="CD562" s="351"/>
      <c r="CE562" s="351"/>
      <c r="CF562" s="351"/>
      <c r="CG562" s="352"/>
    </row>
    <row r="563" spans="1:85" s="353" customFormat="1" ht="13.9" customHeight="1" x14ac:dyDescent="0.2">
      <c r="A563" s="337" t="s">
        <v>158</v>
      </c>
      <c r="B563" s="338">
        <v>54</v>
      </c>
      <c r="C563" s="339" t="s">
        <v>617</v>
      </c>
      <c r="D563" s="340" t="s">
        <v>159</v>
      </c>
      <c r="E563" s="341"/>
      <c r="F563" s="341">
        <v>393269024</v>
      </c>
      <c r="G563" s="341"/>
      <c r="H563" s="340" t="s">
        <v>792</v>
      </c>
      <c r="I563" s="339" t="s">
        <v>755</v>
      </c>
      <c r="J563" s="338">
        <v>1</v>
      </c>
      <c r="K563" s="338">
        <v>1</v>
      </c>
      <c r="L563" s="338">
        <v>12</v>
      </c>
      <c r="M563" s="342">
        <f t="shared" si="96"/>
        <v>1</v>
      </c>
      <c r="N563" s="343" t="s">
        <v>36</v>
      </c>
      <c r="O563" s="344" t="str">
        <f>IF(ISBLANK(N563),"",VLOOKUP(N563,[20]Parámetros!$G$2:$H$23,2,FALSE))</f>
        <v xml:space="preserve">Contratación directa (con ofertas) </v>
      </c>
      <c r="P563" s="345">
        <f t="shared" si="102"/>
        <v>1</v>
      </c>
      <c r="Q563" s="346">
        <f t="shared" si="97"/>
        <v>393269024</v>
      </c>
      <c r="R563" s="346">
        <f t="shared" si="98"/>
        <v>393269024</v>
      </c>
      <c r="S563" s="347" t="s">
        <v>223</v>
      </c>
      <c r="T563" s="345">
        <f t="shared" si="103"/>
        <v>0</v>
      </c>
      <c r="U563" s="348" t="str">
        <f t="shared" si="99"/>
        <v>SUBDIRECCION DE GESTION CONTRACTUAL</v>
      </c>
      <c r="V563" s="345" t="str">
        <f t="shared" si="100"/>
        <v>CO-DC</v>
      </c>
      <c r="W563" s="345" t="str">
        <f t="shared" si="101"/>
        <v>Distrito Capital de Bogotá</v>
      </c>
      <c r="X563" s="340" t="s">
        <v>586</v>
      </c>
      <c r="Y563" s="338">
        <v>2427400</v>
      </c>
      <c r="Z563" s="349" t="s">
        <v>160</v>
      </c>
      <c r="AA563" s="350"/>
      <c r="AB563" s="350"/>
      <c r="AC563" s="350"/>
      <c r="AD563" s="350"/>
      <c r="AE563" s="350"/>
      <c r="AF563" s="350"/>
      <c r="AG563" s="350"/>
      <c r="AH563" s="350"/>
      <c r="AI563" s="350"/>
      <c r="AJ563" s="350"/>
      <c r="AK563" s="350"/>
      <c r="AL563" s="350"/>
      <c r="AM563" s="350"/>
      <c r="AN563" s="350"/>
      <c r="AO563" s="350"/>
      <c r="AP563" s="350"/>
      <c r="AQ563" s="350"/>
      <c r="AR563" s="350"/>
      <c r="AS563" s="350"/>
      <c r="AT563" s="350"/>
      <c r="AU563" s="351"/>
      <c r="AV563" s="351"/>
      <c r="AW563" s="351"/>
      <c r="AX563" s="351"/>
      <c r="AY563" s="351"/>
      <c r="AZ563" s="351"/>
      <c r="BA563" s="351"/>
      <c r="BB563" s="351"/>
      <c r="BC563" s="351"/>
      <c r="BD563" s="351"/>
      <c r="BE563" s="351"/>
      <c r="BF563" s="351"/>
      <c r="BG563" s="351"/>
      <c r="BH563" s="351"/>
      <c r="BI563" s="351"/>
      <c r="BJ563" s="351"/>
      <c r="BK563" s="351"/>
      <c r="BL563" s="351"/>
      <c r="BM563" s="351"/>
      <c r="BN563" s="351"/>
      <c r="BO563" s="351"/>
      <c r="BP563" s="351"/>
      <c r="BQ563" s="351"/>
      <c r="BR563" s="351"/>
      <c r="BS563" s="351"/>
      <c r="BT563" s="351"/>
      <c r="BU563" s="351"/>
      <c r="BV563" s="351"/>
      <c r="BW563" s="351"/>
      <c r="BX563" s="351"/>
      <c r="BY563" s="351"/>
      <c r="BZ563" s="351"/>
      <c r="CA563" s="351"/>
      <c r="CB563" s="351"/>
      <c r="CC563" s="351"/>
      <c r="CD563" s="351"/>
      <c r="CE563" s="351"/>
      <c r="CF563" s="351"/>
      <c r="CG563" s="352"/>
    </row>
    <row r="564" spans="1:85" s="353" customFormat="1" ht="13.9" customHeight="1" x14ac:dyDescent="0.2">
      <c r="A564" s="337" t="s">
        <v>158</v>
      </c>
      <c r="B564" s="338">
        <v>55</v>
      </c>
      <c r="C564" s="339" t="s">
        <v>617</v>
      </c>
      <c r="D564" s="340" t="s">
        <v>159</v>
      </c>
      <c r="E564" s="341"/>
      <c r="F564" s="341">
        <v>1030400000</v>
      </c>
      <c r="G564" s="341"/>
      <c r="H564" s="340" t="s">
        <v>788</v>
      </c>
      <c r="I564" s="339" t="s">
        <v>754</v>
      </c>
      <c r="J564" s="338">
        <v>1</v>
      </c>
      <c r="K564" s="338">
        <v>1</v>
      </c>
      <c r="L564" s="338">
        <v>12</v>
      </c>
      <c r="M564" s="342">
        <f t="shared" si="96"/>
        <v>1</v>
      </c>
      <c r="N564" s="343" t="s">
        <v>36</v>
      </c>
      <c r="O564" s="344" t="str">
        <f>IF(ISBLANK(N564),"",VLOOKUP(N564,[20]Parámetros!$G$2:$H$23,2,FALSE))</f>
        <v xml:space="preserve">Contratación directa (con ofertas) </v>
      </c>
      <c r="P564" s="345">
        <f t="shared" si="102"/>
        <v>1</v>
      </c>
      <c r="Q564" s="346">
        <f t="shared" si="97"/>
        <v>1030400000</v>
      </c>
      <c r="R564" s="346">
        <f t="shared" si="98"/>
        <v>1030400000</v>
      </c>
      <c r="S564" s="347" t="s">
        <v>223</v>
      </c>
      <c r="T564" s="345">
        <f t="shared" si="103"/>
        <v>0</v>
      </c>
      <c r="U564" s="348" t="str">
        <f t="shared" si="99"/>
        <v>SUBDIRECCION DE GESTION CONTRACTUAL</v>
      </c>
      <c r="V564" s="345" t="str">
        <f t="shared" si="100"/>
        <v>CO-DC</v>
      </c>
      <c r="W564" s="345" t="str">
        <f t="shared" si="101"/>
        <v>Distrito Capital de Bogotá</v>
      </c>
      <c r="X564" s="340" t="s">
        <v>586</v>
      </c>
      <c r="Y564" s="338">
        <v>2427400</v>
      </c>
      <c r="Z564" s="349" t="s">
        <v>160</v>
      </c>
      <c r="AA564" s="350"/>
      <c r="AB564" s="350"/>
      <c r="AC564" s="350"/>
      <c r="AD564" s="350"/>
      <c r="AE564" s="350"/>
      <c r="AF564" s="350"/>
      <c r="AG564" s="350"/>
      <c r="AH564" s="350"/>
      <c r="AI564" s="350"/>
      <c r="AJ564" s="350"/>
      <c r="AK564" s="350"/>
      <c r="AL564" s="350"/>
      <c r="AM564" s="350"/>
      <c r="AN564" s="350"/>
      <c r="AO564" s="350"/>
      <c r="AP564" s="350"/>
      <c r="AQ564" s="350"/>
      <c r="AR564" s="350"/>
      <c r="AS564" s="350"/>
      <c r="AT564" s="350"/>
      <c r="AU564" s="351"/>
      <c r="AV564" s="351"/>
      <c r="AW564" s="351"/>
      <c r="AX564" s="351"/>
      <c r="AY564" s="351"/>
      <c r="AZ564" s="351"/>
      <c r="BA564" s="351"/>
      <c r="BB564" s="351"/>
      <c r="BC564" s="351"/>
      <c r="BD564" s="351"/>
      <c r="BE564" s="351"/>
      <c r="BF564" s="351"/>
      <c r="BG564" s="351"/>
      <c r="BH564" s="351"/>
      <c r="BI564" s="351"/>
      <c r="BJ564" s="351"/>
      <c r="BK564" s="351"/>
      <c r="BL564" s="351"/>
      <c r="BM564" s="351"/>
      <c r="BN564" s="351"/>
      <c r="BO564" s="351"/>
      <c r="BP564" s="351"/>
      <c r="BQ564" s="351"/>
      <c r="BR564" s="351"/>
      <c r="BS564" s="351"/>
      <c r="BT564" s="351"/>
      <c r="BU564" s="351"/>
      <c r="BV564" s="351"/>
      <c r="BW564" s="351"/>
      <c r="BX564" s="351"/>
      <c r="BY564" s="351"/>
      <c r="BZ564" s="351"/>
      <c r="CA564" s="351"/>
      <c r="CB564" s="351"/>
      <c r="CC564" s="351"/>
      <c r="CD564" s="351"/>
      <c r="CE564" s="351"/>
      <c r="CF564" s="351"/>
      <c r="CG564" s="352"/>
    </row>
    <row r="565" spans="1:85" s="353" customFormat="1" ht="13.9" customHeight="1" x14ac:dyDescent="0.2">
      <c r="A565" s="337" t="s">
        <v>158</v>
      </c>
      <c r="B565" s="338">
        <v>56</v>
      </c>
      <c r="C565" s="339" t="s">
        <v>617</v>
      </c>
      <c r="D565" s="340" t="s">
        <v>159</v>
      </c>
      <c r="E565" s="341"/>
      <c r="F565" s="341">
        <v>147071700</v>
      </c>
      <c r="G565" s="341"/>
      <c r="H565" s="340" t="s">
        <v>788</v>
      </c>
      <c r="I565" s="339" t="s">
        <v>756</v>
      </c>
      <c r="J565" s="338">
        <v>1</v>
      </c>
      <c r="K565" s="338">
        <v>1</v>
      </c>
      <c r="L565" s="338">
        <v>12</v>
      </c>
      <c r="M565" s="342">
        <f t="shared" si="96"/>
        <v>1</v>
      </c>
      <c r="N565" s="343" t="s">
        <v>36</v>
      </c>
      <c r="O565" s="344" t="str">
        <f>IF(ISBLANK(N565),"",VLOOKUP(N565,[20]Parámetros!$G$2:$H$23,2,FALSE))</f>
        <v xml:space="preserve">Contratación directa (con ofertas) </v>
      </c>
      <c r="P565" s="345">
        <f t="shared" si="102"/>
        <v>1</v>
      </c>
      <c r="Q565" s="346">
        <f t="shared" si="97"/>
        <v>147071700</v>
      </c>
      <c r="R565" s="346">
        <f t="shared" si="98"/>
        <v>147071700</v>
      </c>
      <c r="S565" s="347" t="s">
        <v>223</v>
      </c>
      <c r="T565" s="345">
        <f t="shared" si="103"/>
        <v>0</v>
      </c>
      <c r="U565" s="348" t="str">
        <f t="shared" si="99"/>
        <v>SUBDIRECCION DE GESTION CONTRACTUAL</v>
      </c>
      <c r="V565" s="345" t="str">
        <f t="shared" si="100"/>
        <v>CO-DC</v>
      </c>
      <c r="W565" s="345" t="str">
        <f t="shared" si="101"/>
        <v>Distrito Capital de Bogotá</v>
      </c>
      <c r="X565" s="340" t="s">
        <v>586</v>
      </c>
      <c r="Y565" s="338">
        <v>2427400</v>
      </c>
      <c r="Z565" s="349" t="s">
        <v>160</v>
      </c>
      <c r="AA565" s="350"/>
      <c r="AB565" s="350"/>
      <c r="AC565" s="350"/>
      <c r="AD565" s="350"/>
      <c r="AE565" s="350"/>
      <c r="AF565" s="350"/>
      <c r="AG565" s="350"/>
      <c r="AH565" s="350"/>
      <c r="AI565" s="350"/>
      <c r="AJ565" s="350"/>
      <c r="AK565" s="350"/>
      <c r="AL565" s="350"/>
      <c r="AM565" s="350"/>
      <c r="AN565" s="350"/>
      <c r="AO565" s="350"/>
      <c r="AP565" s="350"/>
      <c r="AQ565" s="350"/>
      <c r="AR565" s="350"/>
      <c r="AS565" s="350"/>
      <c r="AT565" s="350"/>
      <c r="AU565" s="351"/>
      <c r="AV565" s="351"/>
      <c r="AW565" s="351"/>
      <c r="AX565" s="351"/>
      <c r="AY565" s="351"/>
      <c r="AZ565" s="351"/>
      <c r="BA565" s="351"/>
      <c r="BB565" s="351"/>
      <c r="BC565" s="351"/>
      <c r="BD565" s="351"/>
      <c r="BE565" s="351"/>
      <c r="BF565" s="351"/>
      <c r="BG565" s="351"/>
      <c r="BH565" s="351"/>
      <c r="BI565" s="351"/>
      <c r="BJ565" s="351"/>
      <c r="BK565" s="351"/>
      <c r="BL565" s="351"/>
      <c r="BM565" s="351"/>
      <c r="BN565" s="351"/>
      <c r="BO565" s="351"/>
      <c r="BP565" s="351"/>
      <c r="BQ565" s="351"/>
      <c r="BR565" s="351"/>
      <c r="BS565" s="351"/>
      <c r="BT565" s="351"/>
      <c r="BU565" s="351"/>
      <c r="BV565" s="351"/>
      <c r="BW565" s="351"/>
      <c r="BX565" s="351"/>
      <c r="BY565" s="351"/>
      <c r="BZ565" s="351"/>
      <c r="CA565" s="351"/>
      <c r="CB565" s="351"/>
      <c r="CC565" s="351"/>
      <c r="CD565" s="351"/>
      <c r="CE565" s="351"/>
      <c r="CF565" s="351"/>
      <c r="CG565" s="352"/>
    </row>
    <row r="566" spans="1:85" s="353" customFormat="1" ht="13.9" customHeight="1" x14ac:dyDescent="0.2">
      <c r="A566" s="337" t="s">
        <v>158</v>
      </c>
      <c r="B566" s="338">
        <v>57</v>
      </c>
      <c r="C566" s="339" t="s">
        <v>617</v>
      </c>
      <c r="D566" s="340" t="s">
        <v>159</v>
      </c>
      <c r="E566" s="341"/>
      <c r="F566" s="341">
        <v>448548607</v>
      </c>
      <c r="G566" s="341"/>
      <c r="H566" s="340" t="s">
        <v>792</v>
      </c>
      <c r="I566" s="339" t="s">
        <v>757</v>
      </c>
      <c r="J566" s="338">
        <v>1</v>
      </c>
      <c r="K566" s="338">
        <v>1</v>
      </c>
      <c r="L566" s="338">
        <v>12</v>
      </c>
      <c r="M566" s="342">
        <f t="shared" si="96"/>
        <v>1</v>
      </c>
      <c r="N566" s="343" t="s">
        <v>36</v>
      </c>
      <c r="O566" s="344" t="str">
        <f>IF(ISBLANK(N566),"",VLOOKUP(N566,[20]Parámetros!$G$2:$H$23,2,FALSE))</f>
        <v xml:space="preserve">Contratación directa (con ofertas) </v>
      </c>
      <c r="P566" s="345">
        <f t="shared" si="102"/>
        <v>1</v>
      </c>
      <c r="Q566" s="346">
        <f t="shared" si="97"/>
        <v>448548607</v>
      </c>
      <c r="R566" s="346">
        <f t="shared" si="98"/>
        <v>448548607</v>
      </c>
      <c r="S566" s="347" t="s">
        <v>223</v>
      </c>
      <c r="T566" s="345">
        <f t="shared" si="103"/>
        <v>0</v>
      </c>
      <c r="U566" s="348" t="str">
        <f t="shared" si="99"/>
        <v>SUBDIRECCION DE GESTION CONTRACTUAL</v>
      </c>
      <c r="V566" s="345" t="str">
        <f t="shared" si="100"/>
        <v>CO-DC</v>
      </c>
      <c r="W566" s="345" t="str">
        <f t="shared" si="101"/>
        <v>Distrito Capital de Bogotá</v>
      </c>
      <c r="X566" s="340" t="s">
        <v>586</v>
      </c>
      <c r="Y566" s="338">
        <v>2427400</v>
      </c>
      <c r="Z566" s="349" t="s">
        <v>160</v>
      </c>
      <c r="AA566" s="350"/>
      <c r="AB566" s="350"/>
      <c r="AC566" s="350"/>
      <c r="AD566" s="350"/>
      <c r="AE566" s="350"/>
      <c r="AF566" s="350"/>
      <c r="AG566" s="350"/>
      <c r="AH566" s="350"/>
      <c r="AI566" s="350"/>
      <c r="AJ566" s="350"/>
      <c r="AK566" s="350"/>
      <c r="AL566" s="350"/>
      <c r="AM566" s="350"/>
      <c r="AN566" s="350"/>
      <c r="AO566" s="350"/>
      <c r="AP566" s="350"/>
      <c r="AQ566" s="350"/>
      <c r="AR566" s="350"/>
      <c r="AS566" s="350"/>
      <c r="AT566" s="350"/>
      <c r="AU566" s="351"/>
      <c r="AV566" s="351"/>
      <c r="AW566" s="351"/>
      <c r="AX566" s="351"/>
      <c r="AY566" s="351"/>
      <c r="AZ566" s="351"/>
      <c r="BA566" s="351"/>
      <c r="BB566" s="351"/>
      <c r="BC566" s="351"/>
      <c r="BD566" s="351"/>
      <c r="BE566" s="351"/>
      <c r="BF566" s="351"/>
      <c r="BG566" s="351"/>
      <c r="BH566" s="351"/>
      <c r="BI566" s="351"/>
      <c r="BJ566" s="351"/>
      <c r="BK566" s="351"/>
      <c r="BL566" s="351"/>
      <c r="BM566" s="351"/>
      <c r="BN566" s="351"/>
      <c r="BO566" s="351"/>
      <c r="BP566" s="351"/>
      <c r="BQ566" s="351"/>
      <c r="BR566" s="351"/>
      <c r="BS566" s="351"/>
      <c r="BT566" s="351"/>
      <c r="BU566" s="351"/>
      <c r="BV566" s="351"/>
      <c r="BW566" s="351"/>
      <c r="BX566" s="351"/>
      <c r="BY566" s="351"/>
      <c r="BZ566" s="351"/>
      <c r="CA566" s="351"/>
      <c r="CB566" s="351"/>
      <c r="CC566" s="351"/>
      <c r="CD566" s="351"/>
      <c r="CE566" s="351"/>
      <c r="CF566" s="351"/>
      <c r="CG566" s="352"/>
    </row>
    <row r="567" spans="1:85" s="353" customFormat="1" ht="13.9" customHeight="1" x14ac:dyDescent="0.2">
      <c r="A567" s="337" t="s">
        <v>158</v>
      </c>
      <c r="B567" s="338">
        <v>58</v>
      </c>
      <c r="C567" s="339" t="s">
        <v>617</v>
      </c>
      <c r="D567" s="340" t="s">
        <v>159</v>
      </c>
      <c r="E567" s="341"/>
      <c r="F567" s="341">
        <v>414000000</v>
      </c>
      <c r="G567" s="341"/>
      <c r="H567" s="340" t="s">
        <v>788</v>
      </c>
      <c r="I567" s="339" t="s">
        <v>758</v>
      </c>
      <c r="J567" s="338">
        <v>1</v>
      </c>
      <c r="K567" s="338">
        <v>1</v>
      </c>
      <c r="L567" s="338">
        <v>12</v>
      </c>
      <c r="M567" s="342">
        <f t="shared" si="96"/>
        <v>1</v>
      </c>
      <c r="N567" s="343" t="s">
        <v>36</v>
      </c>
      <c r="O567" s="344" t="str">
        <f>IF(ISBLANK(N567),"",VLOOKUP(N567,[20]Parámetros!$G$2:$H$23,2,FALSE))</f>
        <v xml:space="preserve">Contratación directa (con ofertas) </v>
      </c>
      <c r="P567" s="345">
        <f t="shared" si="102"/>
        <v>1</v>
      </c>
      <c r="Q567" s="346">
        <f t="shared" si="97"/>
        <v>414000000</v>
      </c>
      <c r="R567" s="346">
        <f t="shared" si="98"/>
        <v>414000000</v>
      </c>
      <c r="S567" s="347" t="s">
        <v>223</v>
      </c>
      <c r="T567" s="345">
        <f t="shared" si="103"/>
        <v>0</v>
      </c>
      <c r="U567" s="348" t="str">
        <f t="shared" si="99"/>
        <v>SUBDIRECCION DE GESTION CONTRACTUAL</v>
      </c>
      <c r="V567" s="345" t="str">
        <f t="shared" si="100"/>
        <v>CO-DC</v>
      </c>
      <c r="W567" s="345" t="str">
        <f t="shared" si="101"/>
        <v>Distrito Capital de Bogotá</v>
      </c>
      <c r="X567" s="340" t="s">
        <v>586</v>
      </c>
      <c r="Y567" s="338">
        <v>2427400</v>
      </c>
      <c r="Z567" s="349" t="s">
        <v>160</v>
      </c>
      <c r="AA567" s="350"/>
      <c r="AB567" s="350"/>
      <c r="AC567" s="350"/>
      <c r="AD567" s="350"/>
      <c r="AE567" s="350"/>
      <c r="AF567" s="350"/>
      <c r="AG567" s="350"/>
      <c r="AH567" s="350"/>
      <c r="AI567" s="350"/>
      <c r="AJ567" s="350"/>
      <c r="AK567" s="350"/>
      <c r="AL567" s="350"/>
      <c r="AM567" s="350"/>
      <c r="AN567" s="350"/>
      <c r="AO567" s="350"/>
      <c r="AP567" s="350"/>
      <c r="AQ567" s="350"/>
      <c r="AR567" s="350"/>
      <c r="AS567" s="350"/>
      <c r="AT567" s="350"/>
      <c r="AU567" s="351"/>
      <c r="AV567" s="351"/>
      <c r="AW567" s="351"/>
      <c r="AX567" s="351"/>
      <c r="AY567" s="351"/>
      <c r="AZ567" s="351"/>
      <c r="BA567" s="351"/>
      <c r="BB567" s="351"/>
      <c r="BC567" s="351"/>
      <c r="BD567" s="351"/>
      <c r="BE567" s="351"/>
      <c r="BF567" s="351"/>
      <c r="BG567" s="351"/>
      <c r="BH567" s="351"/>
      <c r="BI567" s="351"/>
      <c r="BJ567" s="351"/>
      <c r="BK567" s="351"/>
      <c r="BL567" s="351"/>
      <c r="BM567" s="351"/>
      <c r="BN567" s="351"/>
      <c r="BO567" s="351"/>
      <c r="BP567" s="351"/>
      <c r="BQ567" s="351"/>
      <c r="BR567" s="351"/>
      <c r="BS567" s="351"/>
      <c r="BT567" s="351"/>
      <c r="BU567" s="351"/>
      <c r="BV567" s="351"/>
      <c r="BW567" s="351"/>
      <c r="BX567" s="351"/>
      <c r="BY567" s="351"/>
      <c r="BZ567" s="351"/>
      <c r="CA567" s="351"/>
      <c r="CB567" s="351"/>
      <c r="CC567" s="351"/>
      <c r="CD567" s="351"/>
      <c r="CE567" s="351"/>
      <c r="CF567" s="351"/>
      <c r="CG567" s="352"/>
    </row>
    <row r="568" spans="1:85" s="353" customFormat="1" ht="13.9" customHeight="1" x14ac:dyDescent="0.2">
      <c r="A568" s="337" t="s">
        <v>158</v>
      </c>
      <c r="B568" s="338">
        <v>59</v>
      </c>
      <c r="C568" s="339" t="s">
        <v>617</v>
      </c>
      <c r="D568" s="340" t="s">
        <v>159</v>
      </c>
      <c r="E568" s="341"/>
      <c r="F568" s="341">
        <v>514750950</v>
      </c>
      <c r="G568" s="341"/>
      <c r="H568" s="340" t="s">
        <v>788</v>
      </c>
      <c r="I568" s="339" t="s">
        <v>759</v>
      </c>
      <c r="J568" s="338">
        <v>1</v>
      </c>
      <c r="K568" s="338">
        <v>1</v>
      </c>
      <c r="L568" s="338">
        <v>12</v>
      </c>
      <c r="M568" s="342">
        <f t="shared" si="96"/>
        <v>1</v>
      </c>
      <c r="N568" s="343" t="s">
        <v>36</v>
      </c>
      <c r="O568" s="344" t="str">
        <f>IF(ISBLANK(N568),"",VLOOKUP(N568,[20]Parámetros!$G$2:$H$23,2,FALSE))</f>
        <v xml:space="preserve">Contratación directa (con ofertas) </v>
      </c>
      <c r="P568" s="345">
        <f t="shared" si="102"/>
        <v>1</v>
      </c>
      <c r="Q568" s="346">
        <f t="shared" si="97"/>
        <v>514750950</v>
      </c>
      <c r="R568" s="346">
        <f t="shared" si="98"/>
        <v>514750950</v>
      </c>
      <c r="S568" s="347" t="s">
        <v>223</v>
      </c>
      <c r="T568" s="345">
        <f t="shared" si="103"/>
        <v>0</v>
      </c>
      <c r="U568" s="348" t="str">
        <f t="shared" si="99"/>
        <v>SUBDIRECCION DE GESTION CONTRACTUAL</v>
      </c>
      <c r="V568" s="345" t="str">
        <f t="shared" si="100"/>
        <v>CO-DC</v>
      </c>
      <c r="W568" s="345" t="str">
        <f t="shared" si="101"/>
        <v>Distrito Capital de Bogotá</v>
      </c>
      <c r="X568" s="340" t="s">
        <v>586</v>
      </c>
      <c r="Y568" s="338">
        <v>2427400</v>
      </c>
      <c r="Z568" s="349" t="s">
        <v>160</v>
      </c>
      <c r="AA568" s="350"/>
      <c r="AB568" s="350"/>
      <c r="AC568" s="350"/>
      <c r="AD568" s="350"/>
      <c r="AE568" s="350"/>
      <c r="AF568" s="350"/>
      <c r="AG568" s="350"/>
      <c r="AH568" s="350"/>
      <c r="AI568" s="350"/>
      <c r="AJ568" s="350"/>
      <c r="AK568" s="350"/>
      <c r="AL568" s="350"/>
      <c r="AM568" s="350"/>
      <c r="AN568" s="350"/>
      <c r="AO568" s="350"/>
      <c r="AP568" s="350"/>
      <c r="AQ568" s="350"/>
      <c r="AR568" s="350"/>
      <c r="AS568" s="350"/>
      <c r="AT568" s="350"/>
      <c r="AU568" s="351"/>
      <c r="AV568" s="351"/>
      <c r="AW568" s="351"/>
      <c r="AX568" s="351"/>
      <c r="AY568" s="351"/>
      <c r="AZ568" s="351"/>
      <c r="BA568" s="351"/>
      <c r="BB568" s="351"/>
      <c r="BC568" s="351"/>
      <c r="BD568" s="351"/>
      <c r="BE568" s="351"/>
      <c r="BF568" s="351"/>
      <c r="BG568" s="351"/>
      <c r="BH568" s="351"/>
      <c r="BI568" s="351"/>
      <c r="BJ568" s="351"/>
      <c r="BK568" s="351"/>
      <c r="BL568" s="351"/>
      <c r="BM568" s="351"/>
      <c r="BN568" s="351"/>
      <c r="BO568" s="351"/>
      <c r="BP568" s="351"/>
      <c r="BQ568" s="351"/>
      <c r="BR568" s="351"/>
      <c r="BS568" s="351"/>
      <c r="BT568" s="351"/>
      <c r="BU568" s="351"/>
      <c r="BV568" s="351"/>
      <c r="BW568" s="351"/>
      <c r="BX568" s="351"/>
      <c r="BY568" s="351"/>
      <c r="BZ568" s="351"/>
      <c r="CA568" s="351"/>
      <c r="CB568" s="351"/>
      <c r="CC568" s="351"/>
      <c r="CD568" s="351"/>
      <c r="CE568" s="351"/>
      <c r="CF568" s="351"/>
      <c r="CG568" s="352"/>
    </row>
    <row r="569" spans="1:85" s="353" customFormat="1" ht="13.9" customHeight="1" x14ac:dyDescent="0.2">
      <c r="A569" s="337" t="s">
        <v>158</v>
      </c>
      <c r="B569" s="338">
        <v>60</v>
      </c>
      <c r="C569" s="339" t="s">
        <v>617</v>
      </c>
      <c r="D569" s="340" t="s">
        <v>159</v>
      </c>
      <c r="E569" s="341"/>
      <c r="F569" s="341">
        <v>215180000</v>
      </c>
      <c r="G569" s="341"/>
      <c r="H569" s="340" t="s">
        <v>788</v>
      </c>
      <c r="I569" s="339" t="s">
        <v>760</v>
      </c>
      <c r="J569" s="338">
        <v>1</v>
      </c>
      <c r="K569" s="338">
        <v>1</v>
      </c>
      <c r="L569" s="338">
        <v>12</v>
      </c>
      <c r="M569" s="342">
        <f t="shared" si="96"/>
        <v>1</v>
      </c>
      <c r="N569" s="343" t="s">
        <v>36</v>
      </c>
      <c r="O569" s="344" t="str">
        <f>IF(ISBLANK(N569),"",VLOOKUP(N569,[20]Parámetros!$G$2:$H$23,2,FALSE))</f>
        <v xml:space="preserve">Contratación directa (con ofertas) </v>
      </c>
      <c r="P569" s="345">
        <f t="shared" si="102"/>
        <v>1</v>
      </c>
      <c r="Q569" s="346">
        <f t="shared" si="97"/>
        <v>215180000</v>
      </c>
      <c r="R569" s="346">
        <f t="shared" si="98"/>
        <v>215180000</v>
      </c>
      <c r="S569" s="347" t="s">
        <v>223</v>
      </c>
      <c r="T569" s="345">
        <f t="shared" si="103"/>
        <v>0</v>
      </c>
      <c r="U569" s="348" t="str">
        <f t="shared" si="99"/>
        <v>SUBDIRECCION DE GESTION CONTRACTUAL</v>
      </c>
      <c r="V569" s="345" t="str">
        <f t="shared" si="100"/>
        <v>CO-DC</v>
      </c>
      <c r="W569" s="345" t="str">
        <f t="shared" si="101"/>
        <v>Distrito Capital de Bogotá</v>
      </c>
      <c r="X569" s="340" t="s">
        <v>586</v>
      </c>
      <c r="Y569" s="338">
        <v>2427400</v>
      </c>
      <c r="Z569" s="349" t="s">
        <v>160</v>
      </c>
      <c r="AA569" s="350"/>
      <c r="AB569" s="350"/>
      <c r="AC569" s="350"/>
      <c r="AD569" s="350"/>
      <c r="AE569" s="350"/>
      <c r="AF569" s="350"/>
      <c r="AG569" s="350"/>
      <c r="AH569" s="350"/>
      <c r="AI569" s="350"/>
      <c r="AJ569" s="350"/>
      <c r="AK569" s="350"/>
      <c r="AL569" s="350"/>
      <c r="AM569" s="350"/>
      <c r="AN569" s="350"/>
      <c r="AO569" s="350"/>
      <c r="AP569" s="350"/>
      <c r="AQ569" s="350"/>
      <c r="AR569" s="350"/>
      <c r="AS569" s="350"/>
      <c r="AT569" s="350"/>
      <c r="AU569" s="351"/>
      <c r="AV569" s="351"/>
      <c r="AW569" s="351"/>
      <c r="AX569" s="351"/>
      <c r="AY569" s="351"/>
      <c r="AZ569" s="351"/>
      <c r="BA569" s="351"/>
      <c r="BB569" s="351"/>
      <c r="BC569" s="351"/>
      <c r="BD569" s="351"/>
      <c r="BE569" s="351"/>
      <c r="BF569" s="351"/>
      <c r="BG569" s="351"/>
      <c r="BH569" s="351"/>
      <c r="BI569" s="351"/>
      <c r="BJ569" s="351"/>
      <c r="BK569" s="351"/>
      <c r="BL569" s="351"/>
      <c r="BM569" s="351"/>
      <c r="BN569" s="351"/>
      <c r="BO569" s="351"/>
      <c r="BP569" s="351"/>
      <c r="BQ569" s="351"/>
      <c r="BR569" s="351"/>
      <c r="BS569" s="351"/>
      <c r="BT569" s="351"/>
      <c r="BU569" s="351"/>
      <c r="BV569" s="351"/>
      <c r="BW569" s="351"/>
      <c r="BX569" s="351"/>
      <c r="BY569" s="351"/>
      <c r="BZ569" s="351"/>
      <c r="CA569" s="351"/>
      <c r="CB569" s="351"/>
      <c r="CC569" s="351"/>
      <c r="CD569" s="351"/>
      <c r="CE569" s="351"/>
      <c r="CF569" s="351"/>
      <c r="CG569" s="352"/>
    </row>
    <row r="570" spans="1:85" s="353" customFormat="1" ht="13.9" customHeight="1" x14ac:dyDescent="0.2">
      <c r="A570" s="337" t="s">
        <v>158</v>
      </c>
      <c r="B570" s="338">
        <v>61</v>
      </c>
      <c r="C570" s="339" t="s">
        <v>617</v>
      </c>
      <c r="D570" s="340" t="s">
        <v>159</v>
      </c>
      <c r="E570" s="341"/>
      <c r="F570" s="341">
        <v>6901188760</v>
      </c>
      <c r="G570" s="341"/>
      <c r="H570" s="340" t="s">
        <v>792</v>
      </c>
      <c r="I570" s="339" t="s">
        <v>761</v>
      </c>
      <c r="J570" s="338">
        <v>1</v>
      </c>
      <c r="K570" s="338">
        <v>1</v>
      </c>
      <c r="L570" s="338">
        <v>12</v>
      </c>
      <c r="M570" s="342">
        <f t="shared" si="96"/>
        <v>1</v>
      </c>
      <c r="N570" s="343" t="s">
        <v>36</v>
      </c>
      <c r="O570" s="344" t="str">
        <f>IF(ISBLANK(N570),"",VLOOKUP(N570,[20]Parámetros!$G$2:$H$23,2,FALSE))</f>
        <v xml:space="preserve">Contratación directa (con ofertas) </v>
      </c>
      <c r="P570" s="345">
        <f t="shared" si="102"/>
        <v>1</v>
      </c>
      <c r="Q570" s="346">
        <f t="shared" si="97"/>
        <v>6901188760</v>
      </c>
      <c r="R570" s="346">
        <f t="shared" si="98"/>
        <v>6901188760</v>
      </c>
      <c r="S570" s="347" t="s">
        <v>223</v>
      </c>
      <c r="T570" s="345">
        <f t="shared" si="103"/>
        <v>0</v>
      </c>
      <c r="U570" s="348" t="str">
        <f t="shared" si="99"/>
        <v>SUBDIRECCION DE GESTION CONTRACTUAL</v>
      </c>
      <c r="V570" s="345" t="str">
        <f t="shared" si="100"/>
        <v>CO-DC</v>
      </c>
      <c r="W570" s="345" t="str">
        <f t="shared" si="101"/>
        <v>Distrito Capital de Bogotá</v>
      </c>
      <c r="X570" s="340" t="s">
        <v>586</v>
      </c>
      <c r="Y570" s="338">
        <v>2427400</v>
      </c>
      <c r="Z570" s="349" t="s">
        <v>160</v>
      </c>
      <c r="AA570" s="350"/>
      <c r="AB570" s="350"/>
      <c r="AC570" s="350"/>
      <c r="AD570" s="350"/>
      <c r="AE570" s="350"/>
      <c r="AF570" s="350"/>
      <c r="AG570" s="350"/>
      <c r="AH570" s="350"/>
      <c r="AI570" s="350"/>
      <c r="AJ570" s="350"/>
      <c r="AK570" s="350"/>
      <c r="AL570" s="350"/>
      <c r="AM570" s="350"/>
      <c r="AN570" s="350"/>
      <c r="AO570" s="350"/>
      <c r="AP570" s="350"/>
      <c r="AQ570" s="350"/>
      <c r="AR570" s="350"/>
      <c r="AS570" s="350"/>
      <c r="AT570" s="350"/>
      <c r="AU570" s="351"/>
      <c r="AV570" s="351"/>
      <c r="AW570" s="351"/>
      <c r="AX570" s="351"/>
      <c r="AY570" s="351"/>
      <c r="AZ570" s="351"/>
      <c r="BA570" s="351"/>
      <c r="BB570" s="351"/>
      <c r="BC570" s="351"/>
      <c r="BD570" s="351"/>
      <c r="BE570" s="351"/>
      <c r="BF570" s="351"/>
      <c r="BG570" s="351"/>
      <c r="BH570" s="351"/>
      <c r="BI570" s="351"/>
      <c r="BJ570" s="351"/>
      <c r="BK570" s="351"/>
      <c r="BL570" s="351"/>
      <c r="BM570" s="351"/>
      <c r="BN570" s="351"/>
      <c r="BO570" s="351"/>
      <c r="BP570" s="351"/>
      <c r="BQ570" s="351"/>
      <c r="BR570" s="351"/>
      <c r="BS570" s="351"/>
      <c r="BT570" s="351"/>
      <c r="BU570" s="351"/>
      <c r="BV570" s="351"/>
      <c r="BW570" s="351"/>
      <c r="BX570" s="351"/>
      <c r="BY570" s="351"/>
      <c r="BZ570" s="351"/>
      <c r="CA570" s="351"/>
      <c r="CB570" s="351"/>
      <c r="CC570" s="351"/>
      <c r="CD570" s="351"/>
      <c r="CE570" s="351"/>
      <c r="CF570" s="351"/>
      <c r="CG570" s="352"/>
    </row>
    <row r="571" spans="1:85" s="353" customFormat="1" ht="13.9" customHeight="1" x14ac:dyDescent="0.2">
      <c r="A571" s="337" t="s">
        <v>158</v>
      </c>
      <c r="B571" s="338">
        <v>62</v>
      </c>
      <c r="C571" s="339" t="s">
        <v>617</v>
      </c>
      <c r="D571" s="340" t="s">
        <v>159</v>
      </c>
      <c r="E571" s="341"/>
      <c r="F571" s="341">
        <v>441215100</v>
      </c>
      <c r="G571" s="341"/>
      <c r="H571" s="340" t="s">
        <v>788</v>
      </c>
      <c r="I571" s="339" t="s">
        <v>762</v>
      </c>
      <c r="J571" s="338">
        <v>1</v>
      </c>
      <c r="K571" s="338">
        <v>1</v>
      </c>
      <c r="L571" s="338">
        <v>12</v>
      </c>
      <c r="M571" s="342">
        <f t="shared" si="96"/>
        <v>1</v>
      </c>
      <c r="N571" s="343" t="s">
        <v>36</v>
      </c>
      <c r="O571" s="344" t="str">
        <f>IF(ISBLANK(N571),"",VLOOKUP(N571,[20]Parámetros!$G$2:$H$23,2,FALSE))</f>
        <v xml:space="preserve">Contratación directa (con ofertas) </v>
      </c>
      <c r="P571" s="345">
        <f t="shared" si="102"/>
        <v>1</v>
      </c>
      <c r="Q571" s="346">
        <f t="shared" si="97"/>
        <v>441215100</v>
      </c>
      <c r="R571" s="346">
        <f t="shared" si="98"/>
        <v>441215100</v>
      </c>
      <c r="S571" s="347" t="s">
        <v>223</v>
      </c>
      <c r="T571" s="345">
        <f t="shared" si="103"/>
        <v>0</v>
      </c>
      <c r="U571" s="348" t="str">
        <f t="shared" si="99"/>
        <v>SUBDIRECCION DE GESTION CONTRACTUAL</v>
      </c>
      <c r="V571" s="345" t="str">
        <f t="shared" si="100"/>
        <v>CO-DC</v>
      </c>
      <c r="W571" s="345" t="str">
        <f t="shared" si="101"/>
        <v>Distrito Capital de Bogotá</v>
      </c>
      <c r="X571" s="340" t="s">
        <v>586</v>
      </c>
      <c r="Y571" s="338">
        <v>2427400</v>
      </c>
      <c r="Z571" s="349" t="s">
        <v>160</v>
      </c>
      <c r="AA571" s="350"/>
      <c r="AB571" s="350"/>
      <c r="AC571" s="350"/>
      <c r="AD571" s="350"/>
      <c r="AE571" s="350"/>
      <c r="AF571" s="350"/>
      <c r="AG571" s="350"/>
      <c r="AH571" s="350"/>
      <c r="AI571" s="350"/>
      <c r="AJ571" s="350"/>
      <c r="AK571" s="350"/>
      <c r="AL571" s="350"/>
      <c r="AM571" s="350"/>
      <c r="AN571" s="350"/>
      <c r="AO571" s="350"/>
      <c r="AP571" s="350"/>
      <c r="AQ571" s="350"/>
      <c r="AR571" s="350"/>
      <c r="AS571" s="350"/>
      <c r="AT571" s="350"/>
      <c r="AU571" s="351"/>
      <c r="AV571" s="351"/>
      <c r="AW571" s="351"/>
      <c r="AX571" s="351"/>
      <c r="AY571" s="351"/>
      <c r="AZ571" s="351"/>
      <c r="BA571" s="351"/>
      <c r="BB571" s="351"/>
      <c r="BC571" s="351"/>
      <c r="BD571" s="351"/>
      <c r="BE571" s="351"/>
      <c r="BF571" s="351"/>
      <c r="BG571" s="351"/>
      <c r="BH571" s="351"/>
      <c r="BI571" s="351"/>
      <c r="BJ571" s="351"/>
      <c r="BK571" s="351"/>
      <c r="BL571" s="351"/>
      <c r="BM571" s="351"/>
      <c r="BN571" s="351"/>
      <c r="BO571" s="351"/>
      <c r="BP571" s="351"/>
      <c r="BQ571" s="351"/>
      <c r="BR571" s="351"/>
      <c r="BS571" s="351"/>
      <c r="BT571" s="351"/>
      <c r="BU571" s="351"/>
      <c r="BV571" s="351"/>
      <c r="BW571" s="351"/>
      <c r="BX571" s="351"/>
      <c r="BY571" s="351"/>
      <c r="BZ571" s="351"/>
      <c r="CA571" s="351"/>
      <c r="CB571" s="351"/>
      <c r="CC571" s="351"/>
      <c r="CD571" s="351"/>
      <c r="CE571" s="351"/>
      <c r="CF571" s="351"/>
      <c r="CG571" s="352"/>
    </row>
    <row r="572" spans="1:85" s="353" customFormat="1" ht="13.9" customHeight="1" x14ac:dyDescent="0.2">
      <c r="A572" s="337" t="s">
        <v>158</v>
      </c>
      <c r="B572" s="338">
        <v>63</v>
      </c>
      <c r="C572" s="339" t="s">
        <v>617</v>
      </c>
      <c r="D572" s="340" t="s">
        <v>159</v>
      </c>
      <c r="E572" s="341"/>
      <c r="F572" s="341">
        <v>448224357</v>
      </c>
      <c r="G572" s="341"/>
      <c r="H572" s="340" t="s">
        <v>788</v>
      </c>
      <c r="I572" s="339" t="s">
        <v>763</v>
      </c>
      <c r="J572" s="338">
        <v>1</v>
      </c>
      <c r="K572" s="338">
        <v>1</v>
      </c>
      <c r="L572" s="338">
        <v>12</v>
      </c>
      <c r="M572" s="342">
        <f t="shared" si="96"/>
        <v>1</v>
      </c>
      <c r="N572" s="343" t="s">
        <v>36</v>
      </c>
      <c r="O572" s="344" t="str">
        <f>IF(ISBLANK(N572),"",VLOOKUP(N572,[20]Parámetros!$G$2:$H$23,2,FALSE))</f>
        <v xml:space="preserve">Contratación directa (con ofertas) </v>
      </c>
      <c r="P572" s="345">
        <f t="shared" si="102"/>
        <v>1</v>
      </c>
      <c r="Q572" s="346">
        <f t="shared" si="97"/>
        <v>448224357</v>
      </c>
      <c r="R572" s="346">
        <f t="shared" si="98"/>
        <v>448224357</v>
      </c>
      <c r="S572" s="347" t="s">
        <v>223</v>
      </c>
      <c r="T572" s="345">
        <f t="shared" si="103"/>
        <v>0</v>
      </c>
      <c r="U572" s="348" t="str">
        <f t="shared" si="99"/>
        <v>SUBDIRECCION DE GESTION CONTRACTUAL</v>
      </c>
      <c r="V572" s="345" t="str">
        <f t="shared" si="100"/>
        <v>CO-DC</v>
      </c>
      <c r="W572" s="345" t="str">
        <f t="shared" si="101"/>
        <v>Distrito Capital de Bogotá</v>
      </c>
      <c r="X572" s="340" t="s">
        <v>586</v>
      </c>
      <c r="Y572" s="338">
        <v>2427400</v>
      </c>
      <c r="Z572" s="349" t="s">
        <v>160</v>
      </c>
      <c r="AA572" s="350"/>
      <c r="AB572" s="350"/>
      <c r="AC572" s="350"/>
      <c r="AD572" s="350"/>
      <c r="AE572" s="350"/>
      <c r="AF572" s="350"/>
      <c r="AG572" s="350"/>
      <c r="AH572" s="350"/>
      <c r="AI572" s="350"/>
      <c r="AJ572" s="350"/>
      <c r="AK572" s="350"/>
      <c r="AL572" s="350"/>
      <c r="AM572" s="350"/>
      <c r="AN572" s="350"/>
      <c r="AO572" s="350"/>
      <c r="AP572" s="350"/>
      <c r="AQ572" s="350"/>
      <c r="AR572" s="350"/>
      <c r="AS572" s="350"/>
      <c r="AT572" s="350"/>
      <c r="AU572" s="351"/>
      <c r="AV572" s="351"/>
      <c r="AW572" s="351"/>
      <c r="AX572" s="351"/>
      <c r="AY572" s="351"/>
      <c r="AZ572" s="351"/>
      <c r="BA572" s="351"/>
      <c r="BB572" s="351"/>
      <c r="BC572" s="351"/>
      <c r="BD572" s="351"/>
      <c r="BE572" s="351"/>
      <c r="BF572" s="351"/>
      <c r="BG572" s="351"/>
      <c r="BH572" s="351"/>
      <c r="BI572" s="351"/>
      <c r="BJ572" s="351"/>
      <c r="BK572" s="351"/>
      <c r="BL572" s="351"/>
      <c r="BM572" s="351"/>
      <c r="BN572" s="351"/>
      <c r="BO572" s="351"/>
      <c r="BP572" s="351"/>
      <c r="BQ572" s="351"/>
      <c r="BR572" s="351"/>
      <c r="BS572" s="351"/>
      <c r="BT572" s="351"/>
      <c r="BU572" s="351"/>
      <c r="BV572" s="351"/>
      <c r="BW572" s="351"/>
      <c r="BX572" s="351"/>
      <c r="BY572" s="351"/>
      <c r="BZ572" s="351"/>
      <c r="CA572" s="351"/>
      <c r="CB572" s="351"/>
      <c r="CC572" s="351"/>
      <c r="CD572" s="351"/>
      <c r="CE572" s="351"/>
      <c r="CF572" s="351"/>
      <c r="CG572" s="352"/>
    </row>
    <row r="573" spans="1:85" s="353" customFormat="1" ht="13.9" customHeight="1" x14ac:dyDescent="0.2">
      <c r="A573" s="337" t="s">
        <v>158</v>
      </c>
      <c r="B573" s="338">
        <v>64</v>
      </c>
      <c r="C573" s="339" t="s">
        <v>617</v>
      </c>
      <c r="D573" s="340" t="s">
        <v>159</v>
      </c>
      <c r="E573" s="341"/>
      <c r="F573" s="341">
        <v>205000000</v>
      </c>
      <c r="G573" s="341"/>
      <c r="H573" s="340" t="s">
        <v>788</v>
      </c>
      <c r="I573" s="339" t="s">
        <v>764</v>
      </c>
      <c r="J573" s="338">
        <v>1</v>
      </c>
      <c r="K573" s="338">
        <v>1</v>
      </c>
      <c r="L573" s="338">
        <v>12</v>
      </c>
      <c r="M573" s="342">
        <f t="shared" si="96"/>
        <v>1</v>
      </c>
      <c r="N573" s="343" t="s">
        <v>36</v>
      </c>
      <c r="O573" s="344" t="str">
        <f>IF(ISBLANK(N573),"",VLOOKUP(N573,[20]Parámetros!$G$2:$H$23,2,FALSE))</f>
        <v xml:space="preserve">Contratación directa (con ofertas) </v>
      </c>
      <c r="P573" s="345">
        <f t="shared" si="102"/>
        <v>1</v>
      </c>
      <c r="Q573" s="346">
        <f t="shared" si="97"/>
        <v>205000000</v>
      </c>
      <c r="R573" s="346">
        <f t="shared" si="98"/>
        <v>205000000</v>
      </c>
      <c r="S573" s="347" t="s">
        <v>223</v>
      </c>
      <c r="T573" s="345">
        <f t="shared" si="103"/>
        <v>0</v>
      </c>
      <c r="U573" s="348" t="str">
        <f t="shared" si="99"/>
        <v>SUBDIRECCION DE GESTION CONTRACTUAL</v>
      </c>
      <c r="V573" s="345" t="str">
        <f t="shared" ref="V573:V604" si="104">IF(ISBLANK(N573),"","CO-DC")</f>
        <v>CO-DC</v>
      </c>
      <c r="W573" s="345" t="str">
        <f t="shared" ref="W573:W604" si="105">IF(ISBLANK(N573),"","Distrito Capital de Bogotá")</f>
        <v>Distrito Capital de Bogotá</v>
      </c>
      <c r="X573" s="340" t="s">
        <v>586</v>
      </c>
      <c r="Y573" s="338">
        <v>2427400</v>
      </c>
      <c r="Z573" s="349" t="s">
        <v>160</v>
      </c>
      <c r="AA573" s="350"/>
      <c r="AB573" s="350"/>
      <c r="AC573" s="350"/>
      <c r="AD573" s="350"/>
      <c r="AE573" s="350"/>
      <c r="AF573" s="350"/>
      <c r="AG573" s="350"/>
      <c r="AH573" s="350"/>
      <c r="AI573" s="350"/>
      <c r="AJ573" s="350"/>
      <c r="AK573" s="350"/>
      <c r="AL573" s="350"/>
      <c r="AM573" s="350"/>
      <c r="AN573" s="350"/>
      <c r="AO573" s="350"/>
      <c r="AP573" s="350"/>
      <c r="AQ573" s="350"/>
      <c r="AR573" s="350"/>
      <c r="AS573" s="350"/>
      <c r="AT573" s="350"/>
      <c r="AU573" s="351"/>
      <c r="AV573" s="351"/>
      <c r="AW573" s="351"/>
      <c r="AX573" s="351"/>
      <c r="AY573" s="351"/>
      <c r="AZ573" s="351"/>
      <c r="BA573" s="351"/>
      <c r="BB573" s="351"/>
      <c r="BC573" s="351"/>
      <c r="BD573" s="351"/>
      <c r="BE573" s="351"/>
      <c r="BF573" s="351"/>
      <c r="BG573" s="351"/>
      <c r="BH573" s="351"/>
      <c r="BI573" s="351"/>
      <c r="BJ573" s="351"/>
      <c r="BK573" s="351"/>
      <c r="BL573" s="351"/>
      <c r="BM573" s="351"/>
      <c r="BN573" s="351"/>
      <c r="BO573" s="351"/>
      <c r="BP573" s="351"/>
      <c r="BQ573" s="351"/>
      <c r="BR573" s="351"/>
      <c r="BS573" s="351"/>
      <c r="BT573" s="351"/>
      <c r="BU573" s="351"/>
      <c r="BV573" s="351"/>
      <c r="BW573" s="351"/>
      <c r="BX573" s="351"/>
      <c r="BY573" s="351"/>
      <c r="BZ573" s="351"/>
      <c r="CA573" s="351"/>
      <c r="CB573" s="351"/>
      <c r="CC573" s="351"/>
      <c r="CD573" s="351"/>
      <c r="CE573" s="351"/>
      <c r="CF573" s="351"/>
      <c r="CG573" s="352"/>
    </row>
    <row r="574" spans="1:85" s="353" customFormat="1" ht="13.9" customHeight="1" x14ac:dyDescent="0.2">
      <c r="A574" s="337" t="s">
        <v>158</v>
      </c>
      <c r="B574" s="338">
        <v>65</v>
      </c>
      <c r="C574" s="339" t="s">
        <v>617</v>
      </c>
      <c r="D574" s="340" t="s">
        <v>159</v>
      </c>
      <c r="E574" s="341"/>
      <c r="F574" s="341">
        <v>147071700</v>
      </c>
      <c r="G574" s="341"/>
      <c r="H574" s="340" t="s">
        <v>788</v>
      </c>
      <c r="I574" s="339" t="s">
        <v>765</v>
      </c>
      <c r="J574" s="338">
        <v>1</v>
      </c>
      <c r="K574" s="338">
        <v>1</v>
      </c>
      <c r="L574" s="338">
        <v>12</v>
      </c>
      <c r="M574" s="342">
        <f t="shared" si="96"/>
        <v>1</v>
      </c>
      <c r="N574" s="343" t="s">
        <v>36</v>
      </c>
      <c r="O574" s="344" t="str">
        <f>IF(ISBLANK(N574),"",VLOOKUP(N574,[20]Parámetros!$G$2:$H$23,2,FALSE))</f>
        <v xml:space="preserve">Contratación directa (con ofertas) </v>
      </c>
      <c r="P574" s="345">
        <f t="shared" ref="P574:P605" si="106">IF(ISBLANK(N574),"",1)</f>
        <v>1</v>
      </c>
      <c r="Q574" s="346">
        <f t="shared" si="97"/>
        <v>147071700</v>
      </c>
      <c r="R574" s="346">
        <f t="shared" si="98"/>
        <v>147071700</v>
      </c>
      <c r="S574" s="347" t="s">
        <v>223</v>
      </c>
      <c r="T574" s="345">
        <f t="shared" si="103"/>
        <v>0</v>
      </c>
      <c r="U574" s="348" t="str">
        <f t="shared" si="99"/>
        <v>SUBDIRECCION DE GESTION CONTRACTUAL</v>
      </c>
      <c r="V574" s="345" t="str">
        <f t="shared" si="104"/>
        <v>CO-DC</v>
      </c>
      <c r="W574" s="345" t="str">
        <f t="shared" si="105"/>
        <v>Distrito Capital de Bogotá</v>
      </c>
      <c r="X574" s="340" t="s">
        <v>586</v>
      </c>
      <c r="Y574" s="338">
        <v>2427400</v>
      </c>
      <c r="Z574" s="349" t="s">
        <v>160</v>
      </c>
      <c r="AA574" s="350"/>
      <c r="AB574" s="350"/>
      <c r="AC574" s="350"/>
      <c r="AD574" s="350"/>
      <c r="AE574" s="350"/>
      <c r="AF574" s="350"/>
      <c r="AG574" s="350"/>
      <c r="AH574" s="350"/>
      <c r="AI574" s="350"/>
      <c r="AJ574" s="350"/>
      <c r="AK574" s="350"/>
      <c r="AL574" s="350"/>
      <c r="AM574" s="350"/>
      <c r="AN574" s="350"/>
      <c r="AO574" s="350"/>
      <c r="AP574" s="350"/>
      <c r="AQ574" s="350"/>
      <c r="AR574" s="350"/>
      <c r="AS574" s="350"/>
      <c r="AT574" s="350"/>
      <c r="AU574" s="351"/>
      <c r="AV574" s="351"/>
      <c r="AW574" s="351"/>
      <c r="AX574" s="351"/>
      <c r="AY574" s="351"/>
      <c r="AZ574" s="351"/>
      <c r="BA574" s="351"/>
      <c r="BB574" s="351"/>
      <c r="BC574" s="351"/>
      <c r="BD574" s="351"/>
      <c r="BE574" s="351"/>
      <c r="BF574" s="351"/>
      <c r="BG574" s="351"/>
      <c r="BH574" s="351"/>
      <c r="BI574" s="351"/>
      <c r="BJ574" s="351"/>
      <c r="BK574" s="351"/>
      <c r="BL574" s="351"/>
      <c r="BM574" s="351"/>
      <c r="BN574" s="351"/>
      <c r="BO574" s="351"/>
      <c r="BP574" s="351"/>
      <c r="BQ574" s="351"/>
      <c r="BR574" s="351"/>
      <c r="BS574" s="351"/>
      <c r="BT574" s="351"/>
      <c r="BU574" s="351"/>
      <c r="BV574" s="351"/>
      <c r="BW574" s="351"/>
      <c r="BX574" s="351"/>
      <c r="BY574" s="351"/>
      <c r="BZ574" s="351"/>
      <c r="CA574" s="351"/>
      <c r="CB574" s="351"/>
      <c r="CC574" s="351"/>
      <c r="CD574" s="351"/>
      <c r="CE574" s="351"/>
      <c r="CF574" s="351"/>
      <c r="CG574" s="352"/>
    </row>
    <row r="575" spans="1:85" s="353" customFormat="1" ht="13.9" customHeight="1" x14ac:dyDescent="0.2">
      <c r="A575" s="337" t="s">
        <v>158</v>
      </c>
      <c r="B575" s="338">
        <v>66</v>
      </c>
      <c r="C575" s="339" t="s">
        <v>617</v>
      </c>
      <c r="D575" s="340" t="s">
        <v>159</v>
      </c>
      <c r="E575" s="341"/>
      <c r="F575" s="341">
        <v>1234271534</v>
      </c>
      <c r="G575" s="341"/>
      <c r="H575" s="340" t="s">
        <v>792</v>
      </c>
      <c r="I575" s="339" t="s">
        <v>766</v>
      </c>
      <c r="J575" s="338">
        <v>1</v>
      </c>
      <c r="K575" s="338">
        <v>1</v>
      </c>
      <c r="L575" s="338">
        <v>12</v>
      </c>
      <c r="M575" s="342">
        <f t="shared" si="96"/>
        <v>1</v>
      </c>
      <c r="N575" s="343" t="s">
        <v>36</v>
      </c>
      <c r="O575" s="344" t="str">
        <f>IF(ISBLANK(N575),"",VLOOKUP(N575,[20]Parámetros!$G$2:$H$23,2,FALSE))</f>
        <v xml:space="preserve">Contratación directa (con ofertas) </v>
      </c>
      <c r="P575" s="345">
        <f t="shared" si="106"/>
        <v>1</v>
      </c>
      <c r="Q575" s="346">
        <f t="shared" si="97"/>
        <v>1234271534</v>
      </c>
      <c r="R575" s="346">
        <f t="shared" si="98"/>
        <v>1234271534</v>
      </c>
      <c r="S575" s="347" t="s">
        <v>223</v>
      </c>
      <c r="T575" s="345">
        <f t="shared" si="103"/>
        <v>0</v>
      </c>
      <c r="U575" s="348" t="str">
        <f t="shared" si="99"/>
        <v>SUBDIRECCION DE GESTION CONTRACTUAL</v>
      </c>
      <c r="V575" s="345" t="str">
        <f t="shared" si="104"/>
        <v>CO-DC</v>
      </c>
      <c r="W575" s="345" t="str">
        <f t="shared" si="105"/>
        <v>Distrito Capital de Bogotá</v>
      </c>
      <c r="X575" s="340" t="s">
        <v>586</v>
      </c>
      <c r="Y575" s="338">
        <v>2427400</v>
      </c>
      <c r="Z575" s="349" t="s">
        <v>160</v>
      </c>
      <c r="AA575" s="350"/>
      <c r="AB575" s="350"/>
      <c r="AC575" s="350"/>
      <c r="AD575" s="350"/>
      <c r="AE575" s="350"/>
      <c r="AF575" s="350"/>
      <c r="AG575" s="350"/>
      <c r="AH575" s="350"/>
      <c r="AI575" s="350"/>
      <c r="AJ575" s="350"/>
      <c r="AK575" s="350"/>
      <c r="AL575" s="350"/>
      <c r="AM575" s="350"/>
      <c r="AN575" s="350"/>
      <c r="AO575" s="350"/>
      <c r="AP575" s="350"/>
      <c r="AQ575" s="350"/>
      <c r="AR575" s="350"/>
      <c r="AS575" s="350"/>
      <c r="AT575" s="350"/>
      <c r="AU575" s="351"/>
      <c r="AV575" s="351"/>
      <c r="AW575" s="351"/>
      <c r="AX575" s="351"/>
      <c r="AY575" s="351"/>
      <c r="AZ575" s="351"/>
      <c r="BA575" s="351"/>
      <c r="BB575" s="351"/>
      <c r="BC575" s="351"/>
      <c r="BD575" s="351"/>
      <c r="BE575" s="351"/>
      <c r="BF575" s="351"/>
      <c r="BG575" s="351"/>
      <c r="BH575" s="351"/>
      <c r="BI575" s="351"/>
      <c r="BJ575" s="351"/>
      <c r="BK575" s="351"/>
      <c r="BL575" s="351"/>
      <c r="BM575" s="351"/>
      <c r="BN575" s="351"/>
      <c r="BO575" s="351"/>
      <c r="BP575" s="351"/>
      <c r="BQ575" s="351"/>
      <c r="BR575" s="351"/>
      <c r="BS575" s="351"/>
      <c r="BT575" s="351"/>
      <c r="BU575" s="351"/>
      <c r="BV575" s="351"/>
      <c r="BW575" s="351"/>
      <c r="BX575" s="351"/>
      <c r="BY575" s="351"/>
      <c r="BZ575" s="351"/>
      <c r="CA575" s="351"/>
      <c r="CB575" s="351"/>
      <c r="CC575" s="351"/>
      <c r="CD575" s="351"/>
      <c r="CE575" s="351"/>
      <c r="CF575" s="351"/>
      <c r="CG575" s="352"/>
    </row>
    <row r="576" spans="1:85" s="353" customFormat="1" ht="13.9" customHeight="1" x14ac:dyDescent="0.2">
      <c r="A576" s="337" t="s">
        <v>158</v>
      </c>
      <c r="B576" s="338">
        <v>67</v>
      </c>
      <c r="C576" s="339" t="s">
        <v>617</v>
      </c>
      <c r="D576" s="340" t="s">
        <v>159</v>
      </c>
      <c r="E576" s="341"/>
      <c r="F576" s="341">
        <v>147071700</v>
      </c>
      <c r="G576" s="341"/>
      <c r="H576" s="340" t="s">
        <v>788</v>
      </c>
      <c r="I576" s="339" t="s">
        <v>767</v>
      </c>
      <c r="J576" s="338">
        <v>1</v>
      </c>
      <c r="K576" s="338">
        <v>1</v>
      </c>
      <c r="L576" s="338">
        <v>12</v>
      </c>
      <c r="M576" s="342">
        <f t="shared" si="96"/>
        <v>1</v>
      </c>
      <c r="N576" s="343" t="s">
        <v>36</v>
      </c>
      <c r="O576" s="344" t="str">
        <f>IF(ISBLANK(N576),"",VLOOKUP(N576,[20]Parámetros!$G$2:$H$23,2,FALSE))</f>
        <v xml:space="preserve">Contratación directa (con ofertas) </v>
      </c>
      <c r="P576" s="345">
        <f t="shared" si="106"/>
        <v>1</v>
      </c>
      <c r="Q576" s="346">
        <f t="shared" si="97"/>
        <v>147071700</v>
      </c>
      <c r="R576" s="346">
        <f t="shared" si="98"/>
        <v>147071700</v>
      </c>
      <c r="S576" s="347" t="s">
        <v>223</v>
      </c>
      <c r="T576" s="345">
        <f t="shared" si="103"/>
        <v>0</v>
      </c>
      <c r="U576" s="348" t="str">
        <f t="shared" si="99"/>
        <v>SUBDIRECCION DE GESTION CONTRACTUAL</v>
      </c>
      <c r="V576" s="345" t="str">
        <f t="shared" si="104"/>
        <v>CO-DC</v>
      </c>
      <c r="W576" s="345" t="str">
        <f t="shared" si="105"/>
        <v>Distrito Capital de Bogotá</v>
      </c>
      <c r="X576" s="340" t="s">
        <v>586</v>
      </c>
      <c r="Y576" s="338">
        <v>2427400</v>
      </c>
      <c r="Z576" s="349" t="s">
        <v>160</v>
      </c>
      <c r="AA576" s="350"/>
      <c r="AB576" s="350"/>
      <c r="AC576" s="350"/>
      <c r="AD576" s="350"/>
      <c r="AE576" s="350"/>
      <c r="AF576" s="350"/>
      <c r="AG576" s="350"/>
      <c r="AH576" s="350"/>
      <c r="AI576" s="350"/>
      <c r="AJ576" s="350"/>
      <c r="AK576" s="350"/>
      <c r="AL576" s="350"/>
      <c r="AM576" s="350"/>
      <c r="AN576" s="350"/>
      <c r="AO576" s="350"/>
      <c r="AP576" s="350"/>
      <c r="AQ576" s="350"/>
      <c r="AR576" s="350"/>
      <c r="AS576" s="350"/>
      <c r="AT576" s="350"/>
      <c r="AU576" s="351"/>
      <c r="AV576" s="351"/>
      <c r="AW576" s="351"/>
      <c r="AX576" s="351"/>
      <c r="AY576" s="351"/>
      <c r="AZ576" s="351"/>
      <c r="BA576" s="351"/>
      <c r="BB576" s="351"/>
      <c r="BC576" s="351"/>
      <c r="BD576" s="351"/>
      <c r="BE576" s="351"/>
      <c r="BF576" s="351"/>
      <c r="BG576" s="351"/>
      <c r="BH576" s="351"/>
      <c r="BI576" s="351"/>
      <c r="BJ576" s="351"/>
      <c r="BK576" s="351"/>
      <c r="BL576" s="351"/>
      <c r="BM576" s="351"/>
      <c r="BN576" s="351"/>
      <c r="BO576" s="351"/>
      <c r="BP576" s="351"/>
      <c r="BQ576" s="351"/>
      <c r="BR576" s="351"/>
      <c r="BS576" s="351"/>
      <c r="BT576" s="351"/>
      <c r="BU576" s="351"/>
      <c r="BV576" s="351"/>
      <c r="BW576" s="351"/>
      <c r="BX576" s="351"/>
      <c r="BY576" s="351"/>
      <c r="BZ576" s="351"/>
      <c r="CA576" s="351"/>
      <c r="CB576" s="351"/>
      <c r="CC576" s="351"/>
      <c r="CD576" s="351"/>
      <c r="CE576" s="351"/>
      <c r="CF576" s="351"/>
      <c r="CG576" s="352"/>
    </row>
    <row r="577" spans="1:85" s="353" customFormat="1" ht="13.9" customHeight="1" x14ac:dyDescent="0.2">
      <c r="A577" s="337" t="s">
        <v>158</v>
      </c>
      <c r="B577" s="338">
        <v>68</v>
      </c>
      <c r="C577" s="339" t="s">
        <v>617</v>
      </c>
      <c r="D577" s="340" t="s">
        <v>159</v>
      </c>
      <c r="E577" s="341"/>
      <c r="F577" s="341">
        <v>700000000</v>
      </c>
      <c r="G577" s="341"/>
      <c r="H577" s="340" t="s">
        <v>788</v>
      </c>
      <c r="I577" s="339" t="s">
        <v>768</v>
      </c>
      <c r="J577" s="338">
        <v>1</v>
      </c>
      <c r="K577" s="338">
        <v>1</v>
      </c>
      <c r="L577" s="338">
        <v>12</v>
      </c>
      <c r="M577" s="342">
        <f t="shared" si="96"/>
        <v>1</v>
      </c>
      <c r="N577" s="343" t="s">
        <v>36</v>
      </c>
      <c r="O577" s="344" t="str">
        <f>IF(ISBLANK(N577),"",VLOOKUP(N577,[20]Parámetros!$G$2:$H$23,2,FALSE))</f>
        <v xml:space="preserve">Contratación directa (con ofertas) </v>
      </c>
      <c r="P577" s="345">
        <f t="shared" si="106"/>
        <v>1</v>
      </c>
      <c r="Q577" s="346">
        <f t="shared" si="97"/>
        <v>700000000</v>
      </c>
      <c r="R577" s="346">
        <f t="shared" si="98"/>
        <v>700000000</v>
      </c>
      <c r="S577" s="347" t="s">
        <v>223</v>
      </c>
      <c r="T577" s="345">
        <f t="shared" si="103"/>
        <v>0</v>
      </c>
      <c r="U577" s="348" t="str">
        <f t="shared" si="99"/>
        <v>SUBDIRECCION DE GESTION CONTRACTUAL</v>
      </c>
      <c r="V577" s="345" t="str">
        <f t="shared" si="104"/>
        <v>CO-DC</v>
      </c>
      <c r="W577" s="345" t="str">
        <f t="shared" si="105"/>
        <v>Distrito Capital de Bogotá</v>
      </c>
      <c r="X577" s="340" t="s">
        <v>586</v>
      </c>
      <c r="Y577" s="338">
        <v>2427400</v>
      </c>
      <c r="Z577" s="349" t="s">
        <v>160</v>
      </c>
      <c r="AA577" s="350"/>
      <c r="AB577" s="350"/>
      <c r="AC577" s="350"/>
      <c r="AD577" s="350"/>
      <c r="AE577" s="350"/>
      <c r="AF577" s="350"/>
      <c r="AG577" s="350"/>
      <c r="AH577" s="350"/>
      <c r="AI577" s="350"/>
      <c r="AJ577" s="350"/>
      <c r="AK577" s="350"/>
      <c r="AL577" s="350"/>
      <c r="AM577" s="350"/>
      <c r="AN577" s="350"/>
      <c r="AO577" s="350"/>
      <c r="AP577" s="350"/>
      <c r="AQ577" s="350"/>
      <c r="AR577" s="350"/>
      <c r="AS577" s="350"/>
      <c r="AT577" s="350"/>
      <c r="AU577" s="351"/>
      <c r="AV577" s="351"/>
      <c r="AW577" s="351"/>
      <c r="AX577" s="351"/>
      <c r="AY577" s="351"/>
      <c r="AZ577" s="351"/>
      <c r="BA577" s="351"/>
      <c r="BB577" s="351"/>
      <c r="BC577" s="351"/>
      <c r="BD577" s="351"/>
      <c r="BE577" s="351"/>
      <c r="BF577" s="351"/>
      <c r="BG577" s="351"/>
      <c r="BH577" s="351"/>
      <c r="BI577" s="351"/>
      <c r="BJ577" s="351"/>
      <c r="BK577" s="351"/>
      <c r="BL577" s="351"/>
      <c r="BM577" s="351"/>
      <c r="BN577" s="351"/>
      <c r="BO577" s="351"/>
      <c r="BP577" s="351"/>
      <c r="BQ577" s="351"/>
      <c r="BR577" s="351"/>
      <c r="BS577" s="351"/>
      <c r="BT577" s="351"/>
      <c r="BU577" s="351"/>
      <c r="BV577" s="351"/>
      <c r="BW577" s="351"/>
      <c r="BX577" s="351"/>
      <c r="BY577" s="351"/>
      <c r="BZ577" s="351"/>
      <c r="CA577" s="351"/>
      <c r="CB577" s="351"/>
      <c r="CC577" s="351"/>
      <c r="CD577" s="351"/>
      <c r="CE577" s="351"/>
      <c r="CF577" s="351"/>
      <c r="CG577" s="352"/>
    </row>
    <row r="578" spans="1:85" s="353" customFormat="1" ht="13.9" customHeight="1" x14ac:dyDescent="0.2">
      <c r="A578" s="337" t="s">
        <v>158</v>
      </c>
      <c r="B578" s="338">
        <v>69</v>
      </c>
      <c r="C578" s="339" t="s">
        <v>617</v>
      </c>
      <c r="D578" s="340" t="s">
        <v>159</v>
      </c>
      <c r="E578" s="341"/>
      <c r="F578" s="341">
        <v>1025000000</v>
      </c>
      <c r="G578" s="341"/>
      <c r="H578" s="340" t="s">
        <v>788</v>
      </c>
      <c r="I578" s="339" t="s">
        <v>769</v>
      </c>
      <c r="J578" s="338">
        <v>1</v>
      </c>
      <c r="K578" s="338">
        <v>1</v>
      </c>
      <c r="L578" s="338">
        <v>12</v>
      </c>
      <c r="M578" s="342">
        <f t="shared" si="96"/>
        <v>1</v>
      </c>
      <c r="N578" s="343" t="s">
        <v>36</v>
      </c>
      <c r="O578" s="344" t="str">
        <f>IF(ISBLANK(N578),"",VLOOKUP(N578,[20]Parámetros!$G$2:$H$23,2,FALSE))</f>
        <v xml:space="preserve">Contratación directa (con ofertas) </v>
      </c>
      <c r="P578" s="345">
        <f t="shared" si="106"/>
        <v>1</v>
      </c>
      <c r="Q578" s="346">
        <f t="shared" si="97"/>
        <v>1025000000</v>
      </c>
      <c r="R578" s="346">
        <f t="shared" si="98"/>
        <v>1025000000</v>
      </c>
      <c r="S578" s="347" t="s">
        <v>223</v>
      </c>
      <c r="T578" s="345">
        <f t="shared" si="103"/>
        <v>0</v>
      </c>
      <c r="U578" s="348" t="str">
        <f t="shared" si="99"/>
        <v>SUBDIRECCION DE GESTION CONTRACTUAL</v>
      </c>
      <c r="V578" s="345" t="str">
        <f t="shared" si="104"/>
        <v>CO-DC</v>
      </c>
      <c r="W578" s="345" t="str">
        <f t="shared" si="105"/>
        <v>Distrito Capital de Bogotá</v>
      </c>
      <c r="X578" s="340" t="s">
        <v>586</v>
      </c>
      <c r="Y578" s="338">
        <v>2427400</v>
      </c>
      <c r="Z578" s="349" t="s">
        <v>160</v>
      </c>
      <c r="AA578" s="350"/>
      <c r="AB578" s="350"/>
      <c r="AC578" s="350"/>
      <c r="AD578" s="350"/>
      <c r="AE578" s="350"/>
      <c r="AF578" s="350"/>
      <c r="AG578" s="350"/>
      <c r="AH578" s="350"/>
      <c r="AI578" s="350"/>
      <c r="AJ578" s="350"/>
      <c r="AK578" s="350"/>
      <c r="AL578" s="350"/>
      <c r="AM578" s="350"/>
      <c r="AN578" s="350"/>
      <c r="AO578" s="350"/>
      <c r="AP578" s="350"/>
      <c r="AQ578" s="350"/>
      <c r="AR578" s="350"/>
      <c r="AS578" s="350"/>
      <c r="AT578" s="350"/>
      <c r="AU578" s="351"/>
      <c r="AV578" s="351"/>
      <c r="AW578" s="351"/>
      <c r="AX578" s="351"/>
      <c r="AY578" s="351"/>
      <c r="AZ578" s="351"/>
      <c r="BA578" s="351"/>
      <c r="BB578" s="351"/>
      <c r="BC578" s="351"/>
      <c r="BD578" s="351"/>
      <c r="BE578" s="351"/>
      <c r="BF578" s="351"/>
      <c r="BG578" s="351"/>
      <c r="BH578" s="351"/>
      <c r="BI578" s="351"/>
      <c r="BJ578" s="351"/>
      <c r="BK578" s="351"/>
      <c r="BL578" s="351"/>
      <c r="BM578" s="351"/>
      <c r="BN578" s="351"/>
      <c r="BO578" s="351"/>
      <c r="BP578" s="351"/>
      <c r="BQ578" s="351"/>
      <c r="BR578" s="351"/>
      <c r="BS578" s="351"/>
      <c r="BT578" s="351"/>
      <c r="BU578" s="351"/>
      <c r="BV578" s="351"/>
      <c r="BW578" s="351"/>
      <c r="BX578" s="351"/>
      <c r="BY578" s="351"/>
      <c r="BZ578" s="351"/>
      <c r="CA578" s="351"/>
      <c r="CB578" s="351"/>
      <c r="CC578" s="351"/>
      <c r="CD578" s="351"/>
      <c r="CE578" s="351"/>
      <c r="CF578" s="351"/>
      <c r="CG578" s="352"/>
    </row>
    <row r="579" spans="1:85" s="353" customFormat="1" ht="13.9" customHeight="1" x14ac:dyDescent="0.2">
      <c r="A579" s="337" t="s">
        <v>158</v>
      </c>
      <c r="B579" s="338">
        <v>70</v>
      </c>
      <c r="C579" s="339" t="s">
        <v>617</v>
      </c>
      <c r="D579" s="340" t="s">
        <v>159</v>
      </c>
      <c r="E579" s="341"/>
      <c r="F579" s="341">
        <v>305440000</v>
      </c>
      <c r="G579" s="341"/>
      <c r="H579" s="340" t="s">
        <v>788</v>
      </c>
      <c r="I579" s="339" t="s">
        <v>770</v>
      </c>
      <c r="J579" s="338">
        <v>1</v>
      </c>
      <c r="K579" s="338">
        <v>1</v>
      </c>
      <c r="L579" s="338">
        <v>12</v>
      </c>
      <c r="M579" s="342">
        <f t="shared" si="96"/>
        <v>1</v>
      </c>
      <c r="N579" s="343" t="s">
        <v>36</v>
      </c>
      <c r="O579" s="344" t="str">
        <f>IF(ISBLANK(N579),"",VLOOKUP(N579,[20]Parámetros!$G$2:$H$23,2,FALSE))</f>
        <v xml:space="preserve">Contratación directa (con ofertas) </v>
      </c>
      <c r="P579" s="345">
        <f t="shared" si="106"/>
        <v>1</v>
      </c>
      <c r="Q579" s="346">
        <f t="shared" si="97"/>
        <v>305440000</v>
      </c>
      <c r="R579" s="346">
        <f t="shared" si="98"/>
        <v>305440000</v>
      </c>
      <c r="S579" s="347" t="s">
        <v>223</v>
      </c>
      <c r="T579" s="345">
        <f t="shared" si="103"/>
        <v>0</v>
      </c>
      <c r="U579" s="348" t="str">
        <f t="shared" si="99"/>
        <v>SUBDIRECCION DE GESTION CONTRACTUAL</v>
      </c>
      <c r="V579" s="345" t="str">
        <f t="shared" si="104"/>
        <v>CO-DC</v>
      </c>
      <c r="W579" s="345" t="str">
        <f t="shared" si="105"/>
        <v>Distrito Capital de Bogotá</v>
      </c>
      <c r="X579" s="340" t="s">
        <v>586</v>
      </c>
      <c r="Y579" s="338">
        <v>2427400</v>
      </c>
      <c r="Z579" s="349" t="s">
        <v>160</v>
      </c>
      <c r="AA579" s="350"/>
      <c r="AB579" s="350"/>
      <c r="AC579" s="350"/>
      <c r="AD579" s="350"/>
      <c r="AE579" s="350"/>
      <c r="AF579" s="350"/>
      <c r="AG579" s="350"/>
      <c r="AH579" s="350"/>
      <c r="AI579" s="350"/>
      <c r="AJ579" s="350"/>
      <c r="AK579" s="350"/>
      <c r="AL579" s="350"/>
      <c r="AM579" s="350"/>
      <c r="AN579" s="350"/>
      <c r="AO579" s="350"/>
      <c r="AP579" s="350"/>
      <c r="AQ579" s="350"/>
      <c r="AR579" s="350"/>
      <c r="AS579" s="350"/>
      <c r="AT579" s="350"/>
      <c r="AU579" s="351"/>
      <c r="AV579" s="351"/>
      <c r="AW579" s="351"/>
      <c r="AX579" s="351"/>
      <c r="AY579" s="351"/>
      <c r="AZ579" s="351"/>
      <c r="BA579" s="351"/>
      <c r="BB579" s="351"/>
      <c r="BC579" s="351"/>
      <c r="BD579" s="351"/>
      <c r="BE579" s="351"/>
      <c r="BF579" s="351"/>
      <c r="BG579" s="351"/>
      <c r="BH579" s="351"/>
      <c r="BI579" s="351"/>
      <c r="BJ579" s="351"/>
      <c r="BK579" s="351"/>
      <c r="BL579" s="351"/>
      <c r="BM579" s="351"/>
      <c r="BN579" s="351"/>
      <c r="BO579" s="351"/>
      <c r="BP579" s="351"/>
      <c r="BQ579" s="351"/>
      <c r="BR579" s="351"/>
      <c r="BS579" s="351"/>
      <c r="BT579" s="351"/>
      <c r="BU579" s="351"/>
      <c r="BV579" s="351"/>
      <c r="BW579" s="351"/>
      <c r="BX579" s="351"/>
      <c r="BY579" s="351"/>
      <c r="BZ579" s="351"/>
      <c r="CA579" s="351"/>
      <c r="CB579" s="351"/>
      <c r="CC579" s="351"/>
      <c r="CD579" s="351"/>
      <c r="CE579" s="351"/>
      <c r="CF579" s="351"/>
      <c r="CG579" s="352"/>
    </row>
    <row r="580" spans="1:85" s="353" customFormat="1" ht="13.9" customHeight="1" x14ac:dyDescent="0.2">
      <c r="A580" s="337" t="s">
        <v>158</v>
      </c>
      <c r="B580" s="338">
        <v>71</v>
      </c>
      <c r="C580" s="339" t="s">
        <v>617</v>
      </c>
      <c r="D580" s="340" t="s">
        <v>159</v>
      </c>
      <c r="E580" s="341"/>
      <c r="F580" s="341">
        <v>305440000</v>
      </c>
      <c r="G580" s="341"/>
      <c r="H580" s="340" t="s">
        <v>788</v>
      </c>
      <c r="I580" s="339" t="s">
        <v>771</v>
      </c>
      <c r="J580" s="338">
        <v>1</v>
      </c>
      <c r="K580" s="338">
        <v>1</v>
      </c>
      <c r="L580" s="338">
        <v>12</v>
      </c>
      <c r="M580" s="342">
        <f t="shared" si="96"/>
        <v>1</v>
      </c>
      <c r="N580" s="343" t="s">
        <v>36</v>
      </c>
      <c r="O580" s="344" t="str">
        <f>IF(ISBLANK(N580),"",VLOOKUP(N580,[20]Parámetros!$G$2:$H$23,2,FALSE))</f>
        <v xml:space="preserve">Contratación directa (con ofertas) </v>
      </c>
      <c r="P580" s="345">
        <f t="shared" si="106"/>
        <v>1</v>
      </c>
      <c r="Q580" s="346">
        <f t="shared" si="97"/>
        <v>305440000</v>
      </c>
      <c r="R580" s="346">
        <f t="shared" si="98"/>
        <v>305440000</v>
      </c>
      <c r="S580" s="347" t="s">
        <v>223</v>
      </c>
      <c r="T580" s="345">
        <f t="shared" si="103"/>
        <v>0</v>
      </c>
      <c r="U580" s="348" t="str">
        <f t="shared" si="99"/>
        <v>SUBDIRECCION DE GESTION CONTRACTUAL</v>
      </c>
      <c r="V580" s="345" t="str">
        <f t="shared" si="104"/>
        <v>CO-DC</v>
      </c>
      <c r="W580" s="345" t="str">
        <f t="shared" si="105"/>
        <v>Distrito Capital de Bogotá</v>
      </c>
      <c r="X580" s="340" t="s">
        <v>586</v>
      </c>
      <c r="Y580" s="338">
        <v>2427400</v>
      </c>
      <c r="Z580" s="349" t="s">
        <v>160</v>
      </c>
      <c r="AA580" s="350"/>
      <c r="AB580" s="350"/>
      <c r="AC580" s="350"/>
      <c r="AD580" s="350"/>
      <c r="AE580" s="350"/>
      <c r="AF580" s="350"/>
      <c r="AG580" s="350"/>
      <c r="AH580" s="350"/>
      <c r="AI580" s="350"/>
      <c r="AJ580" s="350"/>
      <c r="AK580" s="350"/>
      <c r="AL580" s="350"/>
      <c r="AM580" s="350"/>
      <c r="AN580" s="350"/>
      <c r="AO580" s="350"/>
      <c r="AP580" s="350"/>
      <c r="AQ580" s="350"/>
      <c r="AR580" s="350"/>
      <c r="AS580" s="350"/>
      <c r="AT580" s="350"/>
      <c r="AU580" s="351"/>
      <c r="AV580" s="351"/>
      <c r="AW580" s="351"/>
      <c r="AX580" s="351"/>
      <c r="AY580" s="351"/>
      <c r="AZ580" s="351"/>
      <c r="BA580" s="351"/>
      <c r="BB580" s="351"/>
      <c r="BC580" s="351"/>
      <c r="BD580" s="351"/>
      <c r="BE580" s="351"/>
      <c r="BF580" s="351"/>
      <c r="BG580" s="351"/>
      <c r="BH580" s="351"/>
      <c r="BI580" s="351"/>
      <c r="BJ580" s="351"/>
      <c r="BK580" s="351"/>
      <c r="BL580" s="351"/>
      <c r="BM580" s="351"/>
      <c r="BN580" s="351"/>
      <c r="BO580" s="351"/>
      <c r="BP580" s="351"/>
      <c r="BQ580" s="351"/>
      <c r="BR580" s="351"/>
      <c r="BS580" s="351"/>
      <c r="BT580" s="351"/>
      <c r="BU580" s="351"/>
      <c r="BV580" s="351"/>
      <c r="BW580" s="351"/>
      <c r="BX580" s="351"/>
      <c r="BY580" s="351"/>
      <c r="BZ580" s="351"/>
      <c r="CA580" s="351"/>
      <c r="CB580" s="351"/>
      <c r="CC580" s="351"/>
      <c r="CD580" s="351"/>
      <c r="CE580" s="351"/>
      <c r="CF580" s="351"/>
      <c r="CG580" s="352"/>
    </row>
    <row r="581" spans="1:85" s="353" customFormat="1" ht="13.9" customHeight="1" x14ac:dyDescent="0.2">
      <c r="A581" s="337" t="s">
        <v>158</v>
      </c>
      <c r="B581" s="338">
        <v>72</v>
      </c>
      <c r="C581" s="339" t="s">
        <v>617</v>
      </c>
      <c r="D581" s="340" t="s">
        <v>159</v>
      </c>
      <c r="E581" s="341"/>
      <c r="F581" s="341">
        <v>250000000</v>
      </c>
      <c r="G581" s="341"/>
      <c r="H581" s="340" t="s">
        <v>788</v>
      </c>
      <c r="I581" s="339" t="s">
        <v>772</v>
      </c>
      <c r="J581" s="338">
        <v>1</v>
      </c>
      <c r="K581" s="338">
        <v>1</v>
      </c>
      <c r="L581" s="338">
        <v>12</v>
      </c>
      <c r="M581" s="342">
        <f t="shared" si="96"/>
        <v>1</v>
      </c>
      <c r="N581" s="343" t="s">
        <v>36</v>
      </c>
      <c r="O581" s="344" t="str">
        <f>IF(ISBLANK(N581),"",VLOOKUP(N581,[20]Parámetros!$G$2:$H$23,2,FALSE))</f>
        <v xml:space="preserve">Contratación directa (con ofertas) </v>
      </c>
      <c r="P581" s="345">
        <f t="shared" si="106"/>
        <v>1</v>
      </c>
      <c r="Q581" s="346">
        <f t="shared" si="97"/>
        <v>250000000</v>
      </c>
      <c r="R581" s="346">
        <f t="shared" si="98"/>
        <v>250000000</v>
      </c>
      <c r="S581" s="347" t="s">
        <v>223</v>
      </c>
      <c r="T581" s="345">
        <f t="shared" si="103"/>
        <v>0</v>
      </c>
      <c r="U581" s="348" t="str">
        <f t="shared" si="99"/>
        <v>SUBDIRECCION DE GESTION CONTRACTUAL</v>
      </c>
      <c r="V581" s="345" t="str">
        <f t="shared" si="104"/>
        <v>CO-DC</v>
      </c>
      <c r="W581" s="345" t="str">
        <f t="shared" si="105"/>
        <v>Distrito Capital de Bogotá</v>
      </c>
      <c r="X581" s="340" t="s">
        <v>586</v>
      </c>
      <c r="Y581" s="338">
        <v>2427400</v>
      </c>
      <c r="Z581" s="349" t="s">
        <v>160</v>
      </c>
      <c r="AA581" s="350"/>
      <c r="AB581" s="350"/>
      <c r="AC581" s="350"/>
      <c r="AD581" s="350"/>
      <c r="AE581" s="350"/>
      <c r="AF581" s="350"/>
      <c r="AG581" s="350"/>
      <c r="AH581" s="350"/>
      <c r="AI581" s="350"/>
      <c r="AJ581" s="350"/>
      <c r="AK581" s="350"/>
      <c r="AL581" s="350"/>
      <c r="AM581" s="350"/>
      <c r="AN581" s="350"/>
      <c r="AO581" s="350"/>
      <c r="AP581" s="350"/>
      <c r="AQ581" s="350"/>
      <c r="AR581" s="350"/>
      <c r="AS581" s="350"/>
      <c r="AT581" s="350"/>
      <c r="AU581" s="351"/>
      <c r="AV581" s="351"/>
      <c r="AW581" s="351"/>
      <c r="AX581" s="351"/>
      <c r="AY581" s="351"/>
      <c r="AZ581" s="351"/>
      <c r="BA581" s="351"/>
      <c r="BB581" s="351"/>
      <c r="BC581" s="351"/>
      <c r="BD581" s="351"/>
      <c r="BE581" s="351"/>
      <c r="BF581" s="351"/>
      <c r="BG581" s="351"/>
      <c r="BH581" s="351"/>
      <c r="BI581" s="351"/>
      <c r="BJ581" s="351"/>
      <c r="BK581" s="351"/>
      <c r="BL581" s="351"/>
      <c r="BM581" s="351"/>
      <c r="BN581" s="351"/>
      <c r="BO581" s="351"/>
      <c r="BP581" s="351"/>
      <c r="BQ581" s="351"/>
      <c r="BR581" s="351"/>
      <c r="BS581" s="351"/>
      <c r="BT581" s="351"/>
      <c r="BU581" s="351"/>
      <c r="BV581" s="351"/>
      <c r="BW581" s="351"/>
      <c r="BX581" s="351"/>
      <c r="BY581" s="351"/>
      <c r="BZ581" s="351"/>
      <c r="CA581" s="351"/>
      <c r="CB581" s="351"/>
      <c r="CC581" s="351"/>
      <c r="CD581" s="351"/>
      <c r="CE581" s="351"/>
      <c r="CF581" s="351"/>
      <c r="CG581" s="352"/>
    </row>
    <row r="582" spans="1:85" s="353" customFormat="1" ht="13.9" customHeight="1" x14ac:dyDescent="0.2">
      <c r="A582" s="337" t="s">
        <v>158</v>
      </c>
      <c r="B582" s="338">
        <v>73</v>
      </c>
      <c r="C582" s="339" t="s">
        <v>617</v>
      </c>
      <c r="D582" s="340" t="s">
        <v>159</v>
      </c>
      <c r="E582" s="341"/>
      <c r="F582" s="341">
        <v>250000000</v>
      </c>
      <c r="G582" s="341"/>
      <c r="H582" s="340" t="s">
        <v>788</v>
      </c>
      <c r="I582" s="339" t="s">
        <v>773</v>
      </c>
      <c r="J582" s="338">
        <v>1</v>
      </c>
      <c r="K582" s="338">
        <v>1</v>
      </c>
      <c r="L582" s="338">
        <v>12</v>
      </c>
      <c r="M582" s="342">
        <f t="shared" si="96"/>
        <v>1</v>
      </c>
      <c r="N582" s="343" t="s">
        <v>36</v>
      </c>
      <c r="O582" s="344" t="str">
        <f>IF(ISBLANK(N582),"",VLOOKUP(N582,[20]Parámetros!$G$2:$H$23,2,FALSE))</f>
        <v xml:space="preserve">Contratación directa (con ofertas) </v>
      </c>
      <c r="P582" s="345">
        <f t="shared" si="106"/>
        <v>1</v>
      </c>
      <c r="Q582" s="346">
        <f t="shared" si="97"/>
        <v>250000000</v>
      </c>
      <c r="R582" s="346">
        <f t="shared" si="98"/>
        <v>250000000</v>
      </c>
      <c r="S582" s="347" t="s">
        <v>223</v>
      </c>
      <c r="T582" s="345">
        <f t="shared" si="103"/>
        <v>0</v>
      </c>
      <c r="U582" s="348" t="str">
        <f t="shared" si="99"/>
        <v>SUBDIRECCION DE GESTION CONTRACTUAL</v>
      </c>
      <c r="V582" s="345" t="str">
        <f t="shared" si="104"/>
        <v>CO-DC</v>
      </c>
      <c r="W582" s="345" t="str">
        <f t="shared" si="105"/>
        <v>Distrito Capital de Bogotá</v>
      </c>
      <c r="X582" s="340" t="s">
        <v>586</v>
      </c>
      <c r="Y582" s="338">
        <v>2427400</v>
      </c>
      <c r="Z582" s="349" t="s">
        <v>160</v>
      </c>
      <c r="AA582" s="350"/>
      <c r="AB582" s="350"/>
      <c r="AC582" s="350"/>
      <c r="AD582" s="350"/>
      <c r="AE582" s="350"/>
      <c r="AF582" s="350"/>
      <c r="AG582" s="350"/>
      <c r="AH582" s="350"/>
      <c r="AI582" s="350"/>
      <c r="AJ582" s="350"/>
      <c r="AK582" s="350"/>
      <c r="AL582" s="350"/>
      <c r="AM582" s="350"/>
      <c r="AN582" s="350"/>
      <c r="AO582" s="350"/>
      <c r="AP582" s="350"/>
      <c r="AQ582" s="350"/>
      <c r="AR582" s="350"/>
      <c r="AS582" s="350"/>
      <c r="AT582" s="350"/>
      <c r="AU582" s="351"/>
      <c r="AV582" s="351"/>
      <c r="AW582" s="351"/>
      <c r="AX582" s="351"/>
      <c r="AY582" s="351"/>
      <c r="AZ582" s="351"/>
      <c r="BA582" s="351"/>
      <c r="BB582" s="351"/>
      <c r="BC582" s="351"/>
      <c r="BD582" s="351"/>
      <c r="BE582" s="351"/>
      <c r="BF582" s="351"/>
      <c r="BG582" s="351"/>
      <c r="BH582" s="351"/>
      <c r="BI582" s="351"/>
      <c r="BJ582" s="351"/>
      <c r="BK582" s="351"/>
      <c r="BL582" s="351"/>
      <c r="BM582" s="351"/>
      <c r="BN582" s="351"/>
      <c r="BO582" s="351"/>
      <c r="BP582" s="351"/>
      <c r="BQ582" s="351"/>
      <c r="BR582" s="351"/>
      <c r="BS582" s="351"/>
      <c r="BT582" s="351"/>
      <c r="BU582" s="351"/>
      <c r="BV582" s="351"/>
      <c r="BW582" s="351"/>
      <c r="BX582" s="351"/>
      <c r="BY582" s="351"/>
      <c r="BZ582" s="351"/>
      <c r="CA582" s="351"/>
      <c r="CB582" s="351"/>
      <c r="CC582" s="351"/>
      <c r="CD582" s="351"/>
      <c r="CE582" s="351"/>
      <c r="CF582" s="351"/>
      <c r="CG582" s="352"/>
    </row>
    <row r="583" spans="1:85" s="353" customFormat="1" ht="13.9" customHeight="1" x14ac:dyDescent="0.2">
      <c r="A583" s="337" t="s">
        <v>158</v>
      </c>
      <c r="B583" s="338">
        <v>74</v>
      </c>
      <c r="C583" s="339" t="s">
        <v>617</v>
      </c>
      <c r="D583" s="340" t="s">
        <v>159</v>
      </c>
      <c r="E583" s="341"/>
      <c r="F583" s="341">
        <v>700000000</v>
      </c>
      <c r="G583" s="341"/>
      <c r="H583" s="340" t="s">
        <v>788</v>
      </c>
      <c r="I583" s="339" t="s">
        <v>775</v>
      </c>
      <c r="J583" s="338">
        <v>1</v>
      </c>
      <c r="K583" s="338">
        <v>1</v>
      </c>
      <c r="L583" s="338">
        <v>12</v>
      </c>
      <c r="M583" s="342">
        <f t="shared" si="96"/>
        <v>1</v>
      </c>
      <c r="N583" s="343" t="s">
        <v>36</v>
      </c>
      <c r="O583" s="344" t="str">
        <f>IF(ISBLANK(N583),"",VLOOKUP(N583,[20]Parámetros!$G$2:$H$23,2,FALSE))</f>
        <v xml:space="preserve">Contratación directa (con ofertas) </v>
      </c>
      <c r="P583" s="345">
        <f t="shared" si="106"/>
        <v>1</v>
      </c>
      <c r="Q583" s="346">
        <f t="shared" si="97"/>
        <v>700000000</v>
      </c>
      <c r="R583" s="346">
        <f t="shared" si="98"/>
        <v>700000000</v>
      </c>
      <c r="S583" s="347" t="s">
        <v>223</v>
      </c>
      <c r="T583" s="345">
        <f t="shared" si="103"/>
        <v>0</v>
      </c>
      <c r="U583" s="348" t="str">
        <f t="shared" si="99"/>
        <v>SUBDIRECCION DE GESTION CONTRACTUAL</v>
      </c>
      <c r="V583" s="345" t="str">
        <f t="shared" si="104"/>
        <v>CO-DC</v>
      </c>
      <c r="W583" s="345" t="str">
        <f t="shared" si="105"/>
        <v>Distrito Capital de Bogotá</v>
      </c>
      <c r="X583" s="340" t="s">
        <v>586</v>
      </c>
      <c r="Y583" s="338">
        <v>2427400</v>
      </c>
      <c r="Z583" s="349" t="s">
        <v>160</v>
      </c>
      <c r="AA583" s="350"/>
      <c r="AB583" s="350"/>
      <c r="AC583" s="350"/>
      <c r="AD583" s="350"/>
      <c r="AE583" s="350"/>
      <c r="AF583" s="350"/>
      <c r="AG583" s="350"/>
      <c r="AH583" s="350"/>
      <c r="AI583" s="350"/>
      <c r="AJ583" s="350"/>
      <c r="AK583" s="350"/>
      <c r="AL583" s="350"/>
      <c r="AM583" s="350"/>
      <c r="AN583" s="350"/>
      <c r="AO583" s="350"/>
      <c r="AP583" s="350"/>
      <c r="AQ583" s="350"/>
      <c r="AR583" s="350"/>
      <c r="AS583" s="350"/>
      <c r="AT583" s="350"/>
      <c r="AU583" s="351"/>
      <c r="AV583" s="351"/>
      <c r="AW583" s="351"/>
      <c r="AX583" s="351"/>
      <c r="AY583" s="351"/>
      <c r="AZ583" s="351"/>
      <c r="BA583" s="351"/>
      <c r="BB583" s="351"/>
      <c r="BC583" s="351"/>
      <c r="BD583" s="351"/>
      <c r="BE583" s="351"/>
      <c r="BF583" s="351"/>
      <c r="BG583" s="351"/>
      <c r="BH583" s="351"/>
      <c r="BI583" s="351"/>
      <c r="BJ583" s="351"/>
      <c r="BK583" s="351"/>
      <c r="BL583" s="351"/>
      <c r="BM583" s="351"/>
      <c r="BN583" s="351"/>
      <c r="BO583" s="351"/>
      <c r="BP583" s="351"/>
      <c r="BQ583" s="351"/>
      <c r="BR583" s="351"/>
      <c r="BS583" s="351"/>
      <c r="BT583" s="351"/>
      <c r="BU583" s="351"/>
      <c r="BV583" s="351"/>
      <c r="BW583" s="351"/>
      <c r="BX583" s="351"/>
      <c r="BY583" s="351"/>
      <c r="BZ583" s="351"/>
      <c r="CA583" s="351"/>
      <c r="CB583" s="351"/>
      <c r="CC583" s="351"/>
      <c r="CD583" s="351"/>
      <c r="CE583" s="351"/>
      <c r="CF583" s="351"/>
      <c r="CG583" s="352"/>
    </row>
    <row r="584" spans="1:85" s="353" customFormat="1" ht="13.9" customHeight="1" x14ac:dyDescent="0.2">
      <c r="A584" s="337" t="s">
        <v>158</v>
      </c>
      <c r="B584" s="338">
        <v>75</v>
      </c>
      <c r="C584" s="339" t="s">
        <v>617</v>
      </c>
      <c r="D584" s="340" t="s">
        <v>159</v>
      </c>
      <c r="E584" s="341"/>
      <c r="F584" s="341">
        <v>250000000</v>
      </c>
      <c r="G584" s="341"/>
      <c r="H584" s="340" t="s">
        <v>788</v>
      </c>
      <c r="I584" s="339" t="s">
        <v>774</v>
      </c>
      <c r="J584" s="338">
        <v>1</v>
      </c>
      <c r="K584" s="338">
        <v>1</v>
      </c>
      <c r="L584" s="338">
        <v>12</v>
      </c>
      <c r="M584" s="342">
        <f t="shared" si="96"/>
        <v>1</v>
      </c>
      <c r="N584" s="343" t="s">
        <v>36</v>
      </c>
      <c r="O584" s="344" t="str">
        <f>IF(ISBLANK(N584),"",VLOOKUP(N584,[20]Parámetros!$G$2:$H$23,2,FALSE))</f>
        <v xml:space="preserve">Contratación directa (con ofertas) </v>
      </c>
      <c r="P584" s="345">
        <f t="shared" si="106"/>
        <v>1</v>
      </c>
      <c r="Q584" s="346">
        <f t="shared" si="97"/>
        <v>250000000</v>
      </c>
      <c r="R584" s="346">
        <f t="shared" si="98"/>
        <v>250000000</v>
      </c>
      <c r="S584" s="347" t="s">
        <v>223</v>
      </c>
      <c r="T584" s="345">
        <f t="shared" si="103"/>
        <v>0</v>
      </c>
      <c r="U584" s="348" t="str">
        <f t="shared" si="99"/>
        <v>SUBDIRECCION DE GESTION CONTRACTUAL</v>
      </c>
      <c r="V584" s="345" t="str">
        <f t="shared" si="104"/>
        <v>CO-DC</v>
      </c>
      <c r="W584" s="345" t="str">
        <f t="shared" si="105"/>
        <v>Distrito Capital de Bogotá</v>
      </c>
      <c r="X584" s="340" t="s">
        <v>586</v>
      </c>
      <c r="Y584" s="338">
        <v>2427400</v>
      </c>
      <c r="Z584" s="349" t="s">
        <v>160</v>
      </c>
      <c r="AA584" s="350"/>
      <c r="AB584" s="350"/>
      <c r="AC584" s="350"/>
      <c r="AD584" s="350"/>
      <c r="AE584" s="350"/>
      <c r="AF584" s="350"/>
      <c r="AG584" s="350"/>
      <c r="AH584" s="350"/>
      <c r="AI584" s="350"/>
      <c r="AJ584" s="350"/>
      <c r="AK584" s="350"/>
      <c r="AL584" s="350"/>
      <c r="AM584" s="350"/>
      <c r="AN584" s="350"/>
      <c r="AO584" s="350"/>
      <c r="AP584" s="350"/>
      <c r="AQ584" s="350"/>
      <c r="AR584" s="350"/>
      <c r="AS584" s="350"/>
      <c r="AT584" s="350"/>
      <c r="AU584" s="351"/>
      <c r="AV584" s="351"/>
      <c r="AW584" s="351"/>
      <c r="AX584" s="351"/>
      <c r="AY584" s="351"/>
      <c r="AZ584" s="351"/>
      <c r="BA584" s="351"/>
      <c r="BB584" s="351"/>
      <c r="BC584" s="351"/>
      <c r="BD584" s="351"/>
      <c r="BE584" s="351"/>
      <c r="BF584" s="351"/>
      <c r="BG584" s="351"/>
      <c r="BH584" s="351"/>
      <c r="BI584" s="351"/>
      <c r="BJ584" s="351"/>
      <c r="BK584" s="351"/>
      <c r="BL584" s="351"/>
      <c r="BM584" s="351"/>
      <c r="BN584" s="351"/>
      <c r="BO584" s="351"/>
      <c r="BP584" s="351"/>
      <c r="BQ584" s="351"/>
      <c r="BR584" s="351"/>
      <c r="BS584" s="351"/>
      <c r="BT584" s="351"/>
      <c r="BU584" s="351"/>
      <c r="BV584" s="351"/>
      <c r="BW584" s="351"/>
      <c r="BX584" s="351"/>
      <c r="BY584" s="351"/>
      <c r="BZ584" s="351"/>
      <c r="CA584" s="351"/>
      <c r="CB584" s="351"/>
      <c r="CC584" s="351"/>
      <c r="CD584" s="351"/>
      <c r="CE584" s="351"/>
      <c r="CF584" s="351"/>
      <c r="CG584" s="352"/>
    </row>
    <row r="585" spans="1:85" s="353" customFormat="1" ht="13.9" customHeight="1" x14ac:dyDescent="0.2">
      <c r="A585" s="337" t="s">
        <v>158</v>
      </c>
      <c r="B585" s="338">
        <v>76</v>
      </c>
      <c r="C585" s="339" t="s">
        <v>617</v>
      </c>
      <c r="D585" s="340" t="s">
        <v>159</v>
      </c>
      <c r="E585" s="341"/>
      <c r="F585" s="341">
        <v>205000000</v>
      </c>
      <c r="G585" s="341"/>
      <c r="H585" s="340" t="s">
        <v>788</v>
      </c>
      <c r="I585" s="339" t="s">
        <v>776</v>
      </c>
      <c r="J585" s="338">
        <v>1</v>
      </c>
      <c r="K585" s="338">
        <v>1</v>
      </c>
      <c r="L585" s="338">
        <v>12</v>
      </c>
      <c r="M585" s="342">
        <f t="shared" si="96"/>
        <v>1</v>
      </c>
      <c r="N585" s="343" t="s">
        <v>36</v>
      </c>
      <c r="O585" s="344" t="str">
        <f>IF(ISBLANK(N585),"",VLOOKUP(N585,[20]Parámetros!$G$2:$H$23,2,FALSE))</f>
        <v xml:space="preserve">Contratación directa (con ofertas) </v>
      </c>
      <c r="P585" s="345">
        <f t="shared" si="106"/>
        <v>1</v>
      </c>
      <c r="Q585" s="346">
        <f t="shared" si="97"/>
        <v>205000000</v>
      </c>
      <c r="R585" s="346">
        <f t="shared" si="98"/>
        <v>205000000</v>
      </c>
      <c r="S585" s="347" t="s">
        <v>223</v>
      </c>
      <c r="T585" s="345">
        <f t="shared" ref="T585:T616" si="107">IF(ISBLANK(S585),"",IF(VALUE(S585)=0,0,IF(VALUE(S585)=1,3,"")))</f>
        <v>0</v>
      </c>
      <c r="U585" s="348" t="str">
        <f t="shared" si="99"/>
        <v>SUBDIRECCION DE GESTION CONTRACTUAL</v>
      </c>
      <c r="V585" s="345" t="str">
        <f t="shared" si="104"/>
        <v>CO-DC</v>
      </c>
      <c r="W585" s="345" t="str">
        <f t="shared" si="105"/>
        <v>Distrito Capital de Bogotá</v>
      </c>
      <c r="X585" s="340" t="s">
        <v>586</v>
      </c>
      <c r="Y585" s="338">
        <v>2427400</v>
      </c>
      <c r="Z585" s="349" t="s">
        <v>160</v>
      </c>
      <c r="AA585" s="350"/>
      <c r="AB585" s="350"/>
      <c r="AC585" s="350"/>
      <c r="AD585" s="350"/>
      <c r="AE585" s="350"/>
      <c r="AF585" s="350"/>
      <c r="AG585" s="350"/>
      <c r="AH585" s="350"/>
      <c r="AI585" s="350"/>
      <c r="AJ585" s="350"/>
      <c r="AK585" s="350"/>
      <c r="AL585" s="350"/>
      <c r="AM585" s="350"/>
      <c r="AN585" s="350"/>
      <c r="AO585" s="350"/>
      <c r="AP585" s="350"/>
      <c r="AQ585" s="350"/>
      <c r="AR585" s="350"/>
      <c r="AS585" s="350"/>
      <c r="AT585" s="350"/>
      <c r="AU585" s="351"/>
      <c r="AV585" s="351"/>
      <c r="AW585" s="351"/>
      <c r="AX585" s="351"/>
      <c r="AY585" s="351"/>
      <c r="AZ585" s="351"/>
      <c r="BA585" s="351"/>
      <c r="BB585" s="351"/>
      <c r="BC585" s="351"/>
      <c r="BD585" s="351"/>
      <c r="BE585" s="351"/>
      <c r="BF585" s="351"/>
      <c r="BG585" s="351"/>
      <c r="BH585" s="351"/>
      <c r="BI585" s="351"/>
      <c r="BJ585" s="351"/>
      <c r="BK585" s="351"/>
      <c r="BL585" s="351"/>
      <c r="BM585" s="351"/>
      <c r="BN585" s="351"/>
      <c r="BO585" s="351"/>
      <c r="BP585" s="351"/>
      <c r="BQ585" s="351"/>
      <c r="BR585" s="351"/>
      <c r="BS585" s="351"/>
      <c r="BT585" s="351"/>
      <c r="BU585" s="351"/>
      <c r="BV585" s="351"/>
      <c r="BW585" s="351"/>
      <c r="BX585" s="351"/>
      <c r="BY585" s="351"/>
      <c r="BZ585" s="351"/>
      <c r="CA585" s="351"/>
      <c r="CB585" s="351"/>
      <c r="CC585" s="351"/>
      <c r="CD585" s="351"/>
      <c r="CE585" s="351"/>
      <c r="CF585" s="351"/>
      <c r="CG585" s="352"/>
    </row>
    <row r="586" spans="1:85" s="353" customFormat="1" ht="13.9" customHeight="1" x14ac:dyDescent="0.2">
      <c r="A586" s="337" t="s">
        <v>158</v>
      </c>
      <c r="B586" s="338">
        <v>77</v>
      </c>
      <c r="C586" s="339" t="s">
        <v>617</v>
      </c>
      <c r="D586" s="340" t="s">
        <v>159</v>
      </c>
      <c r="E586" s="341"/>
      <c r="F586" s="341">
        <v>250000000</v>
      </c>
      <c r="G586" s="341"/>
      <c r="H586" s="340" t="s">
        <v>788</v>
      </c>
      <c r="I586" s="339" t="s">
        <v>727</v>
      </c>
      <c r="J586" s="338">
        <v>1</v>
      </c>
      <c r="K586" s="338">
        <v>1</v>
      </c>
      <c r="L586" s="338">
        <v>12</v>
      </c>
      <c r="M586" s="342">
        <f t="shared" si="96"/>
        <v>1</v>
      </c>
      <c r="N586" s="343" t="s">
        <v>36</v>
      </c>
      <c r="O586" s="344" t="str">
        <f>IF(ISBLANK(N586),"",VLOOKUP(N586,[20]Parámetros!$G$2:$H$23,2,FALSE))</f>
        <v xml:space="preserve">Contratación directa (con ofertas) </v>
      </c>
      <c r="P586" s="345">
        <f t="shared" si="106"/>
        <v>1</v>
      </c>
      <c r="Q586" s="346">
        <f t="shared" si="97"/>
        <v>250000000</v>
      </c>
      <c r="R586" s="346">
        <f t="shared" si="98"/>
        <v>250000000</v>
      </c>
      <c r="S586" s="347" t="s">
        <v>223</v>
      </c>
      <c r="T586" s="345">
        <f t="shared" si="107"/>
        <v>0</v>
      </c>
      <c r="U586" s="348" t="str">
        <f t="shared" si="99"/>
        <v>SUBDIRECCION DE GESTION CONTRACTUAL</v>
      </c>
      <c r="V586" s="345" t="str">
        <f t="shared" si="104"/>
        <v>CO-DC</v>
      </c>
      <c r="W586" s="345" t="str">
        <f t="shared" si="105"/>
        <v>Distrito Capital de Bogotá</v>
      </c>
      <c r="X586" s="340" t="s">
        <v>586</v>
      </c>
      <c r="Y586" s="338">
        <v>2427400</v>
      </c>
      <c r="Z586" s="349" t="s">
        <v>160</v>
      </c>
      <c r="AA586" s="350"/>
      <c r="AB586" s="350"/>
      <c r="AC586" s="350"/>
      <c r="AD586" s="350"/>
      <c r="AE586" s="350"/>
      <c r="AF586" s="350"/>
      <c r="AG586" s="350"/>
      <c r="AH586" s="350"/>
      <c r="AI586" s="350"/>
      <c r="AJ586" s="350"/>
      <c r="AK586" s="350"/>
      <c r="AL586" s="350"/>
      <c r="AM586" s="350"/>
      <c r="AN586" s="350"/>
      <c r="AO586" s="350"/>
      <c r="AP586" s="350"/>
      <c r="AQ586" s="350"/>
      <c r="AR586" s="350"/>
      <c r="AS586" s="350"/>
      <c r="AT586" s="350"/>
      <c r="AU586" s="351"/>
      <c r="AV586" s="351"/>
      <c r="AW586" s="351"/>
      <c r="AX586" s="351"/>
      <c r="AY586" s="351"/>
      <c r="AZ586" s="351"/>
      <c r="BA586" s="351"/>
      <c r="BB586" s="351"/>
      <c r="BC586" s="351"/>
      <c r="BD586" s="351"/>
      <c r="BE586" s="351"/>
      <c r="BF586" s="351"/>
      <c r="BG586" s="351"/>
      <c r="BH586" s="351"/>
      <c r="BI586" s="351"/>
      <c r="BJ586" s="351"/>
      <c r="BK586" s="351"/>
      <c r="BL586" s="351"/>
      <c r="BM586" s="351"/>
      <c r="BN586" s="351"/>
      <c r="BO586" s="351"/>
      <c r="BP586" s="351"/>
      <c r="BQ586" s="351"/>
      <c r="BR586" s="351"/>
      <c r="BS586" s="351"/>
      <c r="BT586" s="351"/>
      <c r="BU586" s="351"/>
      <c r="BV586" s="351"/>
      <c r="BW586" s="351"/>
      <c r="BX586" s="351"/>
      <c r="BY586" s="351"/>
      <c r="BZ586" s="351"/>
      <c r="CA586" s="351"/>
      <c r="CB586" s="351"/>
      <c r="CC586" s="351"/>
      <c r="CD586" s="351"/>
      <c r="CE586" s="351"/>
      <c r="CF586" s="351"/>
      <c r="CG586" s="352"/>
    </row>
    <row r="587" spans="1:85" s="353" customFormat="1" ht="13.9" customHeight="1" x14ac:dyDescent="0.2">
      <c r="A587" s="337" t="s">
        <v>158</v>
      </c>
      <c r="B587" s="338">
        <v>78</v>
      </c>
      <c r="C587" s="339" t="s">
        <v>617</v>
      </c>
      <c r="D587" s="340" t="s">
        <v>159</v>
      </c>
      <c r="E587" s="341"/>
      <c r="F587" s="341">
        <v>140000000</v>
      </c>
      <c r="G587" s="341"/>
      <c r="H587" s="340" t="s">
        <v>788</v>
      </c>
      <c r="I587" s="339" t="s">
        <v>726</v>
      </c>
      <c r="J587" s="338">
        <v>1</v>
      </c>
      <c r="K587" s="338">
        <v>1</v>
      </c>
      <c r="L587" s="338">
        <v>12</v>
      </c>
      <c r="M587" s="342">
        <f t="shared" si="96"/>
        <v>1</v>
      </c>
      <c r="N587" s="343" t="s">
        <v>36</v>
      </c>
      <c r="O587" s="344" t="str">
        <f>IF(ISBLANK(N587),"",VLOOKUP(N587,[20]Parámetros!$G$2:$H$23,2,FALSE))</f>
        <v xml:space="preserve">Contratación directa (con ofertas) </v>
      </c>
      <c r="P587" s="345">
        <f t="shared" si="106"/>
        <v>1</v>
      </c>
      <c r="Q587" s="346">
        <f t="shared" si="97"/>
        <v>140000000</v>
      </c>
      <c r="R587" s="346">
        <f t="shared" si="98"/>
        <v>140000000</v>
      </c>
      <c r="S587" s="347" t="s">
        <v>223</v>
      </c>
      <c r="T587" s="345">
        <f t="shared" si="107"/>
        <v>0</v>
      </c>
      <c r="U587" s="348" t="str">
        <f t="shared" si="99"/>
        <v>SUBDIRECCION DE GESTION CONTRACTUAL</v>
      </c>
      <c r="V587" s="345" t="str">
        <f t="shared" si="104"/>
        <v>CO-DC</v>
      </c>
      <c r="W587" s="345" t="str">
        <f t="shared" si="105"/>
        <v>Distrito Capital de Bogotá</v>
      </c>
      <c r="X587" s="340" t="s">
        <v>586</v>
      </c>
      <c r="Y587" s="338">
        <v>2427400</v>
      </c>
      <c r="Z587" s="349" t="s">
        <v>160</v>
      </c>
      <c r="AA587" s="350"/>
      <c r="AB587" s="350"/>
      <c r="AC587" s="350"/>
      <c r="AD587" s="350"/>
      <c r="AE587" s="350"/>
      <c r="AF587" s="350"/>
      <c r="AG587" s="350"/>
      <c r="AH587" s="350"/>
      <c r="AI587" s="350"/>
      <c r="AJ587" s="350"/>
      <c r="AK587" s="350"/>
      <c r="AL587" s="350"/>
      <c r="AM587" s="350"/>
      <c r="AN587" s="350"/>
      <c r="AO587" s="350"/>
      <c r="AP587" s="350"/>
      <c r="AQ587" s="350"/>
      <c r="AR587" s="350"/>
      <c r="AS587" s="350"/>
      <c r="AT587" s="350"/>
      <c r="AU587" s="351"/>
      <c r="AV587" s="351"/>
      <c r="AW587" s="351"/>
      <c r="AX587" s="351"/>
      <c r="AY587" s="351"/>
      <c r="AZ587" s="351"/>
      <c r="BA587" s="351"/>
      <c r="BB587" s="351"/>
      <c r="BC587" s="351"/>
      <c r="BD587" s="351"/>
      <c r="BE587" s="351"/>
      <c r="BF587" s="351"/>
      <c r="BG587" s="351"/>
      <c r="BH587" s="351"/>
      <c r="BI587" s="351"/>
      <c r="BJ587" s="351"/>
      <c r="BK587" s="351"/>
      <c r="BL587" s="351"/>
      <c r="BM587" s="351"/>
      <c r="BN587" s="351"/>
      <c r="BO587" s="351"/>
      <c r="BP587" s="351"/>
      <c r="BQ587" s="351"/>
      <c r="BR587" s="351"/>
      <c r="BS587" s="351"/>
      <c r="BT587" s="351"/>
      <c r="BU587" s="351"/>
      <c r="BV587" s="351"/>
      <c r="BW587" s="351"/>
      <c r="BX587" s="351"/>
      <c r="BY587" s="351"/>
      <c r="BZ587" s="351"/>
      <c r="CA587" s="351"/>
      <c r="CB587" s="351"/>
      <c r="CC587" s="351"/>
      <c r="CD587" s="351"/>
      <c r="CE587" s="351"/>
      <c r="CF587" s="351"/>
      <c r="CG587" s="352"/>
    </row>
    <row r="588" spans="1:85" s="353" customFormat="1" ht="13.9" customHeight="1" x14ac:dyDescent="0.2">
      <c r="A588" s="337" t="s">
        <v>158</v>
      </c>
      <c r="B588" s="338">
        <v>79</v>
      </c>
      <c r="C588" s="339" t="s">
        <v>617</v>
      </c>
      <c r="D588" s="340" t="s">
        <v>159</v>
      </c>
      <c r="E588" s="341"/>
      <c r="F588" s="341">
        <v>14266808955</v>
      </c>
      <c r="G588" s="341"/>
      <c r="H588" s="340" t="s">
        <v>792</v>
      </c>
      <c r="I588" s="339" t="s">
        <v>725</v>
      </c>
      <c r="J588" s="338">
        <v>1</v>
      </c>
      <c r="K588" s="338">
        <v>1</v>
      </c>
      <c r="L588" s="338">
        <v>12</v>
      </c>
      <c r="M588" s="342">
        <f t="shared" si="96"/>
        <v>1</v>
      </c>
      <c r="N588" s="343" t="s">
        <v>36</v>
      </c>
      <c r="O588" s="344" t="str">
        <f>IF(ISBLANK(N588),"",VLOOKUP(N588,[20]Parámetros!$G$2:$H$23,2,FALSE))</f>
        <v xml:space="preserve">Contratación directa (con ofertas) </v>
      </c>
      <c r="P588" s="345">
        <f t="shared" si="106"/>
        <v>1</v>
      </c>
      <c r="Q588" s="346">
        <f t="shared" si="97"/>
        <v>14266808955</v>
      </c>
      <c r="R588" s="346">
        <f t="shared" si="98"/>
        <v>14266808955</v>
      </c>
      <c r="S588" s="347" t="s">
        <v>223</v>
      </c>
      <c r="T588" s="345">
        <f t="shared" si="107"/>
        <v>0</v>
      </c>
      <c r="U588" s="348" t="str">
        <f t="shared" si="99"/>
        <v>SUBDIRECCION DE GESTION CONTRACTUAL</v>
      </c>
      <c r="V588" s="345" t="str">
        <f t="shared" si="104"/>
        <v>CO-DC</v>
      </c>
      <c r="W588" s="345" t="str">
        <f t="shared" si="105"/>
        <v>Distrito Capital de Bogotá</v>
      </c>
      <c r="X588" s="340" t="s">
        <v>586</v>
      </c>
      <c r="Y588" s="338">
        <v>2427400</v>
      </c>
      <c r="Z588" s="349" t="s">
        <v>160</v>
      </c>
      <c r="AA588" s="350"/>
      <c r="AB588" s="350"/>
      <c r="AC588" s="350"/>
      <c r="AD588" s="350"/>
      <c r="AE588" s="350"/>
      <c r="AF588" s="350"/>
      <c r="AG588" s="350"/>
      <c r="AH588" s="350"/>
      <c r="AI588" s="350"/>
      <c r="AJ588" s="350"/>
      <c r="AK588" s="350"/>
      <c r="AL588" s="350"/>
      <c r="AM588" s="350"/>
      <c r="AN588" s="350"/>
      <c r="AO588" s="350"/>
      <c r="AP588" s="350"/>
      <c r="AQ588" s="350"/>
      <c r="AR588" s="350"/>
      <c r="AS588" s="350"/>
      <c r="AT588" s="350"/>
      <c r="AU588" s="351"/>
      <c r="AV588" s="351"/>
      <c r="AW588" s="351"/>
      <c r="AX588" s="351"/>
      <c r="AY588" s="351"/>
      <c r="AZ588" s="351"/>
      <c r="BA588" s="351"/>
      <c r="BB588" s="351"/>
      <c r="BC588" s="351"/>
      <c r="BD588" s="351"/>
      <c r="BE588" s="351"/>
      <c r="BF588" s="351"/>
      <c r="BG588" s="351"/>
      <c r="BH588" s="351"/>
      <c r="BI588" s="351"/>
      <c r="BJ588" s="351"/>
      <c r="BK588" s="351"/>
      <c r="BL588" s="351"/>
      <c r="BM588" s="351"/>
      <c r="BN588" s="351"/>
      <c r="BO588" s="351"/>
      <c r="BP588" s="351"/>
      <c r="BQ588" s="351"/>
      <c r="BR588" s="351"/>
      <c r="BS588" s="351"/>
      <c r="BT588" s="351"/>
      <c r="BU588" s="351"/>
      <c r="BV588" s="351"/>
      <c r="BW588" s="351"/>
      <c r="BX588" s="351"/>
      <c r="BY588" s="351"/>
      <c r="BZ588" s="351"/>
      <c r="CA588" s="351"/>
      <c r="CB588" s="351"/>
      <c r="CC588" s="351"/>
      <c r="CD588" s="351"/>
      <c r="CE588" s="351"/>
      <c r="CF588" s="351"/>
      <c r="CG588" s="352"/>
    </row>
    <row r="589" spans="1:85" s="353" customFormat="1" ht="13.9" customHeight="1" x14ac:dyDescent="0.2">
      <c r="A589" s="337" t="s">
        <v>158</v>
      </c>
      <c r="B589" s="338">
        <v>80</v>
      </c>
      <c r="C589" s="339" t="s">
        <v>617</v>
      </c>
      <c r="D589" s="340" t="s">
        <v>159</v>
      </c>
      <c r="E589" s="341"/>
      <c r="F589" s="341">
        <v>2038115564</v>
      </c>
      <c r="G589" s="341"/>
      <c r="H589" s="340" t="s">
        <v>792</v>
      </c>
      <c r="I589" s="339" t="s">
        <v>725</v>
      </c>
      <c r="J589" s="338">
        <v>1</v>
      </c>
      <c r="K589" s="338">
        <v>1</v>
      </c>
      <c r="L589" s="338">
        <v>12</v>
      </c>
      <c r="M589" s="342">
        <f t="shared" si="96"/>
        <v>1</v>
      </c>
      <c r="N589" s="343" t="s">
        <v>36</v>
      </c>
      <c r="O589" s="344" t="str">
        <f>IF(ISBLANK(N589),"",VLOOKUP(N589,[20]Parámetros!$G$2:$H$23,2,FALSE))</f>
        <v xml:space="preserve">Contratación directa (con ofertas) </v>
      </c>
      <c r="P589" s="345">
        <f t="shared" si="106"/>
        <v>1</v>
      </c>
      <c r="Q589" s="346">
        <f t="shared" si="97"/>
        <v>2038115564</v>
      </c>
      <c r="R589" s="346">
        <f t="shared" si="98"/>
        <v>2038115564</v>
      </c>
      <c r="S589" s="347" t="s">
        <v>223</v>
      </c>
      <c r="T589" s="345">
        <f t="shared" si="107"/>
        <v>0</v>
      </c>
      <c r="U589" s="348" t="str">
        <f t="shared" si="99"/>
        <v>SUBDIRECCION DE GESTION CONTRACTUAL</v>
      </c>
      <c r="V589" s="345" t="str">
        <f t="shared" si="104"/>
        <v>CO-DC</v>
      </c>
      <c r="W589" s="345" t="str">
        <f t="shared" si="105"/>
        <v>Distrito Capital de Bogotá</v>
      </c>
      <c r="X589" s="340" t="s">
        <v>586</v>
      </c>
      <c r="Y589" s="338">
        <v>2427400</v>
      </c>
      <c r="Z589" s="349" t="s">
        <v>160</v>
      </c>
      <c r="AA589" s="350"/>
      <c r="AB589" s="350"/>
      <c r="AC589" s="350"/>
      <c r="AD589" s="350"/>
      <c r="AE589" s="350"/>
      <c r="AF589" s="350"/>
      <c r="AG589" s="350"/>
      <c r="AH589" s="350"/>
      <c r="AI589" s="350"/>
      <c r="AJ589" s="350"/>
      <c r="AK589" s="350"/>
      <c r="AL589" s="350"/>
      <c r="AM589" s="350"/>
      <c r="AN589" s="350"/>
      <c r="AO589" s="350"/>
      <c r="AP589" s="350"/>
      <c r="AQ589" s="350"/>
      <c r="AR589" s="350"/>
      <c r="AS589" s="350"/>
      <c r="AT589" s="350"/>
      <c r="AU589" s="351"/>
      <c r="AV589" s="351"/>
      <c r="AW589" s="351"/>
      <c r="AX589" s="351"/>
      <c r="AY589" s="351"/>
      <c r="AZ589" s="351"/>
      <c r="BA589" s="351"/>
      <c r="BB589" s="351"/>
      <c r="BC589" s="351"/>
      <c r="BD589" s="351"/>
      <c r="BE589" s="351"/>
      <c r="BF589" s="351"/>
      <c r="BG589" s="351"/>
      <c r="BH589" s="351"/>
      <c r="BI589" s="351"/>
      <c r="BJ589" s="351"/>
      <c r="BK589" s="351"/>
      <c r="BL589" s="351"/>
      <c r="BM589" s="351"/>
      <c r="BN589" s="351"/>
      <c r="BO589" s="351"/>
      <c r="BP589" s="351"/>
      <c r="BQ589" s="351"/>
      <c r="BR589" s="351"/>
      <c r="BS589" s="351"/>
      <c r="BT589" s="351"/>
      <c r="BU589" s="351"/>
      <c r="BV589" s="351"/>
      <c r="BW589" s="351"/>
      <c r="BX589" s="351"/>
      <c r="BY589" s="351"/>
      <c r="BZ589" s="351"/>
      <c r="CA589" s="351"/>
      <c r="CB589" s="351"/>
      <c r="CC589" s="351"/>
      <c r="CD589" s="351"/>
      <c r="CE589" s="351"/>
      <c r="CF589" s="351"/>
      <c r="CG589" s="352"/>
    </row>
    <row r="590" spans="1:85" s="353" customFormat="1" ht="13.9" customHeight="1" x14ac:dyDescent="0.2">
      <c r="A590" s="337" t="s">
        <v>158</v>
      </c>
      <c r="B590" s="338">
        <v>81</v>
      </c>
      <c r="C590" s="339" t="s">
        <v>617</v>
      </c>
      <c r="D590" s="340" t="s">
        <v>159</v>
      </c>
      <c r="E590" s="341"/>
      <c r="F590" s="341">
        <v>305440000</v>
      </c>
      <c r="G590" s="341"/>
      <c r="H590" s="340" t="s">
        <v>788</v>
      </c>
      <c r="I590" s="339" t="s">
        <v>724</v>
      </c>
      <c r="J590" s="338">
        <v>1</v>
      </c>
      <c r="K590" s="338">
        <v>1</v>
      </c>
      <c r="L590" s="338">
        <v>12</v>
      </c>
      <c r="M590" s="342">
        <f t="shared" si="96"/>
        <v>1</v>
      </c>
      <c r="N590" s="343" t="s">
        <v>36</v>
      </c>
      <c r="O590" s="344" t="str">
        <f>IF(ISBLANK(N590),"",VLOOKUP(N590,[20]Parámetros!$G$2:$H$23,2,FALSE))</f>
        <v xml:space="preserve">Contratación directa (con ofertas) </v>
      </c>
      <c r="P590" s="345">
        <f t="shared" si="106"/>
        <v>1</v>
      </c>
      <c r="Q590" s="346">
        <f t="shared" si="97"/>
        <v>305440000</v>
      </c>
      <c r="R590" s="346">
        <f t="shared" si="98"/>
        <v>305440000</v>
      </c>
      <c r="S590" s="347" t="s">
        <v>223</v>
      </c>
      <c r="T590" s="345">
        <f t="shared" si="107"/>
        <v>0</v>
      </c>
      <c r="U590" s="348" t="str">
        <f t="shared" si="99"/>
        <v>SUBDIRECCION DE GESTION CONTRACTUAL</v>
      </c>
      <c r="V590" s="345" t="str">
        <f t="shared" si="104"/>
        <v>CO-DC</v>
      </c>
      <c r="W590" s="345" t="str">
        <f t="shared" si="105"/>
        <v>Distrito Capital de Bogotá</v>
      </c>
      <c r="X590" s="340" t="s">
        <v>586</v>
      </c>
      <c r="Y590" s="338">
        <v>2427400</v>
      </c>
      <c r="Z590" s="349" t="s">
        <v>160</v>
      </c>
      <c r="AA590" s="350"/>
      <c r="AB590" s="350"/>
      <c r="AC590" s="350"/>
      <c r="AD590" s="350"/>
      <c r="AE590" s="350"/>
      <c r="AF590" s="350"/>
      <c r="AG590" s="350"/>
      <c r="AH590" s="350"/>
      <c r="AI590" s="350"/>
      <c r="AJ590" s="350"/>
      <c r="AK590" s="350"/>
      <c r="AL590" s="350"/>
      <c r="AM590" s="350"/>
      <c r="AN590" s="350"/>
      <c r="AO590" s="350"/>
      <c r="AP590" s="350"/>
      <c r="AQ590" s="350"/>
      <c r="AR590" s="350"/>
      <c r="AS590" s="350"/>
      <c r="AT590" s="350"/>
      <c r="AU590" s="351"/>
      <c r="AV590" s="351"/>
      <c r="AW590" s="351"/>
      <c r="AX590" s="351"/>
      <c r="AY590" s="351"/>
      <c r="AZ590" s="351"/>
      <c r="BA590" s="351"/>
      <c r="BB590" s="351"/>
      <c r="BC590" s="351"/>
      <c r="BD590" s="351"/>
      <c r="BE590" s="351"/>
      <c r="BF590" s="351"/>
      <c r="BG590" s="351"/>
      <c r="BH590" s="351"/>
      <c r="BI590" s="351"/>
      <c r="BJ590" s="351"/>
      <c r="BK590" s="351"/>
      <c r="BL590" s="351"/>
      <c r="BM590" s="351"/>
      <c r="BN590" s="351"/>
      <c r="BO590" s="351"/>
      <c r="BP590" s="351"/>
      <c r="BQ590" s="351"/>
      <c r="BR590" s="351"/>
      <c r="BS590" s="351"/>
      <c r="BT590" s="351"/>
      <c r="BU590" s="351"/>
      <c r="BV590" s="351"/>
      <c r="BW590" s="351"/>
      <c r="BX590" s="351"/>
      <c r="BY590" s="351"/>
      <c r="BZ590" s="351"/>
      <c r="CA590" s="351"/>
      <c r="CB590" s="351"/>
      <c r="CC590" s="351"/>
      <c r="CD590" s="351"/>
      <c r="CE590" s="351"/>
      <c r="CF590" s="351"/>
      <c r="CG590" s="352"/>
    </row>
    <row r="591" spans="1:85" s="353" customFormat="1" ht="13.9" customHeight="1" x14ac:dyDescent="0.2">
      <c r="A591" s="337" t="s">
        <v>158</v>
      </c>
      <c r="B591" s="338">
        <v>82</v>
      </c>
      <c r="C591" s="339" t="s">
        <v>617</v>
      </c>
      <c r="D591" s="340" t="s">
        <v>159</v>
      </c>
      <c r="E591" s="341"/>
      <c r="F591" s="341">
        <v>5954508000</v>
      </c>
      <c r="G591" s="341"/>
      <c r="H591" s="340">
        <v>92121901</v>
      </c>
      <c r="I591" s="339" t="s">
        <v>723</v>
      </c>
      <c r="J591" s="338">
        <v>1</v>
      </c>
      <c r="K591" s="338">
        <v>1</v>
      </c>
      <c r="L591" s="338">
        <v>12</v>
      </c>
      <c r="M591" s="342">
        <f t="shared" si="96"/>
        <v>1</v>
      </c>
      <c r="N591" s="343" t="s">
        <v>36</v>
      </c>
      <c r="O591" s="344" t="str">
        <f>IF(ISBLANK(N591),"",VLOOKUP(N591,[20]Parámetros!$G$2:$H$23,2,FALSE))</f>
        <v xml:space="preserve">Contratación directa (con ofertas) </v>
      </c>
      <c r="P591" s="345">
        <f t="shared" si="106"/>
        <v>1</v>
      </c>
      <c r="Q591" s="346">
        <f t="shared" si="97"/>
        <v>5954508000</v>
      </c>
      <c r="R591" s="346">
        <f t="shared" si="98"/>
        <v>5954508000</v>
      </c>
      <c r="S591" s="347" t="s">
        <v>223</v>
      </c>
      <c r="T591" s="345">
        <f t="shared" si="107"/>
        <v>0</v>
      </c>
      <c r="U591" s="348" t="str">
        <f t="shared" si="99"/>
        <v>SUBDIRECCION DE GESTION CONTRACTUAL</v>
      </c>
      <c r="V591" s="345" t="str">
        <f t="shared" si="104"/>
        <v>CO-DC</v>
      </c>
      <c r="W591" s="345" t="str">
        <f t="shared" si="105"/>
        <v>Distrito Capital de Bogotá</v>
      </c>
      <c r="X591" s="340" t="s">
        <v>586</v>
      </c>
      <c r="Y591" s="338">
        <v>2427400</v>
      </c>
      <c r="Z591" s="349" t="s">
        <v>160</v>
      </c>
      <c r="AA591" s="350"/>
      <c r="AB591" s="350"/>
      <c r="AC591" s="350"/>
      <c r="AD591" s="350"/>
      <c r="AE591" s="350"/>
      <c r="AF591" s="350"/>
      <c r="AG591" s="350"/>
      <c r="AH591" s="350"/>
      <c r="AI591" s="350"/>
      <c r="AJ591" s="350"/>
      <c r="AK591" s="350"/>
      <c r="AL591" s="350"/>
      <c r="AM591" s="350"/>
      <c r="AN591" s="350"/>
      <c r="AO591" s="350"/>
      <c r="AP591" s="350"/>
      <c r="AQ591" s="350"/>
      <c r="AR591" s="350"/>
      <c r="AS591" s="350"/>
      <c r="AT591" s="350"/>
      <c r="AU591" s="351"/>
      <c r="AV591" s="351"/>
      <c r="AW591" s="351"/>
      <c r="AX591" s="351"/>
      <c r="AY591" s="351"/>
      <c r="AZ591" s="351"/>
      <c r="BA591" s="351"/>
      <c r="BB591" s="351"/>
      <c r="BC591" s="351"/>
      <c r="BD591" s="351"/>
      <c r="BE591" s="351"/>
      <c r="BF591" s="351"/>
      <c r="BG591" s="351"/>
      <c r="BH591" s="351"/>
      <c r="BI591" s="351"/>
      <c r="BJ591" s="351"/>
      <c r="BK591" s="351"/>
      <c r="BL591" s="351"/>
      <c r="BM591" s="351"/>
      <c r="BN591" s="351"/>
      <c r="BO591" s="351"/>
      <c r="BP591" s="351"/>
      <c r="BQ591" s="351"/>
      <c r="BR591" s="351"/>
      <c r="BS591" s="351"/>
      <c r="BT591" s="351"/>
      <c r="BU591" s="351"/>
      <c r="BV591" s="351"/>
      <c r="BW591" s="351"/>
      <c r="BX591" s="351"/>
      <c r="BY591" s="351"/>
      <c r="BZ591" s="351"/>
      <c r="CA591" s="351"/>
      <c r="CB591" s="351"/>
      <c r="CC591" s="351"/>
      <c r="CD591" s="351"/>
      <c r="CE591" s="351"/>
      <c r="CF591" s="351"/>
      <c r="CG591" s="352"/>
    </row>
    <row r="592" spans="1:85" s="353" customFormat="1" ht="13.9" customHeight="1" x14ac:dyDescent="0.2">
      <c r="A592" s="337" t="s">
        <v>158</v>
      </c>
      <c r="B592" s="338">
        <v>83</v>
      </c>
      <c r="C592" s="339" t="s">
        <v>617</v>
      </c>
      <c r="D592" s="340" t="s">
        <v>159</v>
      </c>
      <c r="E592" s="341"/>
      <c r="F592" s="341">
        <v>9903414</v>
      </c>
      <c r="G592" s="341"/>
      <c r="H592" s="340" t="s">
        <v>792</v>
      </c>
      <c r="I592" s="339" t="s">
        <v>722</v>
      </c>
      <c r="J592" s="338">
        <v>1</v>
      </c>
      <c r="K592" s="338">
        <v>1</v>
      </c>
      <c r="L592" s="338">
        <v>12</v>
      </c>
      <c r="M592" s="342">
        <f t="shared" si="96"/>
        <v>1</v>
      </c>
      <c r="N592" s="343" t="s">
        <v>36</v>
      </c>
      <c r="O592" s="344" t="str">
        <f>IF(ISBLANK(N592),"",VLOOKUP(N592,[20]Parámetros!$G$2:$H$23,2,FALSE))</f>
        <v xml:space="preserve">Contratación directa (con ofertas) </v>
      </c>
      <c r="P592" s="345">
        <f t="shared" si="106"/>
        <v>1</v>
      </c>
      <c r="Q592" s="346">
        <f t="shared" si="97"/>
        <v>9903414</v>
      </c>
      <c r="R592" s="346">
        <f t="shared" si="98"/>
        <v>9903414</v>
      </c>
      <c r="S592" s="347" t="s">
        <v>223</v>
      </c>
      <c r="T592" s="345">
        <f t="shared" si="107"/>
        <v>0</v>
      </c>
      <c r="U592" s="348" t="str">
        <f t="shared" si="99"/>
        <v>SUBDIRECCION DE GESTION CONTRACTUAL</v>
      </c>
      <c r="V592" s="345" t="str">
        <f t="shared" si="104"/>
        <v>CO-DC</v>
      </c>
      <c r="W592" s="345" t="str">
        <f t="shared" si="105"/>
        <v>Distrito Capital de Bogotá</v>
      </c>
      <c r="X592" s="340" t="s">
        <v>586</v>
      </c>
      <c r="Y592" s="338">
        <v>2427400</v>
      </c>
      <c r="Z592" s="349" t="s">
        <v>160</v>
      </c>
      <c r="AA592" s="350"/>
      <c r="AB592" s="350"/>
      <c r="AC592" s="350"/>
      <c r="AD592" s="350"/>
      <c r="AE592" s="350"/>
      <c r="AF592" s="350"/>
      <c r="AG592" s="350"/>
      <c r="AH592" s="350"/>
      <c r="AI592" s="350"/>
      <c r="AJ592" s="350"/>
      <c r="AK592" s="350"/>
      <c r="AL592" s="350"/>
      <c r="AM592" s="350"/>
      <c r="AN592" s="350"/>
      <c r="AO592" s="350"/>
      <c r="AP592" s="350"/>
      <c r="AQ592" s="350"/>
      <c r="AR592" s="350"/>
      <c r="AS592" s="350"/>
      <c r="AT592" s="350"/>
      <c r="AU592" s="351"/>
      <c r="AV592" s="351"/>
      <c r="AW592" s="351"/>
      <c r="AX592" s="351"/>
      <c r="AY592" s="351"/>
      <c r="AZ592" s="351"/>
      <c r="BA592" s="351"/>
      <c r="BB592" s="351"/>
      <c r="BC592" s="351"/>
      <c r="BD592" s="351"/>
      <c r="BE592" s="351"/>
      <c r="BF592" s="351"/>
      <c r="BG592" s="351"/>
      <c r="BH592" s="351"/>
      <c r="BI592" s="351"/>
      <c r="BJ592" s="351"/>
      <c r="BK592" s="351"/>
      <c r="BL592" s="351"/>
      <c r="BM592" s="351"/>
      <c r="BN592" s="351"/>
      <c r="BO592" s="351"/>
      <c r="BP592" s="351"/>
      <c r="BQ592" s="351"/>
      <c r="BR592" s="351"/>
      <c r="BS592" s="351"/>
      <c r="BT592" s="351"/>
      <c r="BU592" s="351"/>
      <c r="BV592" s="351"/>
      <c r="BW592" s="351"/>
      <c r="BX592" s="351"/>
      <c r="BY592" s="351"/>
      <c r="BZ592" s="351"/>
      <c r="CA592" s="351"/>
      <c r="CB592" s="351"/>
      <c r="CC592" s="351"/>
      <c r="CD592" s="351"/>
      <c r="CE592" s="351"/>
      <c r="CF592" s="351"/>
      <c r="CG592" s="352"/>
    </row>
    <row r="593" spans="1:85" s="353" customFormat="1" ht="13.9" customHeight="1" x14ac:dyDescent="0.2">
      <c r="A593" s="337" t="s">
        <v>158</v>
      </c>
      <c r="B593" s="338">
        <v>84</v>
      </c>
      <c r="C593" s="339" t="s">
        <v>617</v>
      </c>
      <c r="D593" s="340" t="s">
        <v>159</v>
      </c>
      <c r="E593" s="341"/>
      <c r="F593" s="341">
        <v>47733333</v>
      </c>
      <c r="G593" s="341"/>
      <c r="H593" s="340" t="s">
        <v>792</v>
      </c>
      <c r="I593" s="339" t="s">
        <v>721</v>
      </c>
      <c r="J593" s="338">
        <v>1</v>
      </c>
      <c r="K593" s="338">
        <v>1</v>
      </c>
      <c r="L593" s="338">
        <v>12</v>
      </c>
      <c r="M593" s="342">
        <f t="shared" si="96"/>
        <v>1</v>
      </c>
      <c r="N593" s="343" t="s">
        <v>36</v>
      </c>
      <c r="O593" s="344" t="str">
        <f>IF(ISBLANK(N593),"",VLOOKUP(N593,[20]Parámetros!$G$2:$H$23,2,FALSE))</f>
        <v xml:space="preserve">Contratación directa (con ofertas) </v>
      </c>
      <c r="P593" s="345">
        <f t="shared" si="106"/>
        <v>1</v>
      </c>
      <c r="Q593" s="346">
        <f t="shared" si="97"/>
        <v>47733333</v>
      </c>
      <c r="R593" s="346">
        <f t="shared" si="98"/>
        <v>47733333</v>
      </c>
      <c r="S593" s="347" t="s">
        <v>223</v>
      </c>
      <c r="T593" s="345">
        <f t="shared" si="107"/>
        <v>0</v>
      </c>
      <c r="U593" s="348" t="str">
        <f t="shared" si="99"/>
        <v>SUBDIRECCION DE GESTION CONTRACTUAL</v>
      </c>
      <c r="V593" s="345" t="str">
        <f t="shared" si="104"/>
        <v>CO-DC</v>
      </c>
      <c r="W593" s="345" t="str">
        <f t="shared" si="105"/>
        <v>Distrito Capital de Bogotá</v>
      </c>
      <c r="X593" s="340" t="s">
        <v>586</v>
      </c>
      <c r="Y593" s="338">
        <v>2427400</v>
      </c>
      <c r="Z593" s="349" t="s">
        <v>160</v>
      </c>
      <c r="AA593" s="350"/>
      <c r="AB593" s="350"/>
      <c r="AC593" s="350"/>
      <c r="AD593" s="350"/>
      <c r="AE593" s="350"/>
      <c r="AF593" s="350"/>
      <c r="AG593" s="350"/>
      <c r="AH593" s="350"/>
      <c r="AI593" s="350"/>
      <c r="AJ593" s="350"/>
      <c r="AK593" s="350"/>
      <c r="AL593" s="350"/>
      <c r="AM593" s="350"/>
      <c r="AN593" s="350"/>
      <c r="AO593" s="350"/>
      <c r="AP593" s="350"/>
      <c r="AQ593" s="350"/>
      <c r="AR593" s="350"/>
      <c r="AS593" s="350"/>
      <c r="AT593" s="350"/>
      <c r="AU593" s="351"/>
      <c r="AV593" s="351"/>
      <c r="AW593" s="351"/>
      <c r="AX593" s="351"/>
      <c r="AY593" s="351"/>
      <c r="AZ593" s="351"/>
      <c r="BA593" s="351"/>
      <c r="BB593" s="351"/>
      <c r="BC593" s="351"/>
      <c r="BD593" s="351"/>
      <c r="BE593" s="351"/>
      <c r="BF593" s="351"/>
      <c r="BG593" s="351"/>
      <c r="BH593" s="351"/>
      <c r="BI593" s="351"/>
      <c r="BJ593" s="351"/>
      <c r="BK593" s="351"/>
      <c r="BL593" s="351"/>
      <c r="BM593" s="351"/>
      <c r="BN593" s="351"/>
      <c r="BO593" s="351"/>
      <c r="BP593" s="351"/>
      <c r="BQ593" s="351"/>
      <c r="BR593" s="351"/>
      <c r="BS593" s="351"/>
      <c r="BT593" s="351"/>
      <c r="BU593" s="351"/>
      <c r="BV593" s="351"/>
      <c r="BW593" s="351"/>
      <c r="BX593" s="351"/>
      <c r="BY593" s="351"/>
      <c r="BZ593" s="351"/>
      <c r="CA593" s="351"/>
      <c r="CB593" s="351"/>
      <c r="CC593" s="351"/>
      <c r="CD593" s="351"/>
      <c r="CE593" s="351"/>
      <c r="CF593" s="351"/>
      <c r="CG593" s="352"/>
    </row>
    <row r="594" spans="1:85" s="353" customFormat="1" ht="13.9" customHeight="1" x14ac:dyDescent="0.2">
      <c r="A594" s="337" t="s">
        <v>158</v>
      </c>
      <c r="B594" s="338">
        <v>85</v>
      </c>
      <c r="C594" s="339" t="s">
        <v>617</v>
      </c>
      <c r="D594" s="340" t="s">
        <v>159</v>
      </c>
      <c r="E594" s="341"/>
      <c r="F594" s="341">
        <v>14833333</v>
      </c>
      <c r="G594" s="341"/>
      <c r="H594" s="340" t="s">
        <v>788</v>
      </c>
      <c r="I594" s="339" t="s">
        <v>720</v>
      </c>
      <c r="J594" s="338">
        <v>1</v>
      </c>
      <c r="K594" s="338">
        <v>1</v>
      </c>
      <c r="L594" s="338">
        <v>12</v>
      </c>
      <c r="M594" s="342">
        <f t="shared" si="96"/>
        <v>1</v>
      </c>
      <c r="N594" s="343" t="s">
        <v>36</v>
      </c>
      <c r="O594" s="344" t="str">
        <f>IF(ISBLANK(N594),"",VLOOKUP(N594,[20]Parámetros!$G$2:$H$23,2,FALSE))</f>
        <v xml:space="preserve">Contratación directa (con ofertas) </v>
      </c>
      <c r="P594" s="345">
        <f t="shared" si="106"/>
        <v>1</v>
      </c>
      <c r="Q594" s="346">
        <f t="shared" si="97"/>
        <v>14833333</v>
      </c>
      <c r="R594" s="346">
        <f t="shared" si="98"/>
        <v>14833333</v>
      </c>
      <c r="S594" s="347" t="s">
        <v>223</v>
      </c>
      <c r="T594" s="345">
        <f t="shared" si="107"/>
        <v>0</v>
      </c>
      <c r="U594" s="348" t="str">
        <f t="shared" si="99"/>
        <v>SUBDIRECCION DE GESTION CONTRACTUAL</v>
      </c>
      <c r="V594" s="345" t="str">
        <f t="shared" si="104"/>
        <v>CO-DC</v>
      </c>
      <c r="W594" s="345" t="str">
        <f t="shared" si="105"/>
        <v>Distrito Capital de Bogotá</v>
      </c>
      <c r="X594" s="340" t="s">
        <v>586</v>
      </c>
      <c r="Y594" s="338">
        <v>2427400</v>
      </c>
      <c r="Z594" s="349" t="s">
        <v>160</v>
      </c>
      <c r="AA594" s="350"/>
      <c r="AB594" s="350"/>
      <c r="AC594" s="350"/>
      <c r="AD594" s="350"/>
      <c r="AE594" s="350"/>
      <c r="AF594" s="350"/>
      <c r="AG594" s="350"/>
      <c r="AH594" s="350"/>
      <c r="AI594" s="350"/>
      <c r="AJ594" s="350"/>
      <c r="AK594" s="350"/>
      <c r="AL594" s="350"/>
      <c r="AM594" s="350"/>
      <c r="AN594" s="350"/>
      <c r="AO594" s="350"/>
      <c r="AP594" s="350"/>
      <c r="AQ594" s="350"/>
      <c r="AR594" s="350"/>
      <c r="AS594" s="350"/>
      <c r="AT594" s="350"/>
      <c r="AU594" s="351"/>
      <c r="AV594" s="351"/>
      <c r="AW594" s="351"/>
      <c r="AX594" s="351"/>
      <c r="AY594" s="351"/>
      <c r="AZ594" s="351"/>
      <c r="BA594" s="351"/>
      <c r="BB594" s="351"/>
      <c r="BC594" s="351"/>
      <c r="BD594" s="351"/>
      <c r="BE594" s="351"/>
      <c r="BF594" s="351"/>
      <c r="BG594" s="351"/>
      <c r="BH594" s="351"/>
      <c r="BI594" s="351"/>
      <c r="BJ594" s="351"/>
      <c r="BK594" s="351"/>
      <c r="BL594" s="351"/>
      <c r="BM594" s="351"/>
      <c r="BN594" s="351"/>
      <c r="BO594" s="351"/>
      <c r="BP594" s="351"/>
      <c r="BQ594" s="351"/>
      <c r="BR594" s="351"/>
      <c r="BS594" s="351"/>
      <c r="BT594" s="351"/>
      <c r="BU594" s="351"/>
      <c r="BV594" s="351"/>
      <c r="BW594" s="351"/>
      <c r="BX594" s="351"/>
      <c r="BY594" s="351"/>
      <c r="BZ594" s="351"/>
      <c r="CA594" s="351"/>
      <c r="CB594" s="351"/>
      <c r="CC594" s="351"/>
      <c r="CD594" s="351"/>
      <c r="CE594" s="351"/>
      <c r="CF594" s="351"/>
      <c r="CG594" s="352"/>
    </row>
    <row r="595" spans="1:85" s="353" customFormat="1" ht="13.9" customHeight="1" x14ac:dyDescent="0.2">
      <c r="A595" s="337" t="s">
        <v>158</v>
      </c>
      <c r="B595" s="338">
        <v>86</v>
      </c>
      <c r="C595" s="339" t="s">
        <v>617</v>
      </c>
      <c r="D595" s="340" t="s">
        <v>159</v>
      </c>
      <c r="E595" s="341"/>
      <c r="F595" s="341">
        <v>299073280</v>
      </c>
      <c r="G595" s="341"/>
      <c r="H595" s="340" t="s">
        <v>788</v>
      </c>
      <c r="I595" s="339" t="s">
        <v>719</v>
      </c>
      <c r="J595" s="338">
        <v>1</v>
      </c>
      <c r="K595" s="338">
        <v>1</v>
      </c>
      <c r="L595" s="338">
        <v>12</v>
      </c>
      <c r="M595" s="342">
        <f t="shared" si="96"/>
        <v>1</v>
      </c>
      <c r="N595" s="343" t="s">
        <v>36</v>
      </c>
      <c r="O595" s="344" t="str">
        <f>IF(ISBLANK(N595),"",VLOOKUP(N595,[20]Parámetros!$G$2:$H$23,2,FALSE))</f>
        <v xml:space="preserve">Contratación directa (con ofertas) </v>
      </c>
      <c r="P595" s="345">
        <f t="shared" si="106"/>
        <v>1</v>
      </c>
      <c r="Q595" s="346">
        <f t="shared" si="97"/>
        <v>299073280</v>
      </c>
      <c r="R595" s="346">
        <f t="shared" si="98"/>
        <v>299073280</v>
      </c>
      <c r="S595" s="347" t="s">
        <v>223</v>
      </c>
      <c r="T595" s="345">
        <f t="shared" si="107"/>
        <v>0</v>
      </c>
      <c r="U595" s="348" t="str">
        <f t="shared" si="99"/>
        <v>SUBDIRECCION DE GESTION CONTRACTUAL</v>
      </c>
      <c r="V595" s="345" t="str">
        <f t="shared" si="104"/>
        <v>CO-DC</v>
      </c>
      <c r="W595" s="345" t="str">
        <f t="shared" si="105"/>
        <v>Distrito Capital de Bogotá</v>
      </c>
      <c r="X595" s="340" t="s">
        <v>586</v>
      </c>
      <c r="Y595" s="338">
        <v>2427400</v>
      </c>
      <c r="Z595" s="349" t="s">
        <v>160</v>
      </c>
      <c r="AA595" s="350"/>
      <c r="AB595" s="350"/>
      <c r="AC595" s="350"/>
      <c r="AD595" s="350"/>
      <c r="AE595" s="350"/>
      <c r="AF595" s="350"/>
      <c r="AG595" s="350"/>
      <c r="AH595" s="350"/>
      <c r="AI595" s="350"/>
      <c r="AJ595" s="350"/>
      <c r="AK595" s="350"/>
      <c r="AL595" s="350"/>
      <c r="AM595" s="350"/>
      <c r="AN595" s="350"/>
      <c r="AO595" s="350"/>
      <c r="AP595" s="350"/>
      <c r="AQ595" s="350"/>
      <c r="AR595" s="350"/>
      <c r="AS595" s="350"/>
      <c r="AT595" s="350"/>
      <c r="AU595" s="351"/>
      <c r="AV595" s="351"/>
      <c r="AW595" s="351"/>
      <c r="AX595" s="351"/>
      <c r="AY595" s="351"/>
      <c r="AZ595" s="351"/>
      <c r="BA595" s="351"/>
      <c r="BB595" s="351"/>
      <c r="BC595" s="351"/>
      <c r="BD595" s="351"/>
      <c r="BE595" s="351"/>
      <c r="BF595" s="351"/>
      <c r="BG595" s="351"/>
      <c r="BH595" s="351"/>
      <c r="BI595" s="351"/>
      <c r="BJ595" s="351"/>
      <c r="BK595" s="351"/>
      <c r="BL595" s="351"/>
      <c r="BM595" s="351"/>
      <c r="BN595" s="351"/>
      <c r="BO595" s="351"/>
      <c r="BP595" s="351"/>
      <c r="BQ595" s="351"/>
      <c r="BR595" s="351"/>
      <c r="BS595" s="351"/>
      <c r="BT595" s="351"/>
      <c r="BU595" s="351"/>
      <c r="BV595" s="351"/>
      <c r="BW595" s="351"/>
      <c r="BX595" s="351"/>
      <c r="BY595" s="351"/>
      <c r="BZ595" s="351"/>
      <c r="CA595" s="351"/>
      <c r="CB595" s="351"/>
      <c r="CC595" s="351"/>
      <c r="CD595" s="351"/>
      <c r="CE595" s="351"/>
      <c r="CF595" s="351"/>
      <c r="CG595" s="352"/>
    </row>
    <row r="596" spans="1:85" s="353" customFormat="1" ht="13.9" customHeight="1" x14ac:dyDescent="0.2">
      <c r="A596" s="337" t="s">
        <v>158</v>
      </c>
      <c r="B596" s="338">
        <v>87</v>
      </c>
      <c r="C596" s="339" t="s">
        <v>617</v>
      </c>
      <c r="D596" s="340" t="s">
        <v>159</v>
      </c>
      <c r="E596" s="341"/>
      <c r="F596" s="341">
        <v>1725297191</v>
      </c>
      <c r="G596" s="341"/>
      <c r="H596" s="340" t="s">
        <v>792</v>
      </c>
      <c r="I596" s="339" t="s">
        <v>718</v>
      </c>
      <c r="J596" s="338">
        <v>1</v>
      </c>
      <c r="K596" s="338">
        <v>1</v>
      </c>
      <c r="L596" s="338">
        <v>12</v>
      </c>
      <c r="M596" s="342">
        <f t="shared" si="96"/>
        <v>1</v>
      </c>
      <c r="N596" s="343" t="s">
        <v>36</v>
      </c>
      <c r="O596" s="344" t="str">
        <f>IF(ISBLANK(N596),"",VLOOKUP(N596,[20]Parámetros!$G$2:$H$23,2,FALSE))</f>
        <v xml:space="preserve">Contratación directa (con ofertas) </v>
      </c>
      <c r="P596" s="345">
        <f t="shared" si="106"/>
        <v>1</v>
      </c>
      <c r="Q596" s="346">
        <f t="shared" si="97"/>
        <v>1725297191</v>
      </c>
      <c r="R596" s="346">
        <f t="shared" si="98"/>
        <v>1725297191</v>
      </c>
      <c r="S596" s="347" t="s">
        <v>223</v>
      </c>
      <c r="T596" s="345">
        <f t="shared" si="107"/>
        <v>0</v>
      </c>
      <c r="U596" s="348" t="str">
        <f t="shared" si="99"/>
        <v>SUBDIRECCION DE GESTION CONTRACTUAL</v>
      </c>
      <c r="V596" s="345" t="str">
        <f t="shared" si="104"/>
        <v>CO-DC</v>
      </c>
      <c r="W596" s="345" t="str">
        <f t="shared" si="105"/>
        <v>Distrito Capital de Bogotá</v>
      </c>
      <c r="X596" s="340" t="s">
        <v>586</v>
      </c>
      <c r="Y596" s="338">
        <v>2427400</v>
      </c>
      <c r="Z596" s="349" t="s">
        <v>160</v>
      </c>
      <c r="AA596" s="350"/>
      <c r="AB596" s="350"/>
      <c r="AC596" s="350"/>
      <c r="AD596" s="350"/>
      <c r="AE596" s="350"/>
      <c r="AF596" s="350"/>
      <c r="AG596" s="350"/>
      <c r="AH596" s="350"/>
      <c r="AI596" s="350"/>
      <c r="AJ596" s="350"/>
      <c r="AK596" s="350"/>
      <c r="AL596" s="350"/>
      <c r="AM596" s="350"/>
      <c r="AN596" s="350"/>
      <c r="AO596" s="350"/>
      <c r="AP596" s="350"/>
      <c r="AQ596" s="350"/>
      <c r="AR596" s="350"/>
      <c r="AS596" s="350"/>
      <c r="AT596" s="350"/>
      <c r="AU596" s="351"/>
      <c r="AV596" s="351"/>
      <c r="AW596" s="351"/>
      <c r="AX596" s="351"/>
      <c r="AY596" s="351"/>
      <c r="AZ596" s="351"/>
      <c r="BA596" s="351"/>
      <c r="BB596" s="351"/>
      <c r="BC596" s="351"/>
      <c r="BD596" s="351"/>
      <c r="BE596" s="351"/>
      <c r="BF596" s="351"/>
      <c r="BG596" s="351"/>
      <c r="BH596" s="351"/>
      <c r="BI596" s="351"/>
      <c r="BJ596" s="351"/>
      <c r="BK596" s="351"/>
      <c r="BL596" s="351"/>
      <c r="BM596" s="351"/>
      <c r="BN596" s="351"/>
      <c r="BO596" s="351"/>
      <c r="BP596" s="351"/>
      <c r="BQ596" s="351"/>
      <c r="BR596" s="351"/>
      <c r="BS596" s="351"/>
      <c r="BT596" s="351"/>
      <c r="BU596" s="351"/>
      <c r="BV596" s="351"/>
      <c r="BW596" s="351"/>
      <c r="BX596" s="351"/>
      <c r="BY596" s="351"/>
      <c r="BZ596" s="351"/>
      <c r="CA596" s="351"/>
      <c r="CB596" s="351"/>
      <c r="CC596" s="351"/>
      <c r="CD596" s="351"/>
      <c r="CE596" s="351"/>
      <c r="CF596" s="351"/>
      <c r="CG596" s="352"/>
    </row>
    <row r="597" spans="1:85" s="353" customFormat="1" ht="13.9" customHeight="1" x14ac:dyDescent="0.2">
      <c r="A597" s="337" t="s">
        <v>158</v>
      </c>
      <c r="B597" s="338">
        <v>88</v>
      </c>
      <c r="C597" s="339" t="s">
        <v>617</v>
      </c>
      <c r="D597" s="340" t="s">
        <v>159</v>
      </c>
      <c r="E597" s="341"/>
      <c r="F597" s="341">
        <v>962792662</v>
      </c>
      <c r="G597" s="341"/>
      <c r="H597" s="340" t="s">
        <v>792</v>
      </c>
      <c r="I597" s="339" t="s">
        <v>717</v>
      </c>
      <c r="J597" s="338">
        <v>1</v>
      </c>
      <c r="K597" s="338">
        <v>1</v>
      </c>
      <c r="L597" s="338">
        <v>12</v>
      </c>
      <c r="M597" s="342">
        <f t="shared" si="96"/>
        <v>1</v>
      </c>
      <c r="N597" s="343" t="s">
        <v>36</v>
      </c>
      <c r="O597" s="344" t="str">
        <f>IF(ISBLANK(N597),"",VLOOKUP(N597,[20]Parámetros!$G$2:$H$23,2,FALSE))</f>
        <v xml:space="preserve">Contratación directa (con ofertas) </v>
      </c>
      <c r="P597" s="345">
        <f t="shared" si="106"/>
        <v>1</v>
      </c>
      <c r="Q597" s="346">
        <f t="shared" si="97"/>
        <v>962792662</v>
      </c>
      <c r="R597" s="346">
        <f t="shared" si="98"/>
        <v>962792662</v>
      </c>
      <c r="S597" s="347" t="s">
        <v>223</v>
      </c>
      <c r="T597" s="345">
        <f t="shared" si="107"/>
        <v>0</v>
      </c>
      <c r="U597" s="348" t="str">
        <f t="shared" si="99"/>
        <v>SUBDIRECCION DE GESTION CONTRACTUAL</v>
      </c>
      <c r="V597" s="345" t="str">
        <f t="shared" si="104"/>
        <v>CO-DC</v>
      </c>
      <c r="W597" s="345" t="str">
        <f t="shared" si="105"/>
        <v>Distrito Capital de Bogotá</v>
      </c>
      <c r="X597" s="340" t="s">
        <v>586</v>
      </c>
      <c r="Y597" s="338">
        <v>2427400</v>
      </c>
      <c r="Z597" s="349" t="s">
        <v>160</v>
      </c>
      <c r="AA597" s="350"/>
      <c r="AB597" s="350"/>
      <c r="AC597" s="350"/>
      <c r="AD597" s="350"/>
      <c r="AE597" s="350"/>
      <c r="AF597" s="350"/>
      <c r="AG597" s="350"/>
      <c r="AH597" s="350"/>
      <c r="AI597" s="350"/>
      <c r="AJ597" s="350"/>
      <c r="AK597" s="350"/>
      <c r="AL597" s="350"/>
      <c r="AM597" s="350"/>
      <c r="AN597" s="350"/>
      <c r="AO597" s="350"/>
      <c r="AP597" s="350"/>
      <c r="AQ597" s="350"/>
      <c r="AR597" s="350"/>
      <c r="AS597" s="350"/>
      <c r="AT597" s="350"/>
      <c r="AU597" s="351"/>
      <c r="AV597" s="351"/>
      <c r="AW597" s="351"/>
      <c r="AX597" s="351"/>
      <c r="AY597" s="351"/>
      <c r="AZ597" s="351"/>
      <c r="BA597" s="351"/>
      <c r="BB597" s="351"/>
      <c r="BC597" s="351"/>
      <c r="BD597" s="351"/>
      <c r="BE597" s="351"/>
      <c r="BF597" s="351"/>
      <c r="BG597" s="351"/>
      <c r="BH597" s="351"/>
      <c r="BI597" s="351"/>
      <c r="BJ597" s="351"/>
      <c r="BK597" s="351"/>
      <c r="BL597" s="351"/>
      <c r="BM597" s="351"/>
      <c r="BN597" s="351"/>
      <c r="BO597" s="351"/>
      <c r="BP597" s="351"/>
      <c r="BQ597" s="351"/>
      <c r="BR597" s="351"/>
      <c r="BS597" s="351"/>
      <c r="BT597" s="351"/>
      <c r="BU597" s="351"/>
      <c r="BV597" s="351"/>
      <c r="BW597" s="351"/>
      <c r="BX597" s="351"/>
      <c r="BY597" s="351"/>
      <c r="BZ597" s="351"/>
      <c r="CA597" s="351"/>
      <c r="CB597" s="351"/>
      <c r="CC597" s="351"/>
      <c r="CD597" s="351"/>
      <c r="CE597" s="351"/>
      <c r="CF597" s="351"/>
      <c r="CG597" s="352"/>
    </row>
    <row r="598" spans="1:85" s="353" customFormat="1" ht="13.9" customHeight="1" x14ac:dyDescent="0.2">
      <c r="A598" s="337" t="s">
        <v>158</v>
      </c>
      <c r="B598" s="338">
        <v>89</v>
      </c>
      <c r="C598" s="339" t="s">
        <v>617</v>
      </c>
      <c r="D598" s="340" t="s">
        <v>159</v>
      </c>
      <c r="E598" s="341"/>
      <c r="F598" s="341">
        <v>2038115564</v>
      </c>
      <c r="G598" s="341"/>
      <c r="H598" s="340" t="s">
        <v>792</v>
      </c>
      <c r="I598" s="339" t="s">
        <v>716</v>
      </c>
      <c r="J598" s="338">
        <v>1</v>
      </c>
      <c r="K598" s="338">
        <v>1</v>
      </c>
      <c r="L598" s="338">
        <v>12</v>
      </c>
      <c r="M598" s="342">
        <f t="shared" ref="M598:M643" si="108">IF(ISBLANK(J598),"",1)</f>
        <v>1</v>
      </c>
      <c r="N598" s="343" t="s">
        <v>36</v>
      </c>
      <c r="O598" s="344" t="str">
        <f>IF(ISBLANK(N598),"",VLOOKUP(N598,[20]Parámetros!$G$2:$H$23,2,FALSE))</f>
        <v xml:space="preserve">Contratación directa (con ofertas) </v>
      </c>
      <c r="P598" s="345">
        <f t="shared" si="106"/>
        <v>1</v>
      </c>
      <c r="Q598" s="346">
        <f t="shared" ref="Q598:Q665" si="109">+E598+F598+G598</f>
        <v>2038115564</v>
      </c>
      <c r="R598" s="346">
        <f t="shared" ref="R598:R665" si="110">+F598</f>
        <v>2038115564</v>
      </c>
      <c r="S598" s="347" t="s">
        <v>223</v>
      </c>
      <c r="T598" s="345">
        <f t="shared" si="107"/>
        <v>0</v>
      </c>
      <c r="U598" s="348" t="str">
        <f t="shared" ref="U598:U644" si="111">IF(ISBLANK(N598),"","SUBDIRECCION DE GESTION CONTRACTUAL")</f>
        <v>SUBDIRECCION DE GESTION CONTRACTUAL</v>
      </c>
      <c r="V598" s="345" t="str">
        <f t="shared" si="104"/>
        <v>CO-DC</v>
      </c>
      <c r="W598" s="345" t="str">
        <f t="shared" si="105"/>
        <v>Distrito Capital de Bogotá</v>
      </c>
      <c r="X598" s="340" t="s">
        <v>586</v>
      </c>
      <c r="Y598" s="338">
        <v>2427400</v>
      </c>
      <c r="Z598" s="349" t="s">
        <v>160</v>
      </c>
      <c r="AA598" s="350"/>
      <c r="AB598" s="350"/>
      <c r="AC598" s="350"/>
      <c r="AD598" s="350"/>
      <c r="AE598" s="350"/>
      <c r="AF598" s="350"/>
      <c r="AG598" s="350"/>
      <c r="AH598" s="350"/>
      <c r="AI598" s="350"/>
      <c r="AJ598" s="350"/>
      <c r="AK598" s="350"/>
      <c r="AL598" s="350"/>
      <c r="AM598" s="350"/>
      <c r="AN598" s="350"/>
      <c r="AO598" s="350"/>
      <c r="AP598" s="350"/>
      <c r="AQ598" s="350"/>
      <c r="AR598" s="350"/>
      <c r="AS598" s="350"/>
      <c r="AT598" s="350"/>
      <c r="AU598" s="351"/>
      <c r="AV598" s="351"/>
      <c r="AW598" s="351"/>
      <c r="AX598" s="351"/>
      <c r="AY598" s="351"/>
      <c r="AZ598" s="351"/>
      <c r="BA598" s="351"/>
      <c r="BB598" s="351"/>
      <c r="BC598" s="351"/>
      <c r="BD598" s="351"/>
      <c r="BE598" s="351"/>
      <c r="BF598" s="351"/>
      <c r="BG598" s="351"/>
      <c r="BH598" s="351"/>
      <c r="BI598" s="351"/>
      <c r="BJ598" s="351"/>
      <c r="BK598" s="351"/>
      <c r="BL598" s="351"/>
      <c r="BM598" s="351"/>
      <c r="BN598" s="351"/>
      <c r="BO598" s="351"/>
      <c r="BP598" s="351"/>
      <c r="BQ598" s="351"/>
      <c r="BR598" s="351"/>
      <c r="BS598" s="351"/>
      <c r="BT598" s="351"/>
      <c r="BU598" s="351"/>
      <c r="BV598" s="351"/>
      <c r="BW598" s="351"/>
      <c r="BX598" s="351"/>
      <c r="BY598" s="351"/>
      <c r="BZ598" s="351"/>
      <c r="CA598" s="351"/>
      <c r="CB598" s="351"/>
      <c r="CC598" s="351"/>
      <c r="CD598" s="351"/>
      <c r="CE598" s="351"/>
      <c r="CF598" s="351"/>
      <c r="CG598" s="352"/>
    </row>
    <row r="599" spans="1:85" s="353" customFormat="1" ht="13.9" customHeight="1" x14ac:dyDescent="0.2">
      <c r="A599" s="337" t="s">
        <v>158</v>
      </c>
      <c r="B599" s="338">
        <v>90</v>
      </c>
      <c r="C599" s="339" t="s">
        <v>617</v>
      </c>
      <c r="D599" s="340" t="s">
        <v>159</v>
      </c>
      <c r="E599" s="341"/>
      <c r="F599" s="341">
        <v>729646729</v>
      </c>
      <c r="G599" s="341"/>
      <c r="H599" s="340" t="s">
        <v>792</v>
      </c>
      <c r="I599" s="339" t="s">
        <v>715</v>
      </c>
      <c r="J599" s="338">
        <v>1</v>
      </c>
      <c r="K599" s="338">
        <v>1</v>
      </c>
      <c r="L599" s="338">
        <v>12</v>
      </c>
      <c r="M599" s="342">
        <f t="shared" si="108"/>
        <v>1</v>
      </c>
      <c r="N599" s="343" t="s">
        <v>36</v>
      </c>
      <c r="O599" s="344" t="str">
        <f>IF(ISBLANK(N599),"",VLOOKUP(N599,[20]Parámetros!$G$2:$H$23,2,FALSE))</f>
        <v xml:space="preserve">Contratación directa (con ofertas) </v>
      </c>
      <c r="P599" s="345">
        <f t="shared" si="106"/>
        <v>1</v>
      </c>
      <c r="Q599" s="346">
        <f t="shared" si="109"/>
        <v>729646729</v>
      </c>
      <c r="R599" s="346">
        <f t="shared" si="110"/>
        <v>729646729</v>
      </c>
      <c r="S599" s="347" t="s">
        <v>223</v>
      </c>
      <c r="T599" s="345">
        <f t="shared" si="107"/>
        <v>0</v>
      </c>
      <c r="U599" s="348" t="str">
        <f t="shared" si="111"/>
        <v>SUBDIRECCION DE GESTION CONTRACTUAL</v>
      </c>
      <c r="V599" s="345" t="str">
        <f t="shared" si="104"/>
        <v>CO-DC</v>
      </c>
      <c r="W599" s="345" t="str">
        <f t="shared" si="105"/>
        <v>Distrito Capital de Bogotá</v>
      </c>
      <c r="X599" s="340" t="s">
        <v>586</v>
      </c>
      <c r="Y599" s="338">
        <v>2427400</v>
      </c>
      <c r="Z599" s="349" t="s">
        <v>160</v>
      </c>
      <c r="AA599" s="350"/>
      <c r="AB599" s="350"/>
      <c r="AC599" s="350"/>
      <c r="AD599" s="350"/>
      <c r="AE599" s="350"/>
      <c r="AF599" s="350"/>
      <c r="AG599" s="350"/>
      <c r="AH599" s="350"/>
      <c r="AI599" s="350"/>
      <c r="AJ599" s="350"/>
      <c r="AK599" s="350"/>
      <c r="AL599" s="350"/>
      <c r="AM599" s="350"/>
      <c r="AN599" s="350"/>
      <c r="AO599" s="350"/>
      <c r="AP599" s="350"/>
      <c r="AQ599" s="350"/>
      <c r="AR599" s="350"/>
      <c r="AS599" s="350"/>
      <c r="AT599" s="350"/>
      <c r="AU599" s="351"/>
      <c r="AV599" s="351"/>
      <c r="AW599" s="351"/>
      <c r="AX599" s="351"/>
      <c r="AY599" s="351"/>
      <c r="AZ599" s="351"/>
      <c r="BA599" s="351"/>
      <c r="BB599" s="351"/>
      <c r="BC599" s="351"/>
      <c r="BD599" s="351"/>
      <c r="BE599" s="351"/>
      <c r="BF599" s="351"/>
      <c r="BG599" s="351"/>
      <c r="BH599" s="351"/>
      <c r="BI599" s="351"/>
      <c r="BJ599" s="351"/>
      <c r="BK599" s="351"/>
      <c r="BL599" s="351"/>
      <c r="BM599" s="351"/>
      <c r="BN599" s="351"/>
      <c r="BO599" s="351"/>
      <c r="BP599" s="351"/>
      <c r="BQ599" s="351"/>
      <c r="BR599" s="351"/>
      <c r="BS599" s="351"/>
      <c r="BT599" s="351"/>
      <c r="BU599" s="351"/>
      <c r="BV599" s="351"/>
      <c r="BW599" s="351"/>
      <c r="BX599" s="351"/>
      <c r="BY599" s="351"/>
      <c r="BZ599" s="351"/>
      <c r="CA599" s="351"/>
      <c r="CB599" s="351"/>
      <c r="CC599" s="351"/>
      <c r="CD599" s="351"/>
      <c r="CE599" s="351"/>
      <c r="CF599" s="351"/>
      <c r="CG599" s="352"/>
    </row>
    <row r="600" spans="1:85" s="353" customFormat="1" ht="13.9" customHeight="1" x14ac:dyDescent="0.2">
      <c r="A600" s="337" t="s">
        <v>158</v>
      </c>
      <c r="B600" s="338">
        <v>91</v>
      </c>
      <c r="C600" s="339" t="s">
        <v>617</v>
      </c>
      <c r="D600" s="340" t="s">
        <v>159</v>
      </c>
      <c r="E600" s="341"/>
      <c r="F600" s="341">
        <v>3098514986</v>
      </c>
      <c r="G600" s="341"/>
      <c r="H600" s="340" t="s">
        <v>792</v>
      </c>
      <c r="I600" s="339" t="s">
        <v>714</v>
      </c>
      <c r="J600" s="338">
        <v>1</v>
      </c>
      <c r="K600" s="338">
        <v>1</v>
      </c>
      <c r="L600" s="338">
        <v>12</v>
      </c>
      <c r="M600" s="342">
        <f t="shared" si="108"/>
        <v>1</v>
      </c>
      <c r="N600" s="343" t="s">
        <v>36</v>
      </c>
      <c r="O600" s="344" t="str">
        <f>IF(ISBLANK(N600),"",VLOOKUP(N600,[20]Parámetros!$G$2:$H$23,2,FALSE))</f>
        <v xml:space="preserve">Contratación directa (con ofertas) </v>
      </c>
      <c r="P600" s="345">
        <f t="shared" si="106"/>
        <v>1</v>
      </c>
      <c r="Q600" s="346">
        <f t="shared" si="109"/>
        <v>3098514986</v>
      </c>
      <c r="R600" s="346">
        <f t="shared" si="110"/>
        <v>3098514986</v>
      </c>
      <c r="S600" s="347" t="s">
        <v>223</v>
      </c>
      <c r="T600" s="345">
        <f t="shared" si="107"/>
        <v>0</v>
      </c>
      <c r="U600" s="348" t="str">
        <f t="shared" si="111"/>
        <v>SUBDIRECCION DE GESTION CONTRACTUAL</v>
      </c>
      <c r="V600" s="345" t="str">
        <f t="shared" si="104"/>
        <v>CO-DC</v>
      </c>
      <c r="W600" s="345" t="str">
        <f t="shared" si="105"/>
        <v>Distrito Capital de Bogotá</v>
      </c>
      <c r="X600" s="340" t="s">
        <v>586</v>
      </c>
      <c r="Y600" s="338">
        <v>2427400</v>
      </c>
      <c r="Z600" s="349" t="s">
        <v>160</v>
      </c>
      <c r="AA600" s="350"/>
      <c r="AB600" s="350"/>
      <c r="AC600" s="350"/>
      <c r="AD600" s="350"/>
      <c r="AE600" s="350"/>
      <c r="AF600" s="350"/>
      <c r="AG600" s="350"/>
      <c r="AH600" s="350"/>
      <c r="AI600" s="350"/>
      <c r="AJ600" s="350"/>
      <c r="AK600" s="350"/>
      <c r="AL600" s="350"/>
      <c r="AM600" s="350"/>
      <c r="AN600" s="350"/>
      <c r="AO600" s="350"/>
      <c r="AP600" s="350"/>
      <c r="AQ600" s="350"/>
      <c r="AR600" s="350"/>
      <c r="AS600" s="350"/>
      <c r="AT600" s="350"/>
      <c r="AU600" s="351"/>
      <c r="AV600" s="351"/>
      <c r="AW600" s="351"/>
      <c r="AX600" s="351"/>
      <c r="AY600" s="351"/>
      <c r="AZ600" s="351"/>
      <c r="BA600" s="351"/>
      <c r="BB600" s="351"/>
      <c r="BC600" s="351"/>
      <c r="BD600" s="351"/>
      <c r="BE600" s="351"/>
      <c r="BF600" s="351"/>
      <c r="BG600" s="351"/>
      <c r="BH600" s="351"/>
      <c r="BI600" s="351"/>
      <c r="BJ600" s="351"/>
      <c r="BK600" s="351"/>
      <c r="BL600" s="351"/>
      <c r="BM600" s="351"/>
      <c r="BN600" s="351"/>
      <c r="BO600" s="351"/>
      <c r="BP600" s="351"/>
      <c r="BQ600" s="351"/>
      <c r="BR600" s="351"/>
      <c r="BS600" s="351"/>
      <c r="BT600" s="351"/>
      <c r="BU600" s="351"/>
      <c r="BV600" s="351"/>
      <c r="BW600" s="351"/>
      <c r="BX600" s="351"/>
      <c r="BY600" s="351"/>
      <c r="BZ600" s="351"/>
      <c r="CA600" s="351"/>
      <c r="CB600" s="351"/>
      <c r="CC600" s="351"/>
      <c r="CD600" s="351"/>
      <c r="CE600" s="351"/>
      <c r="CF600" s="351"/>
      <c r="CG600" s="352"/>
    </row>
    <row r="601" spans="1:85" s="353" customFormat="1" ht="13.9" customHeight="1" x14ac:dyDescent="0.2">
      <c r="A601" s="337" t="s">
        <v>158</v>
      </c>
      <c r="B601" s="338">
        <v>92</v>
      </c>
      <c r="C601" s="339" t="s">
        <v>617</v>
      </c>
      <c r="D601" s="340" t="s">
        <v>159</v>
      </c>
      <c r="E601" s="341"/>
      <c r="F601" s="341">
        <v>725962018</v>
      </c>
      <c r="G601" s="341"/>
      <c r="H601" s="340" t="s">
        <v>792</v>
      </c>
      <c r="I601" s="339" t="s">
        <v>713</v>
      </c>
      <c r="J601" s="338">
        <v>1</v>
      </c>
      <c r="K601" s="338">
        <v>1</v>
      </c>
      <c r="L601" s="338">
        <v>12</v>
      </c>
      <c r="M601" s="342">
        <f t="shared" si="108"/>
        <v>1</v>
      </c>
      <c r="N601" s="343" t="s">
        <v>36</v>
      </c>
      <c r="O601" s="344" t="str">
        <f>IF(ISBLANK(N601),"",VLOOKUP(N601,[20]Parámetros!$G$2:$H$23,2,FALSE))</f>
        <v xml:space="preserve">Contratación directa (con ofertas) </v>
      </c>
      <c r="P601" s="345">
        <f t="shared" si="106"/>
        <v>1</v>
      </c>
      <c r="Q601" s="346">
        <f t="shared" si="109"/>
        <v>725962018</v>
      </c>
      <c r="R601" s="346">
        <f t="shared" si="110"/>
        <v>725962018</v>
      </c>
      <c r="S601" s="347" t="s">
        <v>223</v>
      </c>
      <c r="T601" s="345">
        <f t="shared" si="107"/>
        <v>0</v>
      </c>
      <c r="U601" s="348" t="str">
        <f t="shared" si="111"/>
        <v>SUBDIRECCION DE GESTION CONTRACTUAL</v>
      </c>
      <c r="V601" s="345" t="str">
        <f t="shared" si="104"/>
        <v>CO-DC</v>
      </c>
      <c r="W601" s="345" t="str">
        <f t="shared" si="105"/>
        <v>Distrito Capital de Bogotá</v>
      </c>
      <c r="X601" s="340" t="s">
        <v>586</v>
      </c>
      <c r="Y601" s="338">
        <v>2427400</v>
      </c>
      <c r="Z601" s="349" t="s">
        <v>160</v>
      </c>
      <c r="AA601" s="350"/>
      <c r="AB601" s="350"/>
      <c r="AC601" s="350"/>
      <c r="AD601" s="350"/>
      <c r="AE601" s="350"/>
      <c r="AF601" s="350"/>
      <c r="AG601" s="350"/>
      <c r="AH601" s="350"/>
      <c r="AI601" s="350"/>
      <c r="AJ601" s="350"/>
      <c r="AK601" s="350"/>
      <c r="AL601" s="350"/>
      <c r="AM601" s="350"/>
      <c r="AN601" s="350"/>
      <c r="AO601" s="350"/>
      <c r="AP601" s="350"/>
      <c r="AQ601" s="350"/>
      <c r="AR601" s="350"/>
      <c r="AS601" s="350"/>
      <c r="AT601" s="350"/>
      <c r="AU601" s="351"/>
      <c r="AV601" s="351"/>
      <c r="AW601" s="351"/>
      <c r="AX601" s="351"/>
      <c r="AY601" s="351"/>
      <c r="AZ601" s="351"/>
      <c r="BA601" s="351"/>
      <c r="BB601" s="351"/>
      <c r="BC601" s="351"/>
      <c r="BD601" s="351"/>
      <c r="BE601" s="351"/>
      <c r="BF601" s="351"/>
      <c r="BG601" s="351"/>
      <c r="BH601" s="351"/>
      <c r="BI601" s="351"/>
      <c r="BJ601" s="351"/>
      <c r="BK601" s="351"/>
      <c r="BL601" s="351"/>
      <c r="BM601" s="351"/>
      <c r="BN601" s="351"/>
      <c r="BO601" s="351"/>
      <c r="BP601" s="351"/>
      <c r="BQ601" s="351"/>
      <c r="BR601" s="351"/>
      <c r="BS601" s="351"/>
      <c r="BT601" s="351"/>
      <c r="BU601" s="351"/>
      <c r="BV601" s="351"/>
      <c r="BW601" s="351"/>
      <c r="BX601" s="351"/>
      <c r="BY601" s="351"/>
      <c r="BZ601" s="351"/>
      <c r="CA601" s="351"/>
      <c r="CB601" s="351"/>
      <c r="CC601" s="351"/>
      <c r="CD601" s="351"/>
      <c r="CE601" s="351"/>
      <c r="CF601" s="351"/>
      <c r="CG601" s="352"/>
    </row>
    <row r="602" spans="1:85" s="353" customFormat="1" ht="13.9" customHeight="1" x14ac:dyDescent="0.2">
      <c r="A602" s="337" t="s">
        <v>158</v>
      </c>
      <c r="B602" s="338">
        <v>93</v>
      </c>
      <c r="C602" s="339" t="s">
        <v>617</v>
      </c>
      <c r="D602" s="340" t="s">
        <v>159</v>
      </c>
      <c r="E602" s="341"/>
      <c r="F602" s="341">
        <f>8400000000+1100000000</f>
        <v>9500000000</v>
      </c>
      <c r="G602" s="341"/>
      <c r="H602" s="340">
        <v>80111600</v>
      </c>
      <c r="I602" s="339" t="s">
        <v>712</v>
      </c>
      <c r="J602" s="338">
        <v>1</v>
      </c>
      <c r="K602" s="338">
        <v>1</v>
      </c>
      <c r="L602" s="338">
        <v>12</v>
      </c>
      <c r="M602" s="342">
        <f t="shared" si="108"/>
        <v>1</v>
      </c>
      <c r="N602" s="343" t="s">
        <v>216</v>
      </c>
      <c r="O602" s="344" t="str">
        <f>IF(ISBLANK(N602),"",VLOOKUP(N602,[20]Parámetros!$G$2:$H$23,2,FALSE))</f>
        <v>Contratación directa.</v>
      </c>
      <c r="P602" s="345">
        <f t="shared" si="106"/>
        <v>1</v>
      </c>
      <c r="Q602" s="346">
        <f t="shared" si="109"/>
        <v>9500000000</v>
      </c>
      <c r="R602" s="346">
        <f t="shared" si="110"/>
        <v>9500000000</v>
      </c>
      <c r="S602" s="347" t="s">
        <v>223</v>
      </c>
      <c r="T602" s="345">
        <f t="shared" si="107"/>
        <v>0</v>
      </c>
      <c r="U602" s="348" t="str">
        <f t="shared" si="111"/>
        <v>SUBDIRECCION DE GESTION CONTRACTUAL</v>
      </c>
      <c r="V602" s="345" t="str">
        <f t="shared" si="104"/>
        <v>CO-DC</v>
      </c>
      <c r="W602" s="345" t="str">
        <f t="shared" si="105"/>
        <v>Distrito Capital de Bogotá</v>
      </c>
      <c r="X602" s="340" t="s">
        <v>586</v>
      </c>
      <c r="Y602" s="338">
        <v>2427400</v>
      </c>
      <c r="Z602" s="365" t="s">
        <v>160</v>
      </c>
      <c r="AA602" s="350"/>
      <c r="AB602" s="350"/>
      <c r="AC602" s="350"/>
      <c r="AD602" s="350"/>
      <c r="AE602" s="350"/>
      <c r="AF602" s="350"/>
      <c r="AG602" s="350"/>
      <c r="AH602" s="350"/>
      <c r="AI602" s="350"/>
      <c r="AJ602" s="350"/>
      <c r="AK602" s="350"/>
      <c r="AL602" s="350"/>
      <c r="AM602" s="350"/>
      <c r="AN602" s="350"/>
      <c r="AO602" s="350"/>
      <c r="AP602" s="350"/>
      <c r="AQ602" s="350"/>
      <c r="AR602" s="350"/>
      <c r="AS602" s="350"/>
      <c r="AT602" s="350"/>
      <c r="AU602" s="351"/>
      <c r="AV602" s="351"/>
      <c r="AW602" s="351"/>
      <c r="AX602" s="351"/>
      <c r="AY602" s="351"/>
      <c r="AZ602" s="351"/>
      <c r="BA602" s="351"/>
      <c r="BB602" s="351"/>
      <c r="BC602" s="351"/>
      <c r="BD602" s="351"/>
      <c r="BE602" s="351"/>
      <c r="BF602" s="351"/>
      <c r="BG602" s="351"/>
      <c r="BH602" s="351"/>
      <c r="BI602" s="351"/>
      <c r="BJ602" s="351"/>
      <c r="BK602" s="351"/>
      <c r="BL602" s="351"/>
      <c r="BM602" s="351"/>
      <c r="BN602" s="351"/>
      <c r="BO602" s="351"/>
      <c r="BP602" s="351"/>
      <c r="BQ602" s="351"/>
      <c r="BR602" s="351"/>
      <c r="BS602" s="351"/>
      <c r="BT602" s="351"/>
      <c r="BU602" s="351"/>
      <c r="BV602" s="351"/>
      <c r="BW602" s="351"/>
      <c r="BX602" s="351"/>
      <c r="BY602" s="351"/>
      <c r="BZ602" s="351"/>
      <c r="CA602" s="351"/>
      <c r="CB602" s="351"/>
      <c r="CC602" s="351"/>
      <c r="CD602" s="351"/>
      <c r="CE602" s="351"/>
      <c r="CF602" s="351"/>
      <c r="CG602" s="352"/>
    </row>
    <row r="603" spans="1:85" s="353" customFormat="1" ht="13.9" customHeight="1" x14ac:dyDescent="0.2">
      <c r="A603" s="337" t="s">
        <v>158</v>
      </c>
      <c r="B603" s="338">
        <v>94</v>
      </c>
      <c r="C603" s="339" t="s">
        <v>617</v>
      </c>
      <c r="D603" s="340" t="s">
        <v>159</v>
      </c>
      <c r="E603" s="341"/>
      <c r="F603" s="341">
        <v>650000000</v>
      </c>
      <c r="G603" s="341"/>
      <c r="H603" s="354" t="s">
        <v>103</v>
      </c>
      <c r="I603" s="339" t="s">
        <v>634</v>
      </c>
      <c r="J603" s="359">
        <v>2</v>
      </c>
      <c r="K603" s="360">
        <v>3</v>
      </c>
      <c r="L603" s="361">
        <v>10</v>
      </c>
      <c r="M603" s="342">
        <f t="shared" si="108"/>
        <v>1</v>
      </c>
      <c r="N603" s="343" t="s">
        <v>36</v>
      </c>
      <c r="O603" s="344" t="str">
        <f>IF(ISBLANK(N603),"",VLOOKUP(N603,[1]Parámetros!$G$2:$H$23,2,FALSE))</f>
        <v xml:space="preserve">Contratación directa (con ofertas) </v>
      </c>
      <c r="P603" s="345">
        <f t="shared" si="106"/>
        <v>1</v>
      </c>
      <c r="Q603" s="346">
        <f t="shared" si="109"/>
        <v>650000000</v>
      </c>
      <c r="R603" s="346">
        <f t="shared" si="110"/>
        <v>650000000</v>
      </c>
      <c r="S603" s="347" t="s">
        <v>223</v>
      </c>
      <c r="T603" s="345">
        <f t="shared" si="107"/>
        <v>0</v>
      </c>
      <c r="U603" s="348" t="str">
        <f t="shared" si="111"/>
        <v>SUBDIRECCION DE GESTION CONTRACTUAL</v>
      </c>
      <c r="V603" s="345" t="str">
        <f t="shared" si="104"/>
        <v>CO-DC</v>
      </c>
      <c r="W603" s="345" t="str">
        <f t="shared" si="105"/>
        <v>Distrito Capital de Bogotá</v>
      </c>
      <c r="X603" s="340" t="s">
        <v>586</v>
      </c>
      <c r="Y603" s="338">
        <v>2427400</v>
      </c>
      <c r="Z603" s="349" t="s">
        <v>160</v>
      </c>
      <c r="AA603" s="350"/>
      <c r="AB603" s="350"/>
      <c r="AC603" s="350"/>
      <c r="AD603" s="350"/>
      <c r="AE603" s="350"/>
      <c r="AF603" s="350"/>
      <c r="AG603" s="350"/>
      <c r="AH603" s="350"/>
      <c r="AI603" s="350"/>
      <c r="AJ603" s="350"/>
      <c r="AK603" s="350"/>
      <c r="AL603" s="350"/>
      <c r="AM603" s="350"/>
      <c r="AN603" s="350"/>
      <c r="AO603" s="350"/>
      <c r="AP603" s="350"/>
      <c r="AQ603" s="350"/>
      <c r="AR603" s="350"/>
      <c r="AS603" s="350"/>
      <c r="AT603" s="350"/>
      <c r="AU603" s="351"/>
      <c r="AV603" s="351"/>
      <c r="AW603" s="351"/>
      <c r="AX603" s="351"/>
      <c r="AY603" s="351"/>
      <c r="AZ603" s="351"/>
      <c r="BA603" s="351"/>
      <c r="BB603" s="351"/>
      <c r="BC603" s="351"/>
      <c r="BD603" s="351"/>
      <c r="BE603" s="351"/>
      <c r="BF603" s="351"/>
      <c r="BG603" s="351"/>
      <c r="BH603" s="351"/>
      <c r="BI603" s="351"/>
      <c r="BJ603" s="351"/>
      <c r="BK603" s="351"/>
      <c r="BL603" s="351"/>
      <c r="BM603" s="351"/>
      <c r="BN603" s="351"/>
      <c r="BO603" s="351"/>
      <c r="BP603" s="351"/>
      <c r="BQ603" s="351"/>
      <c r="BR603" s="351"/>
      <c r="BS603" s="351"/>
      <c r="BT603" s="351"/>
      <c r="BU603" s="351"/>
      <c r="BV603" s="351"/>
      <c r="BW603" s="351"/>
      <c r="BX603" s="351"/>
      <c r="BY603" s="351"/>
      <c r="BZ603" s="351"/>
      <c r="CA603" s="351"/>
      <c r="CB603" s="351"/>
      <c r="CC603" s="351"/>
      <c r="CD603" s="351"/>
      <c r="CE603" s="351"/>
      <c r="CF603" s="351"/>
      <c r="CG603" s="352"/>
    </row>
    <row r="604" spans="1:85" s="353" customFormat="1" ht="13.9" customHeight="1" x14ac:dyDescent="0.2">
      <c r="A604" s="337" t="s">
        <v>158</v>
      </c>
      <c r="B604" s="338">
        <v>95</v>
      </c>
      <c r="C604" s="339" t="s">
        <v>617</v>
      </c>
      <c r="D604" s="340" t="s">
        <v>159</v>
      </c>
      <c r="E604" s="341"/>
      <c r="F604" s="341">
        <v>80000000</v>
      </c>
      <c r="G604" s="341"/>
      <c r="H604" s="354" t="s">
        <v>795</v>
      </c>
      <c r="I604" s="339" t="s">
        <v>618</v>
      </c>
      <c r="J604" s="364">
        <v>1</v>
      </c>
      <c r="K604" s="364">
        <v>2</v>
      </c>
      <c r="L604" s="364">
        <v>3</v>
      </c>
      <c r="M604" s="342">
        <f t="shared" si="108"/>
        <v>1</v>
      </c>
      <c r="N604" s="343" t="s">
        <v>36</v>
      </c>
      <c r="O604" s="344" t="str">
        <f>IF(ISBLANK(N604),"",VLOOKUP(N604,[20]Parámetros!$G$2:$H$23,2,FALSE))</f>
        <v xml:space="preserve">Contratación directa (con ofertas) </v>
      </c>
      <c r="P604" s="345">
        <f t="shared" si="106"/>
        <v>1</v>
      </c>
      <c r="Q604" s="346">
        <f t="shared" si="109"/>
        <v>80000000</v>
      </c>
      <c r="R604" s="346">
        <f t="shared" si="110"/>
        <v>80000000</v>
      </c>
      <c r="S604" s="347" t="s">
        <v>223</v>
      </c>
      <c r="T604" s="345">
        <f t="shared" si="107"/>
        <v>0</v>
      </c>
      <c r="U604" s="348" t="str">
        <f t="shared" si="111"/>
        <v>SUBDIRECCION DE GESTION CONTRACTUAL</v>
      </c>
      <c r="V604" s="345" t="str">
        <f t="shared" si="104"/>
        <v>CO-DC</v>
      </c>
      <c r="W604" s="345" t="str">
        <f t="shared" si="105"/>
        <v>Distrito Capital de Bogotá</v>
      </c>
      <c r="X604" s="340" t="s">
        <v>586</v>
      </c>
      <c r="Y604" s="338">
        <v>2427400</v>
      </c>
      <c r="Z604" s="349" t="s">
        <v>160</v>
      </c>
      <c r="AA604" s="350"/>
      <c r="AB604" s="350"/>
      <c r="AC604" s="350"/>
      <c r="AD604" s="350"/>
      <c r="AE604" s="350"/>
      <c r="AF604" s="350"/>
      <c r="AG604" s="350"/>
      <c r="AH604" s="350"/>
      <c r="AI604" s="350"/>
      <c r="AJ604" s="350"/>
      <c r="AK604" s="350"/>
      <c r="AL604" s="350"/>
      <c r="AM604" s="350"/>
      <c r="AN604" s="350"/>
      <c r="AO604" s="350"/>
      <c r="AP604" s="350"/>
      <c r="AQ604" s="350"/>
      <c r="AR604" s="350"/>
      <c r="AS604" s="350"/>
      <c r="AT604" s="350"/>
      <c r="AU604" s="351"/>
      <c r="AV604" s="351"/>
      <c r="AW604" s="351"/>
      <c r="AX604" s="351"/>
      <c r="AY604" s="351"/>
      <c r="AZ604" s="351"/>
      <c r="BA604" s="351"/>
      <c r="BB604" s="351"/>
      <c r="BC604" s="351"/>
      <c r="BD604" s="351"/>
      <c r="BE604" s="351"/>
      <c r="BF604" s="351"/>
      <c r="BG604" s="351"/>
      <c r="BH604" s="351"/>
      <c r="BI604" s="351"/>
      <c r="BJ604" s="351"/>
      <c r="BK604" s="351"/>
      <c r="BL604" s="351"/>
      <c r="BM604" s="351"/>
      <c r="BN604" s="351"/>
      <c r="BO604" s="351"/>
      <c r="BP604" s="351"/>
      <c r="BQ604" s="351"/>
      <c r="BR604" s="351"/>
      <c r="BS604" s="351"/>
      <c r="BT604" s="351"/>
      <c r="BU604" s="351"/>
      <c r="BV604" s="351"/>
      <c r="BW604" s="351"/>
      <c r="BX604" s="351"/>
      <c r="BY604" s="351"/>
      <c r="BZ604" s="351"/>
      <c r="CA604" s="351"/>
      <c r="CB604" s="351"/>
      <c r="CC604" s="351"/>
      <c r="CD604" s="351"/>
      <c r="CE604" s="351"/>
      <c r="CF604" s="351"/>
      <c r="CG604" s="352"/>
    </row>
    <row r="605" spans="1:85" s="353" customFormat="1" ht="13.9" customHeight="1" x14ac:dyDescent="0.2">
      <c r="A605" s="337" t="s">
        <v>158</v>
      </c>
      <c r="B605" s="338">
        <v>96</v>
      </c>
      <c r="C605" s="339" t="s">
        <v>617</v>
      </c>
      <c r="D605" s="340" t="s">
        <v>159</v>
      </c>
      <c r="E605" s="341"/>
      <c r="F605" s="341">
        <v>850000000</v>
      </c>
      <c r="G605" s="341"/>
      <c r="H605" s="354" t="s">
        <v>42</v>
      </c>
      <c r="I605" s="339" t="s">
        <v>623</v>
      </c>
      <c r="J605" s="359">
        <v>3</v>
      </c>
      <c r="K605" s="360">
        <v>4</v>
      </c>
      <c r="L605" s="361">
        <v>9</v>
      </c>
      <c r="M605" s="342">
        <f t="shared" si="108"/>
        <v>1</v>
      </c>
      <c r="N605" s="343" t="s">
        <v>61</v>
      </c>
      <c r="O605" s="344" t="str">
        <f>IF(ISBLANK(N605),"",VLOOKUP(N605,[20]Parámetros!$G$2:$H$23,2,FALSE))</f>
        <v>Contratación régimen especial - Selección de comisionista</v>
      </c>
      <c r="P605" s="345">
        <f t="shared" si="106"/>
        <v>1</v>
      </c>
      <c r="Q605" s="346">
        <f t="shared" si="109"/>
        <v>850000000</v>
      </c>
      <c r="R605" s="346">
        <f t="shared" si="110"/>
        <v>850000000</v>
      </c>
      <c r="S605" s="347" t="s">
        <v>223</v>
      </c>
      <c r="T605" s="345">
        <f t="shared" si="107"/>
        <v>0</v>
      </c>
      <c r="U605" s="348" t="str">
        <f t="shared" si="111"/>
        <v>SUBDIRECCION DE GESTION CONTRACTUAL</v>
      </c>
      <c r="V605" s="342" t="str">
        <f t="shared" ref="V605:V643" si="112">IF(ISBLANK(N605),"","CO-DC")</f>
        <v>CO-DC</v>
      </c>
      <c r="W605" s="348" t="str">
        <f t="shared" ref="W605:W643" si="113">IF(ISBLANK(N605),"","Distrito Capital de Bogotá")</f>
        <v>Distrito Capital de Bogotá</v>
      </c>
      <c r="X605" s="340" t="s">
        <v>586</v>
      </c>
      <c r="Y605" s="338">
        <v>2427400</v>
      </c>
      <c r="Z605" s="349" t="s">
        <v>160</v>
      </c>
      <c r="AA605" s="350"/>
      <c r="AB605" s="350"/>
      <c r="AC605" s="350"/>
      <c r="AD605" s="350"/>
      <c r="AE605" s="350"/>
      <c r="AF605" s="350"/>
      <c r="AG605" s="350"/>
      <c r="AH605" s="350"/>
      <c r="AI605" s="350"/>
      <c r="AJ605" s="350"/>
      <c r="AK605" s="350"/>
      <c r="AL605" s="350"/>
      <c r="AM605" s="350"/>
      <c r="AN605" s="350"/>
      <c r="AO605" s="350"/>
      <c r="AP605" s="350"/>
      <c r="AQ605" s="350"/>
      <c r="AR605" s="350"/>
      <c r="AS605" s="350"/>
      <c r="AT605" s="350"/>
      <c r="AU605" s="351"/>
      <c r="AV605" s="351"/>
      <c r="AW605" s="351"/>
      <c r="AX605" s="351"/>
      <c r="AY605" s="351"/>
      <c r="AZ605" s="351"/>
      <c r="BA605" s="351"/>
      <c r="BB605" s="351"/>
      <c r="BC605" s="351"/>
      <c r="BD605" s="351"/>
      <c r="BE605" s="351"/>
      <c r="BF605" s="351"/>
      <c r="BG605" s="351"/>
      <c r="BH605" s="351"/>
      <c r="BI605" s="351"/>
      <c r="BJ605" s="351"/>
      <c r="BK605" s="351"/>
      <c r="BL605" s="351"/>
      <c r="BM605" s="351"/>
      <c r="BN605" s="351"/>
      <c r="BO605" s="351"/>
      <c r="BP605" s="351"/>
      <c r="BQ605" s="351"/>
      <c r="BR605" s="351"/>
      <c r="BS605" s="351"/>
      <c r="BT605" s="351"/>
      <c r="BU605" s="351"/>
      <c r="BV605" s="351"/>
      <c r="BW605" s="351"/>
      <c r="BX605" s="351"/>
      <c r="BY605" s="351"/>
      <c r="BZ605" s="351"/>
      <c r="CA605" s="351"/>
      <c r="CB605" s="351"/>
      <c r="CC605" s="351"/>
      <c r="CD605" s="351"/>
      <c r="CE605" s="351"/>
      <c r="CF605" s="351"/>
      <c r="CG605" s="352"/>
    </row>
    <row r="606" spans="1:85" s="353" customFormat="1" ht="13.9" customHeight="1" x14ac:dyDescent="0.2">
      <c r="A606" s="337" t="s">
        <v>158</v>
      </c>
      <c r="B606" s="338">
        <v>97</v>
      </c>
      <c r="C606" s="339" t="s">
        <v>835</v>
      </c>
      <c r="D606" s="340" t="s">
        <v>600</v>
      </c>
      <c r="E606" s="341"/>
      <c r="F606" s="341">
        <v>19980000000</v>
      </c>
      <c r="G606" s="341"/>
      <c r="H606" s="340" t="s">
        <v>788</v>
      </c>
      <c r="I606" s="339" t="s">
        <v>706</v>
      </c>
      <c r="J606" s="338">
        <v>1</v>
      </c>
      <c r="K606" s="338">
        <v>1</v>
      </c>
      <c r="L606" s="338">
        <v>12</v>
      </c>
      <c r="M606" s="342">
        <f t="shared" si="108"/>
        <v>1</v>
      </c>
      <c r="N606" s="343" t="s">
        <v>36</v>
      </c>
      <c r="O606" s="344" t="str">
        <f>IF(ISBLANK(N606),"",VLOOKUP(N606,[20]Parámetros!$G$2:$H$23,2,FALSE))</f>
        <v xml:space="preserve">Contratación directa (con ofertas) </v>
      </c>
      <c r="P606" s="345">
        <f t="shared" ref="P606:P643" si="114">IF(ISBLANK(N606),"",1)</f>
        <v>1</v>
      </c>
      <c r="Q606" s="346">
        <f t="shared" si="109"/>
        <v>19980000000</v>
      </c>
      <c r="R606" s="346">
        <f t="shared" si="110"/>
        <v>19980000000</v>
      </c>
      <c r="S606" s="347" t="s">
        <v>223</v>
      </c>
      <c r="T606" s="345">
        <f t="shared" si="107"/>
        <v>0</v>
      </c>
      <c r="U606" s="348" t="str">
        <f t="shared" si="111"/>
        <v>SUBDIRECCION DE GESTION CONTRACTUAL</v>
      </c>
      <c r="V606" s="345" t="str">
        <f t="shared" si="112"/>
        <v>CO-DC</v>
      </c>
      <c r="W606" s="345" t="str">
        <f t="shared" si="113"/>
        <v>Distrito Capital de Bogotá</v>
      </c>
      <c r="X606" s="340" t="s">
        <v>586</v>
      </c>
      <c r="Y606" s="338">
        <v>2427400</v>
      </c>
      <c r="Z606" s="349" t="s">
        <v>160</v>
      </c>
      <c r="AA606" s="350"/>
      <c r="AB606" s="350"/>
      <c r="AC606" s="350"/>
      <c r="AD606" s="350"/>
      <c r="AE606" s="350"/>
      <c r="AF606" s="350"/>
      <c r="AG606" s="350"/>
      <c r="AH606" s="350"/>
      <c r="AI606" s="350"/>
      <c r="AJ606" s="350"/>
      <c r="AK606" s="350"/>
      <c r="AL606" s="350"/>
      <c r="AM606" s="350"/>
      <c r="AN606" s="350"/>
      <c r="AO606" s="350"/>
      <c r="AP606" s="350"/>
      <c r="AQ606" s="350"/>
      <c r="AR606" s="350"/>
      <c r="AS606" s="350"/>
      <c r="AT606" s="350"/>
      <c r="AU606" s="351"/>
      <c r="AV606" s="351"/>
      <c r="AW606" s="351"/>
      <c r="AX606" s="351"/>
      <c r="AY606" s="351"/>
      <c r="AZ606" s="351"/>
      <c r="BA606" s="351"/>
      <c r="BB606" s="351"/>
      <c r="BC606" s="351"/>
      <c r="BD606" s="351"/>
      <c r="BE606" s="351"/>
      <c r="BF606" s="351"/>
      <c r="BG606" s="351"/>
      <c r="BH606" s="351"/>
      <c r="BI606" s="351"/>
      <c r="BJ606" s="351"/>
      <c r="BK606" s="351"/>
      <c r="BL606" s="351"/>
      <c r="BM606" s="351"/>
      <c r="BN606" s="351"/>
      <c r="BO606" s="351"/>
      <c r="BP606" s="351"/>
      <c r="BQ606" s="351"/>
      <c r="BR606" s="351"/>
      <c r="BS606" s="351"/>
      <c r="BT606" s="351"/>
      <c r="BU606" s="351"/>
      <c r="BV606" s="351"/>
      <c r="BW606" s="351"/>
      <c r="BX606" s="351"/>
      <c r="BY606" s="351"/>
      <c r="BZ606" s="351"/>
      <c r="CA606" s="351"/>
      <c r="CB606" s="351"/>
      <c r="CC606" s="351"/>
      <c r="CD606" s="351"/>
      <c r="CE606" s="351"/>
      <c r="CF606" s="351"/>
      <c r="CG606" s="352"/>
    </row>
    <row r="607" spans="1:85" s="353" customFormat="1" ht="13.9" customHeight="1" x14ac:dyDescent="0.2">
      <c r="A607" s="337" t="s">
        <v>158</v>
      </c>
      <c r="B607" s="338">
        <v>98</v>
      </c>
      <c r="C607" s="339" t="s">
        <v>835</v>
      </c>
      <c r="D607" s="340" t="s">
        <v>600</v>
      </c>
      <c r="E607" s="341"/>
      <c r="F607" s="341">
        <v>1184122275</v>
      </c>
      <c r="G607" s="341"/>
      <c r="H607" s="340" t="s">
        <v>792</v>
      </c>
      <c r="I607" s="339" t="s">
        <v>707</v>
      </c>
      <c r="J607" s="338">
        <v>1</v>
      </c>
      <c r="K607" s="338">
        <v>1</v>
      </c>
      <c r="L607" s="338">
        <v>12</v>
      </c>
      <c r="M607" s="342">
        <f t="shared" si="108"/>
        <v>1</v>
      </c>
      <c r="N607" s="343" t="s">
        <v>36</v>
      </c>
      <c r="O607" s="344" t="str">
        <f>IF(ISBLANK(N607),"",VLOOKUP(N607,[20]Parámetros!$G$2:$H$23,2,FALSE))</f>
        <v xml:space="preserve">Contratación directa (con ofertas) </v>
      </c>
      <c r="P607" s="345">
        <f t="shared" si="114"/>
        <v>1</v>
      </c>
      <c r="Q607" s="346">
        <f t="shared" si="109"/>
        <v>1184122275</v>
      </c>
      <c r="R607" s="346">
        <f t="shared" si="110"/>
        <v>1184122275</v>
      </c>
      <c r="S607" s="347" t="s">
        <v>223</v>
      </c>
      <c r="T607" s="345">
        <f t="shared" si="107"/>
        <v>0</v>
      </c>
      <c r="U607" s="348" t="str">
        <f t="shared" si="111"/>
        <v>SUBDIRECCION DE GESTION CONTRACTUAL</v>
      </c>
      <c r="V607" s="345" t="str">
        <f t="shared" si="112"/>
        <v>CO-DC</v>
      </c>
      <c r="W607" s="345" t="str">
        <f t="shared" si="113"/>
        <v>Distrito Capital de Bogotá</v>
      </c>
      <c r="X607" s="340" t="s">
        <v>586</v>
      </c>
      <c r="Y607" s="338">
        <v>2427400</v>
      </c>
      <c r="Z607" s="349" t="s">
        <v>160</v>
      </c>
      <c r="AA607" s="350"/>
      <c r="AB607" s="350"/>
      <c r="AC607" s="350"/>
      <c r="AD607" s="350"/>
      <c r="AE607" s="350"/>
      <c r="AF607" s="350"/>
      <c r="AG607" s="350"/>
      <c r="AH607" s="350"/>
      <c r="AI607" s="350"/>
      <c r="AJ607" s="350"/>
      <c r="AK607" s="350"/>
      <c r="AL607" s="350"/>
      <c r="AM607" s="350"/>
      <c r="AN607" s="350"/>
      <c r="AO607" s="350"/>
      <c r="AP607" s="350"/>
      <c r="AQ607" s="350"/>
      <c r="AR607" s="350"/>
      <c r="AS607" s="350"/>
      <c r="AT607" s="350"/>
      <c r="AU607" s="351"/>
      <c r="AV607" s="351"/>
      <c r="AW607" s="351"/>
      <c r="AX607" s="351"/>
      <c r="AY607" s="351"/>
      <c r="AZ607" s="351"/>
      <c r="BA607" s="351"/>
      <c r="BB607" s="351"/>
      <c r="BC607" s="351"/>
      <c r="BD607" s="351"/>
      <c r="BE607" s="351"/>
      <c r="BF607" s="351"/>
      <c r="BG607" s="351"/>
      <c r="BH607" s="351"/>
      <c r="BI607" s="351"/>
      <c r="BJ607" s="351"/>
      <c r="BK607" s="351"/>
      <c r="BL607" s="351"/>
      <c r="BM607" s="351"/>
      <c r="BN607" s="351"/>
      <c r="BO607" s="351"/>
      <c r="BP607" s="351"/>
      <c r="BQ607" s="351"/>
      <c r="BR607" s="351"/>
      <c r="BS607" s="351"/>
      <c r="BT607" s="351"/>
      <c r="BU607" s="351"/>
      <c r="BV607" s="351"/>
      <c r="BW607" s="351"/>
      <c r="BX607" s="351"/>
      <c r="BY607" s="351"/>
      <c r="BZ607" s="351"/>
      <c r="CA607" s="351"/>
      <c r="CB607" s="351"/>
      <c r="CC607" s="351"/>
      <c r="CD607" s="351"/>
      <c r="CE607" s="351"/>
      <c r="CF607" s="351"/>
      <c r="CG607" s="352"/>
    </row>
    <row r="608" spans="1:85" s="353" customFormat="1" ht="13.9" customHeight="1" x14ac:dyDescent="0.2">
      <c r="A608" s="337" t="s">
        <v>158</v>
      </c>
      <c r="B608" s="338">
        <v>99</v>
      </c>
      <c r="C608" s="339" t="s">
        <v>835</v>
      </c>
      <c r="D608" s="340" t="s">
        <v>600</v>
      </c>
      <c r="E608" s="341"/>
      <c r="F608" s="341">
        <v>1302951521</v>
      </c>
      <c r="G608" s="341"/>
      <c r="H608" s="340" t="s">
        <v>792</v>
      </c>
      <c r="I608" s="339" t="s">
        <v>708</v>
      </c>
      <c r="J608" s="338">
        <v>1</v>
      </c>
      <c r="K608" s="338">
        <v>1</v>
      </c>
      <c r="L608" s="338">
        <v>12</v>
      </c>
      <c r="M608" s="342">
        <f t="shared" si="108"/>
        <v>1</v>
      </c>
      <c r="N608" s="343" t="s">
        <v>36</v>
      </c>
      <c r="O608" s="344" t="str">
        <f>IF(ISBLANK(N608),"",VLOOKUP(N608,[20]Parámetros!$G$2:$H$23,2,FALSE))</f>
        <v xml:space="preserve">Contratación directa (con ofertas) </v>
      </c>
      <c r="P608" s="345">
        <f t="shared" si="114"/>
        <v>1</v>
      </c>
      <c r="Q608" s="346">
        <f t="shared" si="109"/>
        <v>1302951521</v>
      </c>
      <c r="R608" s="346">
        <f t="shared" si="110"/>
        <v>1302951521</v>
      </c>
      <c r="S608" s="347" t="s">
        <v>223</v>
      </c>
      <c r="T608" s="345">
        <f t="shared" si="107"/>
        <v>0</v>
      </c>
      <c r="U608" s="348" t="str">
        <f t="shared" si="111"/>
        <v>SUBDIRECCION DE GESTION CONTRACTUAL</v>
      </c>
      <c r="V608" s="345" t="str">
        <f t="shared" si="112"/>
        <v>CO-DC</v>
      </c>
      <c r="W608" s="345" t="str">
        <f t="shared" si="113"/>
        <v>Distrito Capital de Bogotá</v>
      </c>
      <c r="X608" s="340" t="s">
        <v>586</v>
      </c>
      <c r="Y608" s="338">
        <v>2427400</v>
      </c>
      <c r="Z608" s="349" t="s">
        <v>160</v>
      </c>
      <c r="AA608" s="350"/>
      <c r="AB608" s="350"/>
      <c r="AC608" s="350"/>
      <c r="AD608" s="350"/>
      <c r="AE608" s="350"/>
      <c r="AF608" s="350"/>
      <c r="AG608" s="350"/>
      <c r="AH608" s="350"/>
      <c r="AI608" s="350"/>
      <c r="AJ608" s="350"/>
      <c r="AK608" s="350"/>
      <c r="AL608" s="350"/>
      <c r="AM608" s="350"/>
      <c r="AN608" s="350"/>
      <c r="AO608" s="350"/>
      <c r="AP608" s="350"/>
      <c r="AQ608" s="350"/>
      <c r="AR608" s="350"/>
      <c r="AS608" s="350"/>
      <c r="AT608" s="350"/>
      <c r="AU608" s="351"/>
      <c r="AV608" s="351"/>
      <c r="AW608" s="351"/>
      <c r="AX608" s="351"/>
      <c r="AY608" s="351"/>
      <c r="AZ608" s="351"/>
      <c r="BA608" s="351"/>
      <c r="BB608" s="351"/>
      <c r="BC608" s="351"/>
      <c r="BD608" s="351"/>
      <c r="BE608" s="351"/>
      <c r="BF608" s="351"/>
      <c r="BG608" s="351"/>
      <c r="BH608" s="351"/>
      <c r="BI608" s="351"/>
      <c r="BJ608" s="351"/>
      <c r="BK608" s="351"/>
      <c r="BL608" s="351"/>
      <c r="BM608" s="351"/>
      <c r="BN608" s="351"/>
      <c r="BO608" s="351"/>
      <c r="BP608" s="351"/>
      <c r="BQ608" s="351"/>
      <c r="BR608" s="351"/>
      <c r="BS608" s="351"/>
      <c r="BT608" s="351"/>
      <c r="BU608" s="351"/>
      <c r="BV608" s="351"/>
      <c r="BW608" s="351"/>
      <c r="BX608" s="351"/>
      <c r="BY608" s="351"/>
      <c r="BZ608" s="351"/>
      <c r="CA608" s="351"/>
      <c r="CB608" s="351"/>
      <c r="CC608" s="351"/>
      <c r="CD608" s="351"/>
      <c r="CE608" s="351"/>
      <c r="CF608" s="351"/>
      <c r="CG608" s="352"/>
    </row>
    <row r="609" spans="1:85" s="353" customFormat="1" ht="13.9" customHeight="1" x14ac:dyDescent="0.2">
      <c r="A609" s="337" t="s">
        <v>158</v>
      </c>
      <c r="B609" s="338">
        <v>100</v>
      </c>
      <c r="C609" s="339" t="s">
        <v>835</v>
      </c>
      <c r="D609" s="340" t="s">
        <v>600</v>
      </c>
      <c r="E609" s="341"/>
      <c r="F609" s="341">
        <v>1351896195</v>
      </c>
      <c r="G609" s="341"/>
      <c r="H609" s="340" t="s">
        <v>792</v>
      </c>
      <c r="I609" s="339" t="s">
        <v>709</v>
      </c>
      <c r="J609" s="338">
        <v>1</v>
      </c>
      <c r="K609" s="338">
        <v>1</v>
      </c>
      <c r="L609" s="338">
        <v>12</v>
      </c>
      <c r="M609" s="342">
        <f t="shared" si="108"/>
        <v>1</v>
      </c>
      <c r="N609" s="343" t="s">
        <v>36</v>
      </c>
      <c r="O609" s="344" t="str">
        <f>IF(ISBLANK(N609),"",VLOOKUP(N609,[20]Parámetros!$G$2:$H$23,2,FALSE))</f>
        <v xml:space="preserve">Contratación directa (con ofertas) </v>
      </c>
      <c r="P609" s="345">
        <f t="shared" si="114"/>
        <v>1</v>
      </c>
      <c r="Q609" s="346">
        <f t="shared" si="109"/>
        <v>1351896195</v>
      </c>
      <c r="R609" s="346">
        <f t="shared" si="110"/>
        <v>1351896195</v>
      </c>
      <c r="S609" s="347" t="s">
        <v>223</v>
      </c>
      <c r="T609" s="345">
        <f t="shared" si="107"/>
        <v>0</v>
      </c>
      <c r="U609" s="348" t="str">
        <f t="shared" si="111"/>
        <v>SUBDIRECCION DE GESTION CONTRACTUAL</v>
      </c>
      <c r="V609" s="345" t="str">
        <f t="shared" si="112"/>
        <v>CO-DC</v>
      </c>
      <c r="W609" s="345" t="str">
        <f t="shared" si="113"/>
        <v>Distrito Capital de Bogotá</v>
      </c>
      <c r="X609" s="340" t="s">
        <v>586</v>
      </c>
      <c r="Y609" s="338">
        <v>2427400</v>
      </c>
      <c r="Z609" s="349" t="s">
        <v>160</v>
      </c>
      <c r="AA609" s="350"/>
      <c r="AB609" s="350"/>
      <c r="AC609" s="350"/>
      <c r="AD609" s="350"/>
      <c r="AE609" s="350"/>
      <c r="AF609" s="350"/>
      <c r="AG609" s="350"/>
      <c r="AH609" s="350"/>
      <c r="AI609" s="350"/>
      <c r="AJ609" s="350"/>
      <c r="AK609" s="350"/>
      <c r="AL609" s="350"/>
      <c r="AM609" s="350"/>
      <c r="AN609" s="350"/>
      <c r="AO609" s="350"/>
      <c r="AP609" s="350"/>
      <c r="AQ609" s="350"/>
      <c r="AR609" s="350"/>
      <c r="AS609" s="350"/>
      <c r="AT609" s="350"/>
      <c r="AU609" s="351"/>
      <c r="AV609" s="351"/>
      <c r="AW609" s="351"/>
      <c r="AX609" s="351"/>
      <c r="AY609" s="351"/>
      <c r="AZ609" s="351"/>
      <c r="BA609" s="351"/>
      <c r="BB609" s="351"/>
      <c r="BC609" s="351"/>
      <c r="BD609" s="351"/>
      <c r="BE609" s="351"/>
      <c r="BF609" s="351"/>
      <c r="BG609" s="351"/>
      <c r="BH609" s="351"/>
      <c r="BI609" s="351"/>
      <c r="BJ609" s="351"/>
      <c r="BK609" s="351"/>
      <c r="BL609" s="351"/>
      <c r="BM609" s="351"/>
      <c r="BN609" s="351"/>
      <c r="BO609" s="351"/>
      <c r="BP609" s="351"/>
      <c r="BQ609" s="351"/>
      <c r="BR609" s="351"/>
      <c r="BS609" s="351"/>
      <c r="BT609" s="351"/>
      <c r="BU609" s="351"/>
      <c r="BV609" s="351"/>
      <c r="BW609" s="351"/>
      <c r="BX609" s="351"/>
      <c r="BY609" s="351"/>
      <c r="BZ609" s="351"/>
      <c r="CA609" s="351"/>
      <c r="CB609" s="351"/>
      <c r="CC609" s="351"/>
      <c r="CD609" s="351"/>
      <c r="CE609" s="351"/>
      <c r="CF609" s="351"/>
      <c r="CG609" s="352"/>
    </row>
    <row r="610" spans="1:85" s="353" customFormat="1" ht="13.9" customHeight="1" x14ac:dyDescent="0.2">
      <c r="A610" s="337" t="s">
        <v>158</v>
      </c>
      <c r="B610" s="338">
        <v>101</v>
      </c>
      <c r="C610" s="339" t="s">
        <v>835</v>
      </c>
      <c r="D610" s="340" t="s">
        <v>600</v>
      </c>
      <c r="E610" s="341"/>
      <c r="F610" s="341">
        <v>1965929315</v>
      </c>
      <c r="G610" s="341"/>
      <c r="H610" s="340" t="s">
        <v>792</v>
      </c>
      <c r="I610" s="339" t="s">
        <v>710</v>
      </c>
      <c r="J610" s="338">
        <v>1</v>
      </c>
      <c r="K610" s="338">
        <v>1</v>
      </c>
      <c r="L610" s="338">
        <v>12</v>
      </c>
      <c r="M610" s="342">
        <f t="shared" si="108"/>
        <v>1</v>
      </c>
      <c r="N610" s="343" t="s">
        <v>36</v>
      </c>
      <c r="O610" s="344" t="str">
        <f>IF(ISBLANK(N610),"",VLOOKUP(N610,[20]Parámetros!$G$2:$H$23,2,FALSE))</f>
        <v xml:space="preserve">Contratación directa (con ofertas) </v>
      </c>
      <c r="P610" s="345">
        <f t="shared" si="114"/>
        <v>1</v>
      </c>
      <c r="Q610" s="346">
        <f t="shared" si="109"/>
        <v>1965929315</v>
      </c>
      <c r="R610" s="346">
        <f t="shared" si="110"/>
        <v>1965929315</v>
      </c>
      <c r="S610" s="347" t="s">
        <v>223</v>
      </c>
      <c r="T610" s="345">
        <f t="shared" si="107"/>
        <v>0</v>
      </c>
      <c r="U610" s="348" t="str">
        <f t="shared" si="111"/>
        <v>SUBDIRECCION DE GESTION CONTRACTUAL</v>
      </c>
      <c r="V610" s="345" t="str">
        <f t="shared" si="112"/>
        <v>CO-DC</v>
      </c>
      <c r="W610" s="345" t="str">
        <f t="shared" si="113"/>
        <v>Distrito Capital de Bogotá</v>
      </c>
      <c r="X610" s="340" t="s">
        <v>586</v>
      </c>
      <c r="Y610" s="338">
        <v>2427400</v>
      </c>
      <c r="Z610" s="349" t="s">
        <v>160</v>
      </c>
      <c r="AA610" s="350"/>
      <c r="AB610" s="350"/>
      <c r="AC610" s="350"/>
      <c r="AD610" s="350"/>
      <c r="AE610" s="350"/>
      <c r="AF610" s="350"/>
      <c r="AG610" s="350"/>
      <c r="AH610" s="350"/>
      <c r="AI610" s="350"/>
      <c r="AJ610" s="350"/>
      <c r="AK610" s="350"/>
      <c r="AL610" s="350"/>
      <c r="AM610" s="350"/>
      <c r="AN610" s="350"/>
      <c r="AO610" s="350"/>
      <c r="AP610" s="350"/>
      <c r="AQ610" s="350"/>
      <c r="AR610" s="350"/>
      <c r="AS610" s="350"/>
      <c r="AT610" s="350"/>
      <c r="AU610" s="351"/>
      <c r="AV610" s="351"/>
      <c r="AW610" s="351"/>
      <c r="AX610" s="351"/>
      <c r="AY610" s="351"/>
      <c r="AZ610" s="351"/>
      <c r="BA610" s="351"/>
      <c r="BB610" s="351"/>
      <c r="BC610" s="351"/>
      <c r="BD610" s="351"/>
      <c r="BE610" s="351"/>
      <c r="BF610" s="351"/>
      <c r="BG610" s="351"/>
      <c r="BH610" s="351"/>
      <c r="BI610" s="351"/>
      <c r="BJ610" s="351"/>
      <c r="BK610" s="351"/>
      <c r="BL610" s="351"/>
      <c r="BM610" s="351"/>
      <c r="BN610" s="351"/>
      <c r="BO610" s="351"/>
      <c r="BP610" s="351"/>
      <c r="BQ610" s="351"/>
      <c r="BR610" s="351"/>
      <c r="BS610" s="351"/>
      <c r="BT610" s="351"/>
      <c r="BU610" s="351"/>
      <c r="BV610" s="351"/>
      <c r="BW610" s="351"/>
      <c r="BX610" s="351"/>
      <c r="BY610" s="351"/>
      <c r="BZ610" s="351"/>
      <c r="CA610" s="351"/>
      <c r="CB610" s="351"/>
      <c r="CC610" s="351"/>
      <c r="CD610" s="351"/>
      <c r="CE610" s="351"/>
      <c r="CF610" s="351"/>
      <c r="CG610" s="352"/>
    </row>
    <row r="611" spans="1:85" s="353" customFormat="1" ht="13.9" customHeight="1" x14ac:dyDescent="0.2">
      <c r="A611" s="337" t="s">
        <v>158</v>
      </c>
      <c r="B611" s="338">
        <v>102</v>
      </c>
      <c r="C611" s="339" t="s">
        <v>835</v>
      </c>
      <c r="D611" s="340" t="s">
        <v>600</v>
      </c>
      <c r="E611" s="341"/>
      <c r="F611" s="341">
        <v>1700289171</v>
      </c>
      <c r="G611" s="341"/>
      <c r="H611" s="340" t="s">
        <v>792</v>
      </c>
      <c r="I611" s="339" t="s">
        <v>711</v>
      </c>
      <c r="J611" s="338">
        <v>1</v>
      </c>
      <c r="K611" s="338">
        <v>1</v>
      </c>
      <c r="L611" s="338">
        <v>12</v>
      </c>
      <c r="M611" s="342">
        <f t="shared" si="108"/>
        <v>1</v>
      </c>
      <c r="N611" s="343" t="s">
        <v>36</v>
      </c>
      <c r="O611" s="344" t="str">
        <f>IF(ISBLANK(N611),"",VLOOKUP(N611,[20]Parámetros!$G$2:$H$23,2,FALSE))</f>
        <v xml:space="preserve">Contratación directa (con ofertas) </v>
      </c>
      <c r="P611" s="345">
        <f t="shared" si="114"/>
        <v>1</v>
      </c>
      <c r="Q611" s="346">
        <f t="shared" si="109"/>
        <v>1700289171</v>
      </c>
      <c r="R611" s="346">
        <f t="shared" si="110"/>
        <v>1700289171</v>
      </c>
      <c r="S611" s="347" t="s">
        <v>223</v>
      </c>
      <c r="T611" s="345">
        <f t="shared" si="107"/>
        <v>0</v>
      </c>
      <c r="U611" s="348" t="str">
        <f t="shared" si="111"/>
        <v>SUBDIRECCION DE GESTION CONTRACTUAL</v>
      </c>
      <c r="V611" s="345" t="str">
        <f t="shared" si="112"/>
        <v>CO-DC</v>
      </c>
      <c r="W611" s="345" t="str">
        <f t="shared" si="113"/>
        <v>Distrito Capital de Bogotá</v>
      </c>
      <c r="X611" s="340" t="s">
        <v>586</v>
      </c>
      <c r="Y611" s="338">
        <v>2427400</v>
      </c>
      <c r="Z611" s="349" t="s">
        <v>160</v>
      </c>
      <c r="AA611" s="350"/>
      <c r="AB611" s="350"/>
      <c r="AC611" s="350"/>
      <c r="AD611" s="350"/>
      <c r="AE611" s="350"/>
      <c r="AF611" s="350"/>
      <c r="AG611" s="350"/>
      <c r="AH611" s="350"/>
      <c r="AI611" s="350"/>
      <c r="AJ611" s="350"/>
      <c r="AK611" s="350"/>
      <c r="AL611" s="350"/>
      <c r="AM611" s="350"/>
      <c r="AN611" s="350"/>
      <c r="AO611" s="350"/>
      <c r="AP611" s="350"/>
      <c r="AQ611" s="350"/>
      <c r="AR611" s="350"/>
      <c r="AS611" s="350"/>
      <c r="AT611" s="350"/>
      <c r="AU611" s="351"/>
      <c r="AV611" s="351"/>
      <c r="AW611" s="351"/>
      <c r="AX611" s="351"/>
      <c r="AY611" s="351"/>
      <c r="AZ611" s="351"/>
      <c r="BA611" s="351"/>
      <c r="BB611" s="351"/>
      <c r="BC611" s="351"/>
      <c r="BD611" s="351"/>
      <c r="BE611" s="351"/>
      <c r="BF611" s="351"/>
      <c r="BG611" s="351"/>
      <c r="BH611" s="351"/>
      <c r="BI611" s="351"/>
      <c r="BJ611" s="351"/>
      <c r="BK611" s="351"/>
      <c r="BL611" s="351"/>
      <c r="BM611" s="351"/>
      <c r="BN611" s="351"/>
      <c r="BO611" s="351"/>
      <c r="BP611" s="351"/>
      <c r="BQ611" s="351"/>
      <c r="BR611" s="351"/>
      <c r="BS611" s="351"/>
      <c r="BT611" s="351"/>
      <c r="BU611" s="351"/>
      <c r="BV611" s="351"/>
      <c r="BW611" s="351"/>
      <c r="BX611" s="351"/>
      <c r="BY611" s="351"/>
      <c r="BZ611" s="351"/>
      <c r="CA611" s="351"/>
      <c r="CB611" s="351"/>
      <c r="CC611" s="351"/>
      <c r="CD611" s="351"/>
      <c r="CE611" s="351"/>
      <c r="CF611" s="351"/>
      <c r="CG611" s="352"/>
    </row>
    <row r="612" spans="1:85" s="353" customFormat="1" ht="13.9" customHeight="1" x14ac:dyDescent="0.2">
      <c r="A612" s="337" t="s">
        <v>158</v>
      </c>
      <c r="B612" s="338">
        <v>103</v>
      </c>
      <c r="C612" s="339" t="s">
        <v>835</v>
      </c>
      <c r="D612" s="340" t="s">
        <v>600</v>
      </c>
      <c r="E612" s="341"/>
      <c r="F612" s="341">
        <v>1965929315</v>
      </c>
      <c r="G612" s="341"/>
      <c r="H612" s="340" t="s">
        <v>792</v>
      </c>
      <c r="I612" s="339" t="s">
        <v>705</v>
      </c>
      <c r="J612" s="338">
        <v>1</v>
      </c>
      <c r="K612" s="338">
        <v>1</v>
      </c>
      <c r="L612" s="338">
        <v>12</v>
      </c>
      <c r="M612" s="342">
        <f t="shared" si="108"/>
        <v>1</v>
      </c>
      <c r="N612" s="343" t="s">
        <v>36</v>
      </c>
      <c r="O612" s="344" t="str">
        <f>IF(ISBLANK(N612),"",VLOOKUP(N612,[20]Parámetros!$G$2:$H$23,2,FALSE))</f>
        <v xml:space="preserve">Contratación directa (con ofertas) </v>
      </c>
      <c r="P612" s="345">
        <f t="shared" si="114"/>
        <v>1</v>
      </c>
      <c r="Q612" s="346">
        <f t="shared" si="109"/>
        <v>1965929315</v>
      </c>
      <c r="R612" s="346">
        <f t="shared" si="110"/>
        <v>1965929315</v>
      </c>
      <c r="S612" s="347" t="s">
        <v>223</v>
      </c>
      <c r="T612" s="345">
        <f t="shared" si="107"/>
        <v>0</v>
      </c>
      <c r="U612" s="348" t="str">
        <f t="shared" si="111"/>
        <v>SUBDIRECCION DE GESTION CONTRACTUAL</v>
      </c>
      <c r="V612" s="345" t="str">
        <f t="shared" si="112"/>
        <v>CO-DC</v>
      </c>
      <c r="W612" s="345" t="str">
        <f t="shared" si="113"/>
        <v>Distrito Capital de Bogotá</v>
      </c>
      <c r="X612" s="340" t="s">
        <v>586</v>
      </c>
      <c r="Y612" s="338">
        <v>2427400</v>
      </c>
      <c r="Z612" s="349" t="s">
        <v>160</v>
      </c>
      <c r="AA612" s="350"/>
      <c r="AB612" s="350"/>
      <c r="AC612" s="350"/>
      <c r="AD612" s="350"/>
      <c r="AE612" s="350"/>
      <c r="AF612" s="350"/>
      <c r="AG612" s="350"/>
      <c r="AH612" s="350"/>
      <c r="AI612" s="350"/>
      <c r="AJ612" s="350"/>
      <c r="AK612" s="350"/>
      <c r="AL612" s="350"/>
      <c r="AM612" s="350"/>
      <c r="AN612" s="350"/>
      <c r="AO612" s="350"/>
      <c r="AP612" s="350"/>
      <c r="AQ612" s="350"/>
      <c r="AR612" s="350"/>
      <c r="AS612" s="350"/>
      <c r="AT612" s="350"/>
      <c r="AU612" s="351"/>
      <c r="AV612" s="351"/>
      <c r="AW612" s="351"/>
      <c r="AX612" s="351"/>
      <c r="AY612" s="351"/>
      <c r="AZ612" s="351"/>
      <c r="BA612" s="351"/>
      <c r="BB612" s="351"/>
      <c r="BC612" s="351"/>
      <c r="BD612" s="351"/>
      <c r="BE612" s="351"/>
      <c r="BF612" s="351"/>
      <c r="BG612" s="351"/>
      <c r="BH612" s="351"/>
      <c r="BI612" s="351"/>
      <c r="BJ612" s="351"/>
      <c r="BK612" s="351"/>
      <c r="BL612" s="351"/>
      <c r="BM612" s="351"/>
      <c r="BN612" s="351"/>
      <c r="BO612" s="351"/>
      <c r="BP612" s="351"/>
      <c r="BQ612" s="351"/>
      <c r="BR612" s="351"/>
      <c r="BS612" s="351"/>
      <c r="BT612" s="351"/>
      <c r="BU612" s="351"/>
      <c r="BV612" s="351"/>
      <c r="BW612" s="351"/>
      <c r="BX612" s="351"/>
      <c r="BY612" s="351"/>
      <c r="BZ612" s="351"/>
      <c r="CA612" s="351"/>
      <c r="CB612" s="351"/>
      <c r="CC612" s="351"/>
      <c r="CD612" s="351"/>
      <c r="CE612" s="351"/>
      <c r="CF612" s="351"/>
      <c r="CG612" s="352"/>
    </row>
    <row r="613" spans="1:85" s="353" customFormat="1" ht="13.9" customHeight="1" x14ac:dyDescent="0.2">
      <c r="A613" s="337" t="s">
        <v>158</v>
      </c>
      <c r="B613" s="338">
        <v>104</v>
      </c>
      <c r="C613" s="339" t="s">
        <v>835</v>
      </c>
      <c r="D613" s="340" t="s">
        <v>600</v>
      </c>
      <c r="E613" s="341"/>
      <c r="F613" s="341">
        <v>1481100270.5</v>
      </c>
      <c r="G613" s="341"/>
      <c r="H613" s="340" t="s">
        <v>792</v>
      </c>
      <c r="I613" s="339" t="s">
        <v>704</v>
      </c>
      <c r="J613" s="338">
        <v>1</v>
      </c>
      <c r="K613" s="338">
        <v>1</v>
      </c>
      <c r="L613" s="338">
        <v>12</v>
      </c>
      <c r="M613" s="342">
        <f t="shared" si="108"/>
        <v>1</v>
      </c>
      <c r="N613" s="343" t="s">
        <v>36</v>
      </c>
      <c r="O613" s="344" t="str">
        <f>IF(ISBLANK(N613),"",VLOOKUP(N613,[20]Parámetros!$G$2:$H$23,2,FALSE))</f>
        <v xml:space="preserve">Contratación directa (con ofertas) </v>
      </c>
      <c r="P613" s="345">
        <f t="shared" si="114"/>
        <v>1</v>
      </c>
      <c r="Q613" s="346">
        <f t="shared" si="109"/>
        <v>1481100270.5</v>
      </c>
      <c r="R613" s="346">
        <f t="shared" si="110"/>
        <v>1481100270.5</v>
      </c>
      <c r="S613" s="347" t="s">
        <v>223</v>
      </c>
      <c r="T613" s="345">
        <f t="shared" si="107"/>
        <v>0</v>
      </c>
      <c r="U613" s="348" t="str">
        <f t="shared" si="111"/>
        <v>SUBDIRECCION DE GESTION CONTRACTUAL</v>
      </c>
      <c r="V613" s="345" t="str">
        <f t="shared" si="112"/>
        <v>CO-DC</v>
      </c>
      <c r="W613" s="345" t="str">
        <f t="shared" si="113"/>
        <v>Distrito Capital de Bogotá</v>
      </c>
      <c r="X613" s="340" t="s">
        <v>586</v>
      </c>
      <c r="Y613" s="338">
        <v>2427400</v>
      </c>
      <c r="Z613" s="349" t="s">
        <v>160</v>
      </c>
      <c r="AA613" s="350"/>
      <c r="AB613" s="350"/>
      <c r="AC613" s="350"/>
      <c r="AD613" s="350"/>
      <c r="AE613" s="350"/>
      <c r="AF613" s="350"/>
      <c r="AG613" s="350"/>
      <c r="AH613" s="350"/>
      <c r="AI613" s="350"/>
      <c r="AJ613" s="350"/>
      <c r="AK613" s="350"/>
      <c r="AL613" s="350"/>
      <c r="AM613" s="350"/>
      <c r="AN613" s="350"/>
      <c r="AO613" s="350"/>
      <c r="AP613" s="350"/>
      <c r="AQ613" s="350"/>
      <c r="AR613" s="350"/>
      <c r="AS613" s="350"/>
      <c r="AT613" s="350"/>
      <c r="AU613" s="351"/>
      <c r="AV613" s="351"/>
      <c r="AW613" s="351"/>
      <c r="AX613" s="351"/>
      <c r="AY613" s="351"/>
      <c r="AZ613" s="351"/>
      <c r="BA613" s="351"/>
      <c r="BB613" s="351"/>
      <c r="BC613" s="351"/>
      <c r="BD613" s="351"/>
      <c r="BE613" s="351"/>
      <c r="BF613" s="351"/>
      <c r="BG613" s="351"/>
      <c r="BH613" s="351"/>
      <c r="BI613" s="351"/>
      <c r="BJ613" s="351"/>
      <c r="BK613" s="351"/>
      <c r="BL613" s="351"/>
      <c r="BM613" s="351"/>
      <c r="BN613" s="351"/>
      <c r="BO613" s="351"/>
      <c r="BP613" s="351"/>
      <c r="BQ613" s="351"/>
      <c r="BR613" s="351"/>
      <c r="BS613" s="351"/>
      <c r="BT613" s="351"/>
      <c r="BU613" s="351"/>
      <c r="BV613" s="351"/>
      <c r="BW613" s="351"/>
      <c r="BX613" s="351"/>
      <c r="BY613" s="351"/>
      <c r="BZ613" s="351"/>
      <c r="CA613" s="351"/>
      <c r="CB613" s="351"/>
      <c r="CC613" s="351"/>
      <c r="CD613" s="351"/>
      <c r="CE613" s="351"/>
      <c r="CF613" s="351"/>
      <c r="CG613" s="352"/>
    </row>
    <row r="614" spans="1:85" s="353" customFormat="1" ht="13.9" customHeight="1" x14ac:dyDescent="0.2">
      <c r="A614" s="337" t="s">
        <v>158</v>
      </c>
      <c r="B614" s="338">
        <v>105</v>
      </c>
      <c r="C614" s="339" t="s">
        <v>835</v>
      </c>
      <c r="D614" s="340" t="s">
        <v>600</v>
      </c>
      <c r="E614" s="341"/>
      <c r="F614" s="341">
        <v>5944059397</v>
      </c>
      <c r="G614" s="341"/>
      <c r="H614" s="340" t="s">
        <v>792</v>
      </c>
      <c r="I614" s="339" t="s">
        <v>703</v>
      </c>
      <c r="J614" s="338">
        <v>1</v>
      </c>
      <c r="K614" s="338">
        <v>1</v>
      </c>
      <c r="L614" s="338">
        <v>12</v>
      </c>
      <c r="M614" s="342">
        <f t="shared" si="108"/>
        <v>1</v>
      </c>
      <c r="N614" s="343" t="s">
        <v>36</v>
      </c>
      <c r="O614" s="344" t="str">
        <f>IF(ISBLANK(N614),"",VLOOKUP(N614,[20]Parámetros!$G$2:$H$23,2,FALSE))</f>
        <v xml:space="preserve">Contratación directa (con ofertas) </v>
      </c>
      <c r="P614" s="345">
        <f t="shared" si="114"/>
        <v>1</v>
      </c>
      <c r="Q614" s="346">
        <f t="shared" si="109"/>
        <v>5944059397</v>
      </c>
      <c r="R614" s="346">
        <f t="shared" si="110"/>
        <v>5944059397</v>
      </c>
      <c r="S614" s="347" t="s">
        <v>223</v>
      </c>
      <c r="T614" s="345">
        <f t="shared" si="107"/>
        <v>0</v>
      </c>
      <c r="U614" s="348" t="str">
        <f t="shared" si="111"/>
        <v>SUBDIRECCION DE GESTION CONTRACTUAL</v>
      </c>
      <c r="V614" s="345" t="str">
        <f t="shared" si="112"/>
        <v>CO-DC</v>
      </c>
      <c r="W614" s="345" t="str">
        <f t="shared" si="113"/>
        <v>Distrito Capital de Bogotá</v>
      </c>
      <c r="X614" s="340" t="s">
        <v>586</v>
      </c>
      <c r="Y614" s="338">
        <v>2427400</v>
      </c>
      <c r="Z614" s="349" t="s">
        <v>160</v>
      </c>
      <c r="AA614" s="350"/>
      <c r="AB614" s="350"/>
      <c r="AC614" s="350"/>
      <c r="AD614" s="350"/>
      <c r="AE614" s="350"/>
      <c r="AF614" s="350"/>
      <c r="AG614" s="350"/>
      <c r="AH614" s="350"/>
      <c r="AI614" s="350"/>
      <c r="AJ614" s="350"/>
      <c r="AK614" s="350"/>
      <c r="AL614" s="350"/>
      <c r="AM614" s="350"/>
      <c r="AN614" s="350"/>
      <c r="AO614" s="350"/>
      <c r="AP614" s="350"/>
      <c r="AQ614" s="350"/>
      <c r="AR614" s="350"/>
      <c r="AS614" s="350"/>
      <c r="AT614" s="350"/>
      <c r="AU614" s="351"/>
      <c r="AV614" s="351"/>
      <c r="AW614" s="351"/>
      <c r="AX614" s="351"/>
      <c r="AY614" s="351"/>
      <c r="AZ614" s="351"/>
      <c r="BA614" s="351"/>
      <c r="BB614" s="351"/>
      <c r="BC614" s="351"/>
      <c r="BD614" s="351"/>
      <c r="BE614" s="351"/>
      <c r="BF614" s="351"/>
      <c r="BG614" s="351"/>
      <c r="BH614" s="351"/>
      <c r="BI614" s="351"/>
      <c r="BJ614" s="351"/>
      <c r="BK614" s="351"/>
      <c r="BL614" s="351"/>
      <c r="BM614" s="351"/>
      <c r="BN614" s="351"/>
      <c r="BO614" s="351"/>
      <c r="BP614" s="351"/>
      <c r="BQ614" s="351"/>
      <c r="BR614" s="351"/>
      <c r="BS614" s="351"/>
      <c r="BT614" s="351"/>
      <c r="BU614" s="351"/>
      <c r="BV614" s="351"/>
      <c r="BW614" s="351"/>
      <c r="BX614" s="351"/>
      <c r="BY614" s="351"/>
      <c r="BZ614" s="351"/>
      <c r="CA614" s="351"/>
      <c r="CB614" s="351"/>
      <c r="CC614" s="351"/>
      <c r="CD614" s="351"/>
      <c r="CE614" s="351"/>
      <c r="CF614" s="351"/>
      <c r="CG614" s="352"/>
    </row>
    <row r="615" spans="1:85" s="353" customFormat="1" ht="13.9" customHeight="1" x14ac:dyDescent="0.2">
      <c r="A615" s="337" t="s">
        <v>158</v>
      </c>
      <c r="B615" s="338">
        <v>106</v>
      </c>
      <c r="C615" s="339" t="s">
        <v>835</v>
      </c>
      <c r="D615" s="340" t="s">
        <v>600</v>
      </c>
      <c r="E615" s="341"/>
      <c r="F615" s="341">
        <v>1393976725</v>
      </c>
      <c r="G615" s="341"/>
      <c r="H615" s="340" t="s">
        <v>792</v>
      </c>
      <c r="I615" s="339" t="s">
        <v>702</v>
      </c>
      <c r="J615" s="338">
        <v>1</v>
      </c>
      <c r="K615" s="338">
        <v>1</v>
      </c>
      <c r="L615" s="338">
        <v>12</v>
      </c>
      <c r="M615" s="342">
        <f t="shared" si="108"/>
        <v>1</v>
      </c>
      <c r="N615" s="343" t="s">
        <v>36</v>
      </c>
      <c r="O615" s="344" t="str">
        <f>IF(ISBLANK(N615),"",VLOOKUP(N615,[20]Parámetros!$G$2:$H$23,2,FALSE))</f>
        <v xml:space="preserve">Contratación directa (con ofertas) </v>
      </c>
      <c r="P615" s="345">
        <f t="shared" si="114"/>
        <v>1</v>
      </c>
      <c r="Q615" s="346">
        <f t="shared" si="109"/>
        <v>1393976725</v>
      </c>
      <c r="R615" s="346">
        <f t="shared" si="110"/>
        <v>1393976725</v>
      </c>
      <c r="S615" s="347" t="s">
        <v>223</v>
      </c>
      <c r="T615" s="345">
        <f t="shared" si="107"/>
        <v>0</v>
      </c>
      <c r="U615" s="348" t="str">
        <f t="shared" si="111"/>
        <v>SUBDIRECCION DE GESTION CONTRACTUAL</v>
      </c>
      <c r="V615" s="345" t="str">
        <f t="shared" si="112"/>
        <v>CO-DC</v>
      </c>
      <c r="W615" s="345" t="str">
        <f t="shared" si="113"/>
        <v>Distrito Capital de Bogotá</v>
      </c>
      <c r="X615" s="340" t="s">
        <v>586</v>
      </c>
      <c r="Y615" s="338">
        <v>2427400</v>
      </c>
      <c r="Z615" s="349" t="s">
        <v>160</v>
      </c>
      <c r="AA615" s="350"/>
      <c r="AB615" s="350"/>
      <c r="AC615" s="350"/>
      <c r="AD615" s="350"/>
      <c r="AE615" s="350"/>
      <c r="AF615" s="350"/>
      <c r="AG615" s="350"/>
      <c r="AH615" s="350"/>
      <c r="AI615" s="350"/>
      <c r="AJ615" s="350"/>
      <c r="AK615" s="350"/>
      <c r="AL615" s="350"/>
      <c r="AM615" s="350"/>
      <c r="AN615" s="350"/>
      <c r="AO615" s="350"/>
      <c r="AP615" s="350"/>
      <c r="AQ615" s="350"/>
      <c r="AR615" s="350"/>
      <c r="AS615" s="350"/>
      <c r="AT615" s="350"/>
      <c r="AU615" s="351"/>
      <c r="AV615" s="351"/>
      <c r="AW615" s="351"/>
      <c r="AX615" s="351"/>
      <c r="AY615" s="351"/>
      <c r="AZ615" s="351"/>
      <c r="BA615" s="351"/>
      <c r="BB615" s="351"/>
      <c r="BC615" s="351"/>
      <c r="BD615" s="351"/>
      <c r="BE615" s="351"/>
      <c r="BF615" s="351"/>
      <c r="BG615" s="351"/>
      <c r="BH615" s="351"/>
      <c r="BI615" s="351"/>
      <c r="BJ615" s="351"/>
      <c r="BK615" s="351"/>
      <c r="BL615" s="351"/>
      <c r="BM615" s="351"/>
      <c r="BN615" s="351"/>
      <c r="BO615" s="351"/>
      <c r="BP615" s="351"/>
      <c r="BQ615" s="351"/>
      <c r="BR615" s="351"/>
      <c r="BS615" s="351"/>
      <c r="BT615" s="351"/>
      <c r="BU615" s="351"/>
      <c r="BV615" s="351"/>
      <c r="BW615" s="351"/>
      <c r="BX615" s="351"/>
      <c r="BY615" s="351"/>
      <c r="BZ615" s="351"/>
      <c r="CA615" s="351"/>
      <c r="CB615" s="351"/>
      <c r="CC615" s="351"/>
      <c r="CD615" s="351"/>
      <c r="CE615" s="351"/>
      <c r="CF615" s="351"/>
      <c r="CG615" s="352"/>
    </row>
    <row r="616" spans="1:85" s="353" customFormat="1" ht="13.9" customHeight="1" x14ac:dyDescent="0.2">
      <c r="A616" s="337" t="s">
        <v>158</v>
      </c>
      <c r="B616" s="338">
        <v>107</v>
      </c>
      <c r="C616" s="339" t="s">
        <v>835</v>
      </c>
      <c r="D616" s="340" t="s">
        <v>600</v>
      </c>
      <c r="E616" s="341"/>
      <c r="F616" s="341">
        <v>4407956236</v>
      </c>
      <c r="G616" s="341"/>
      <c r="H616" s="340" t="s">
        <v>792</v>
      </c>
      <c r="I616" s="339" t="s">
        <v>701</v>
      </c>
      <c r="J616" s="338">
        <v>1</v>
      </c>
      <c r="K616" s="338">
        <v>1</v>
      </c>
      <c r="L616" s="338">
        <v>12</v>
      </c>
      <c r="M616" s="342">
        <f t="shared" si="108"/>
        <v>1</v>
      </c>
      <c r="N616" s="343" t="s">
        <v>36</v>
      </c>
      <c r="O616" s="344" t="str">
        <f>IF(ISBLANK(N616),"",VLOOKUP(N616,[20]Parámetros!$G$2:$H$23,2,FALSE))</f>
        <v xml:space="preserve">Contratación directa (con ofertas) </v>
      </c>
      <c r="P616" s="345">
        <f t="shared" si="114"/>
        <v>1</v>
      </c>
      <c r="Q616" s="346">
        <f t="shared" si="109"/>
        <v>4407956236</v>
      </c>
      <c r="R616" s="346">
        <f t="shared" si="110"/>
        <v>4407956236</v>
      </c>
      <c r="S616" s="347" t="s">
        <v>223</v>
      </c>
      <c r="T616" s="345">
        <f t="shared" si="107"/>
        <v>0</v>
      </c>
      <c r="U616" s="348" t="str">
        <f t="shared" si="111"/>
        <v>SUBDIRECCION DE GESTION CONTRACTUAL</v>
      </c>
      <c r="V616" s="345" t="str">
        <f t="shared" si="112"/>
        <v>CO-DC</v>
      </c>
      <c r="W616" s="345" t="str">
        <f t="shared" si="113"/>
        <v>Distrito Capital de Bogotá</v>
      </c>
      <c r="X616" s="340" t="s">
        <v>586</v>
      </c>
      <c r="Y616" s="338">
        <v>2427400</v>
      </c>
      <c r="Z616" s="349" t="s">
        <v>160</v>
      </c>
      <c r="AA616" s="350"/>
      <c r="AB616" s="350"/>
      <c r="AC616" s="350"/>
      <c r="AD616" s="350"/>
      <c r="AE616" s="350"/>
      <c r="AF616" s="350"/>
      <c r="AG616" s="350"/>
      <c r="AH616" s="350"/>
      <c r="AI616" s="350"/>
      <c r="AJ616" s="350"/>
      <c r="AK616" s="350"/>
      <c r="AL616" s="350"/>
      <c r="AM616" s="350"/>
      <c r="AN616" s="350"/>
      <c r="AO616" s="350"/>
      <c r="AP616" s="350"/>
      <c r="AQ616" s="350"/>
      <c r="AR616" s="350"/>
      <c r="AS616" s="350"/>
      <c r="AT616" s="350"/>
      <c r="AU616" s="351"/>
      <c r="AV616" s="351"/>
      <c r="AW616" s="351"/>
      <c r="AX616" s="351"/>
      <c r="AY616" s="351"/>
      <c r="AZ616" s="351"/>
      <c r="BA616" s="351"/>
      <c r="BB616" s="351"/>
      <c r="BC616" s="351"/>
      <c r="BD616" s="351"/>
      <c r="BE616" s="351"/>
      <c r="BF616" s="351"/>
      <c r="BG616" s="351"/>
      <c r="BH616" s="351"/>
      <c r="BI616" s="351"/>
      <c r="BJ616" s="351"/>
      <c r="BK616" s="351"/>
      <c r="BL616" s="351"/>
      <c r="BM616" s="351"/>
      <c r="BN616" s="351"/>
      <c r="BO616" s="351"/>
      <c r="BP616" s="351"/>
      <c r="BQ616" s="351"/>
      <c r="BR616" s="351"/>
      <c r="BS616" s="351"/>
      <c r="BT616" s="351"/>
      <c r="BU616" s="351"/>
      <c r="BV616" s="351"/>
      <c r="BW616" s="351"/>
      <c r="BX616" s="351"/>
      <c r="BY616" s="351"/>
      <c r="BZ616" s="351"/>
      <c r="CA616" s="351"/>
      <c r="CB616" s="351"/>
      <c r="CC616" s="351"/>
      <c r="CD616" s="351"/>
      <c r="CE616" s="351"/>
      <c r="CF616" s="351"/>
      <c r="CG616" s="352"/>
    </row>
    <row r="617" spans="1:85" s="353" customFormat="1" ht="13.9" customHeight="1" x14ac:dyDescent="0.2">
      <c r="A617" s="337" t="s">
        <v>158</v>
      </c>
      <c r="B617" s="338">
        <v>108</v>
      </c>
      <c r="C617" s="339" t="s">
        <v>835</v>
      </c>
      <c r="D617" s="340" t="s">
        <v>600</v>
      </c>
      <c r="E617" s="341"/>
      <c r="F617" s="341">
        <v>7235924929</v>
      </c>
      <c r="G617" s="341"/>
      <c r="H617" s="340" t="s">
        <v>792</v>
      </c>
      <c r="I617" s="339" t="s">
        <v>700</v>
      </c>
      <c r="J617" s="338">
        <v>1</v>
      </c>
      <c r="K617" s="338">
        <v>1</v>
      </c>
      <c r="L617" s="338">
        <v>12</v>
      </c>
      <c r="M617" s="342">
        <f t="shared" si="108"/>
        <v>1</v>
      </c>
      <c r="N617" s="343" t="s">
        <v>36</v>
      </c>
      <c r="O617" s="344" t="str">
        <f>IF(ISBLANK(N617),"",VLOOKUP(N617,[20]Parámetros!$G$2:$H$23,2,FALSE))</f>
        <v xml:space="preserve">Contratación directa (con ofertas) </v>
      </c>
      <c r="P617" s="345">
        <f t="shared" si="114"/>
        <v>1</v>
      </c>
      <c r="Q617" s="346">
        <f t="shared" si="109"/>
        <v>7235924929</v>
      </c>
      <c r="R617" s="346">
        <f t="shared" si="110"/>
        <v>7235924929</v>
      </c>
      <c r="S617" s="347" t="s">
        <v>223</v>
      </c>
      <c r="T617" s="345">
        <f t="shared" ref="T617:T643" si="115">IF(ISBLANK(S617),"",IF(VALUE(S617)=0,0,IF(VALUE(S617)=1,3,"")))</f>
        <v>0</v>
      </c>
      <c r="U617" s="348" t="str">
        <f t="shared" si="111"/>
        <v>SUBDIRECCION DE GESTION CONTRACTUAL</v>
      </c>
      <c r="V617" s="345" t="str">
        <f t="shared" si="112"/>
        <v>CO-DC</v>
      </c>
      <c r="W617" s="345" t="str">
        <f t="shared" si="113"/>
        <v>Distrito Capital de Bogotá</v>
      </c>
      <c r="X617" s="340" t="s">
        <v>586</v>
      </c>
      <c r="Y617" s="338">
        <v>2427400</v>
      </c>
      <c r="Z617" s="349" t="s">
        <v>160</v>
      </c>
      <c r="AA617" s="350"/>
      <c r="AB617" s="350"/>
      <c r="AC617" s="350"/>
      <c r="AD617" s="350"/>
      <c r="AE617" s="350"/>
      <c r="AF617" s="350"/>
      <c r="AG617" s="350"/>
      <c r="AH617" s="350"/>
      <c r="AI617" s="350"/>
      <c r="AJ617" s="350"/>
      <c r="AK617" s="350"/>
      <c r="AL617" s="350"/>
      <c r="AM617" s="350"/>
      <c r="AN617" s="350"/>
      <c r="AO617" s="350"/>
      <c r="AP617" s="350"/>
      <c r="AQ617" s="350"/>
      <c r="AR617" s="350"/>
      <c r="AS617" s="350"/>
      <c r="AT617" s="350"/>
      <c r="AU617" s="351"/>
      <c r="AV617" s="351"/>
      <c r="AW617" s="351"/>
      <c r="AX617" s="351"/>
      <c r="AY617" s="351"/>
      <c r="AZ617" s="351"/>
      <c r="BA617" s="351"/>
      <c r="BB617" s="351"/>
      <c r="BC617" s="351"/>
      <c r="BD617" s="351"/>
      <c r="BE617" s="351"/>
      <c r="BF617" s="351"/>
      <c r="BG617" s="351"/>
      <c r="BH617" s="351"/>
      <c r="BI617" s="351"/>
      <c r="BJ617" s="351"/>
      <c r="BK617" s="351"/>
      <c r="BL617" s="351"/>
      <c r="BM617" s="351"/>
      <c r="BN617" s="351"/>
      <c r="BO617" s="351"/>
      <c r="BP617" s="351"/>
      <c r="BQ617" s="351"/>
      <c r="BR617" s="351"/>
      <c r="BS617" s="351"/>
      <c r="BT617" s="351"/>
      <c r="BU617" s="351"/>
      <c r="BV617" s="351"/>
      <c r="BW617" s="351"/>
      <c r="BX617" s="351"/>
      <c r="BY617" s="351"/>
      <c r="BZ617" s="351"/>
      <c r="CA617" s="351"/>
      <c r="CB617" s="351"/>
      <c r="CC617" s="351"/>
      <c r="CD617" s="351"/>
      <c r="CE617" s="351"/>
      <c r="CF617" s="351"/>
      <c r="CG617" s="352"/>
    </row>
    <row r="618" spans="1:85" s="353" customFormat="1" ht="13.9" customHeight="1" x14ac:dyDescent="0.2">
      <c r="A618" s="337" t="s">
        <v>158</v>
      </c>
      <c r="B618" s="338">
        <v>109</v>
      </c>
      <c r="C618" s="339" t="s">
        <v>835</v>
      </c>
      <c r="D618" s="340" t="s">
        <v>600</v>
      </c>
      <c r="E618" s="341"/>
      <c r="F618" s="341">
        <v>1174429162</v>
      </c>
      <c r="G618" s="341"/>
      <c r="H618" s="340" t="s">
        <v>792</v>
      </c>
      <c r="I618" s="339" t="s">
        <v>699</v>
      </c>
      <c r="J618" s="338">
        <v>1</v>
      </c>
      <c r="K618" s="338">
        <v>1</v>
      </c>
      <c r="L618" s="338">
        <v>12</v>
      </c>
      <c r="M618" s="342">
        <f t="shared" si="108"/>
        <v>1</v>
      </c>
      <c r="N618" s="343" t="s">
        <v>36</v>
      </c>
      <c r="O618" s="344" t="str">
        <f>IF(ISBLANK(N618),"",VLOOKUP(N618,[20]Parámetros!$G$2:$H$23,2,FALSE))</f>
        <v xml:space="preserve">Contratación directa (con ofertas) </v>
      </c>
      <c r="P618" s="345">
        <f t="shared" si="114"/>
        <v>1</v>
      </c>
      <c r="Q618" s="346">
        <f t="shared" si="109"/>
        <v>1174429162</v>
      </c>
      <c r="R618" s="346">
        <f t="shared" si="110"/>
        <v>1174429162</v>
      </c>
      <c r="S618" s="347" t="s">
        <v>223</v>
      </c>
      <c r="T618" s="345">
        <f t="shared" si="115"/>
        <v>0</v>
      </c>
      <c r="U618" s="348" t="str">
        <f t="shared" si="111"/>
        <v>SUBDIRECCION DE GESTION CONTRACTUAL</v>
      </c>
      <c r="V618" s="345" t="str">
        <f t="shared" si="112"/>
        <v>CO-DC</v>
      </c>
      <c r="W618" s="345" t="str">
        <f t="shared" si="113"/>
        <v>Distrito Capital de Bogotá</v>
      </c>
      <c r="X618" s="340" t="s">
        <v>586</v>
      </c>
      <c r="Y618" s="338">
        <v>2427400</v>
      </c>
      <c r="Z618" s="349" t="s">
        <v>160</v>
      </c>
      <c r="AA618" s="350"/>
      <c r="AB618" s="350"/>
      <c r="AC618" s="350"/>
      <c r="AD618" s="350"/>
      <c r="AE618" s="350"/>
      <c r="AF618" s="350"/>
      <c r="AG618" s="350"/>
      <c r="AH618" s="350"/>
      <c r="AI618" s="350"/>
      <c r="AJ618" s="350"/>
      <c r="AK618" s="350"/>
      <c r="AL618" s="350"/>
      <c r="AM618" s="350"/>
      <c r="AN618" s="350"/>
      <c r="AO618" s="350"/>
      <c r="AP618" s="350"/>
      <c r="AQ618" s="350"/>
      <c r="AR618" s="350"/>
      <c r="AS618" s="350"/>
      <c r="AT618" s="350"/>
      <c r="AU618" s="351"/>
      <c r="AV618" s="351"/>
      <c r="AW618" s="351"/>
      <c r="AX618" s="351"/>
      <c r="AY618" s="351"/>
      <c r="AZ618" s="351"/>
      <c r="BA618" s="351"/>
      <c r="BB618" s="351"/>
      <c r="BC618" s="351"/>
      <c r="BD618" s="351"/>
      <c r="BE618" s="351"/>
      <c r="BF618" s="351"/>
      <c r="BG618" s="351"/>
      <c r="BH618" s="351"/>
      <c r="BI618" s="351"/>
      <c r="BJ618" s="351"/>
      <c r="BK618" s="351"/>
      <c r="BL618" s="351"/>
      <c r="BM618" s="351"/>
      <c r="BN618" s="351"/>
      <c r="BO618" s="351"/>
      <c r="BP618" s="351"/>
      <c r="BQ618" s="351"/>
      <c r="BR618" s="351"/>
      <c r="BS618" s="351"/>
      <c r="BT618" s="351"/>
      <c r="BU618" s="351"/>
      <c r="BV618" s="351"/>
      <c r="BW618" s="351"/>
      <c r="BX618" s="351"/>
      <c r="BY618" s="351"/>
      <c r="BZ618" s="351"/>
      <c r="CA618" s="351"/>
      <c r="CB618" s="351"/>
      <c r="CC618" s="351"/>
      <c r="CD618" s="351"/>
      <c r="CE618" s="351"/>
      <c r="CF618" s="351"/>
      <c r="CG618" s="352"/>
    </row>
    <row r="619" spans="1:85" s="353" customFormat="1" ht="13.9" customHeight="1" x14ac:dyDescent="0.2">
      <c r="A619" s="337" t="s">
        <v>158</v>
      </c>
      <c r="B619" s="338">
        <v>110</v>
      </c>
      <c r="C619" s="339" t="s">
        <v>835</v>
      </c>
      <c r="D619" s="340" t="s">
        <v>600</v>
      </c>
      <c r="E619" s="341"/>
      <c r="F619" s="341">
        <v>4428608739</v>
      </c>
      <c r="G619" s="341"/>
      <c r="H619" s="340" t="s">
        <v>792</v>
      </c>
      <c r="I619" s="339" t="s">
        <v>698</v>
      </c>
      <c r="J619" s="338">
        <v>1</v>
      </c>
      <c r="K619" s="338">
        <v>1</v>
      </c>
      <c r="L619" s="338">
        <v>12</v>
      </c>
      <c r="M619" s="342">
        <f t="shared" si="108"/>
        <v>1</v>
      </c>
      <c r="N619" s="343" t="s">
        <v>36</v>
      </c>
      <c r="O619" s="344" t="str">
        <f>IF(ISBLANK(N619),"",VLOOKUP(N619,[20]Parámetros!$G$2:$H$23,2,FALSE))</f>
        <v xml:space="preserve">Contratación directa (con ofertas) </v>
      </c>
      <c r="P619" s="345">
        <f t="shared" si="114"/>
        <v>1</v>
      </c>
      <c r="Q619" s="346">
        <f t="shared" si="109"/>
        <v>4428608739</v>
      </c>
      <c r="R619" s="346">
        <f t="shared" si="110"/>
        <v>4428608739</v>
      </c>
      <c r="S619" s="347" t="s">
        <v>223</v>
      </c>
      <c r="T619" s="345">
        <f t="shared" si="115"/>
        <v>0</v>
      </c>
      <c r="U619" s="348" t="str">
        <f t="shared" si="111"/>
        <v>SUBDIRECCION DE GESTION CONTRACTUAL</v>
      </c>
      <c r="V619" s="345" t="str">
        <f t="shared" si="112"/>
        <v>CO-DC</v>
      </c>
      <c r="W619" s="345" t="str">
        <f t="shared" si="113"/>
        <v>Distrito Capital de Bogotá</v>
      </c>
      <c r="X619" s="340" t="s">
        <v>586</v>
      </c>
      <c r="Y619" s="338">
        <v>2427400</v>
      </c>
      <c r="Z619" s="349" t="s">
        <v>160</v>
      </c>
      <c r="AA619" s="350"/>
      <c r="AB619" s="350"/>
      <c r="AC619" s="350"/>
      <c r="AD619" s="350"/>
      <c r="AE619" s="350"/>
      <c r="AF619" s="350"/>
      <c r="AG619" s="350"/>
      <c r="AH619" s="350"/>
      <c r="AI619" s="350"/>
      <c r="AJ619" s="350"/>
      <c r="AK619" s="350"/>
      <c r="AL619" s="350"/>
      <c r="AM619" s="350"/>
      <c r="AN619" s="350"/>
      <c r="AO619" s="350"/>
      <c r="AP619" s="350"/>
      <c r="AQ619" s="350"/>
      <c r="AR619" s="350"/>
      <c r="AS619" s="350"/>
      <c r="AT619" s="350"/>
      <c r="AU619" s="351"/>
      <c r="AV619" s="351"/>
      <c r="AW619" s="351"/>
      <c r="AX619" s="351"/>
      <c r="AY619" s="351"/>
      <c r="AZ619" s="351"/>
      <c r="BA619" s="351"/>
      <c r="BB619" s="351"/>
      <c r="BC619" s="351"/>
      <c r="BD619" s="351"/>
      <c r="BE619" s="351"/>
      <c r="BF619" s="351"/>
      <c r="BG619" s="351"/>
      <c r="BH619" s="351"/>
      <c r="BI619" s="351"/>
      <c r="BJ619" s="351"/>
      <c r="BK619" s="351"/>
      <c r="BL619" s="351"/>
      <c r="BM619" s="351"/>
      <c r="BN619" s="351"/>
      <c r="BO619" s="351"/>
      <c r="BP619" s="351"/>
      <c r="BQ619" s="351"/>
      <c r="BR619" s="351"/>
      <c r="BS619" s="351"/>
      <c r="BT619" s="351"/>
      <c r="BU619" s="351"/>
      <c r="BV619" s="351"/>
      <c r="BW619" s="351"/>
      <c r="BX619" s="351"/>
      <c r="BY619" s="351"/>
      <c r="BZ619" s="351"/>
      <c r="CA619" s="351"/>
      <c r="CB619" s="351"/>
      <c r="CC619" s="351"/>
      <c r="CD619" s="351"/>
      <c r="CE619" s="351"/>
      <c r="CF619" s="351"/>
      <c r="CG619" s="352"/>
    </row>
    <row r="620" spans="1:85" s="353" customFormat="1" ht="13.9" customHeight="1" x14ac:dyDescent="0.2">
      <c r="A620" s="337" t="s">
        <v>158</v>
      </c>
      <c r="B620" s="338">
        <v>111</v>
      </c>
      <c r="C620" s="339" t="s">
        <v>835</v>
      </c>
      <c r="D620" s="340" t="s">
        <v>600</v>
      </c>
      <c r="E620" s="341"/>
      <c r="F620" s="341">
        <v>1816499827</v>
      </c>
      <c r="G620" s="341"/>
      <c r="H620" s="340" t="s">
        <v>792</v>
      </c>
      <c r="I620" s="339" t="s">
        <v>697</v>
      </c>
      <c r="J620" s="338">
        <v>1</v>
      </c>
      <c r="K620" s="338">
        <v>1</v>
      </c>
      <c r="L620" s="338">
        <v>12</v>
      </c>
      <c r="M620" s="342">
        <f t="shared" si="108"/>
        <v>1</v>
      </c>
      <c r="N620" s="343" t="s">
        <v>36</v>
      </c>
      <c r="O620" s="344" t="str">
        <f>IF(ISBLANK(N620),"",VLOOKUP(N620,[20]Parámetros!$G$2:$H$23,2,FALSE))</f>
        <v xml:space="preserve">Contratación directa (con ofertas) </v>
      </c>
      <c r="P620" s="345">
        <f t="shared" si="114"/>
        <v>1</v>
      </c>
      <c r="Q620" s="346">
        <f t="shared" si="109"/>
        <v>1816499827</v>
      </c>
      <c r="R620" s="346">
        <f t="shared" si="110"/>
        <v>1816499827</v>
      </c>
      <c r="S620" s="347" t="s">
        <v>223</v>
      </c>
      <c r="T620" s="345">
        <f t="shared" si="115"/>
        <v>0</v>
      </c>
      <c r="U620" s="348" t="str">
        <f t="shared" si="111"/>
        <v>SUBDIRECCION DE GESTION CONTRACTUAL</v>
      </c>
      <c r="V620" s="345" t="str">
        <f t="shared" si="112"/>
        <v>CO-DC</v>
      </c>
      <c r="W620" s="345" t="str">
        <f t="shared" si="113"/>
        <v>Distrito Capital de Bogotá</v>
      </c>
      <c r="X620" s="340" t="s">
        <v>586</v>
      </c>
      <c r="Y620" s="338">
        <v>2427400</v>
      </c>
      <c r="Z620" s="349" t="s">
        <v>160</v>
      </c>
      <c r="AA620" s="350"/>
      <c r="AB620" s="350"/>
      <c r="AC620" s="350"/>
      <c r="AD620" s="350"/>
      <c r="AE620" s="350"/>
      <c r="AF620" s="350"/>
      <c r="AG620" s="350"/>
      <c r="AH620" s="350"/>
      <c r="AI620" s="350"/>
      <c r="AJ620" s="350"/>
      <c r="AK620" s="350"/>
      <c r="AL620" s="350"/>
      <c r="AM620" s="350"/>
      <c r="AN620" s="350"/>
      <c r="AO620" s="350"/>
      <c r="AP620" s="350"/>
      <c r="AQ620" s="350"/>
      <c r="AR620" s="350"/>
      <c r="AS620" s="350"/>
      <c r="AT620" s="350"/>
      <c r="AU620" s="351"/>
      <c r="AV620" s="351"/>
      <c r="AW620" s="351"/>
      <c r="AX620" s="351"/>
      <c r="AY620" s="351"/>
      <c r="AZ620" s="351"/>
      <c r="BA620" s="351"/>
      <c r="BB620" s="351"/>
      <c r="BC620" s="351"/>
      <c r="BD620" s="351"/>
      <c r="BE620" s="351"/>
      <c r="BF620" s="351"/>
      <c r="BG620" s="351"/>
      <c r="BH620" s="351"/>
      <c r="BI620" s="351"/>
      <c r="BJ620" s="351"/>
      <c r="BK620" s="351"/>
      <c r="BL620" s="351"/>
      <c r="BM620" s="351"/>
      <c r="BN620" s="351"/>
      <c r="BO620" s="351"/>
      <c r="BP620" s="351"/>
      <c r="BQ620" s="351"/>
      <c r="BR620" s="351"/>
      <c r="BS620" s="351"/>
      <c r="BT620" s="351"/>
      <c r="BU620" s="351"/>
      <c r="BV620" s="351"/>
      <c r="BW620" s="351"/>
      <c r="BX620" s="351"/>
      <c r="BY620" s="351"/>
      <c r="BZ620" s="351"/>
      <c r="CA620" s="351"/>
      <c r="CB620" s="351"/>
      <c r="CC620" s="351"/>
      <c r="CD620" s="351"/>
      <c r="CE620" s="351"/>
      <c r="CF620" s="351"/>
      <c r="CG620" s="352"/>
    </row>
    <row r="621" spans="1:85" s="353" customFormat="1" ht="13.9" customHeight="1" x14ac:dyDescent="0.2">
      <c r="A621" s="337" t="s">
        <v>158</v>
      </c>
      <c r="B621" s="338">
        <v>112</v>
      </c>
      <c r="C621" s="339" t="s">
        <v>835</v>
      </c>
      <c r="D621" s="340" t="s">
        <v>600</v>
      </c>
      <c r="E621" s="341"/>
      <c r="F621" s="341">
        <v>1965929315</v>
      </c>
      <c r="G621" s="341"/>
      <c r="H621" s="340" t="s">
        <v>792</v>
      </c>
      <c r="I621" s="339" t="s">
        <v>696</v>
      </c>
      <c r="J621" s="338">
        <v>1</v>
      </c>
      <c r="K621" s="338">
        <v>1</v>
      </c>
      <c r="L621" s="338">
        <v>12</v>
      </c>
      <c r="M621" s="342">
        <f t="shared" si="108"/>
        <v>1</v>
      </c>
      <c r="N621" s="343" t="s">
        <v>36</v>
      </c>
      <c r="O621" s="344" t="str">
        <f>IF(ISBLANK(N621),"",VLOOKUP(N621,[20]Parámetros!$G$2:$H$23,2,FALSE))</f>
        <v xml:space="preserve">Contratación directa (con ofertas) </v>
      </c>
      <c r="P621" s="345">
        <f t="shared" si="114"/>
        <v>1</v>
      </c>
      <c r="Q621" s="346">
        <f t="shared" si="109"/>
        <v>1965929315</v>
      </c>
      <c r="R621" s="346">
        <f t="shared" si="110"/>
        <v>1965929315</v>
      </c>
      <c r="S621" s="347" t="s">
        <v>223</v>
      </c>
      <c r="T621" s="345">
        <f t="shared" si="115"/>
        <v>0</v>
      </c>
      <c r="U621" s="348" t="str">
        <f t="shared" si="111"/>
        <v>SUBDIRECCION DE GESTION CONTRACTUAL</v>
      </c>
      <c r="V621" s="345" t="str">
        <f t="shared" si="112"/>
        <v>CO-DC</v>
      </c>
      <c r="W621" s="345" t="str">
        <f t="shared" si="113"/>
        <v>Distrito Capital de Bogotá</v>
      </c>
      <c r="X621" s="340" t="s">
        <v>586</v>
      </c>
      <c r="Y621" s="338">
        <v>2427400</v>
      </c>
      <c r="Z621" s="349" t="s">
        <v>160</v>
      </c>
      <c r="AA621" s="350"/>
      <c r="AB621" s="350"/>
      <c r="AC621" s="350"/>
      <c r="AD621" s="350"/>
      <c r="AE621" s="350"/>
      <c r="AF621" s="350"/>
      <c r="AG621" s="350"/>
      <c r="AH621" s="350"/>
      <c r="AI621" s="350"/>
      <c r="AJ621" s="350"/>
      <c r="AK621" s="350"/>
      <c r="AL621" s="350"/>
      <c r="AM621" s="350"/>
      <c r="AN621" s="350"/>
      <c r="AO621" s="350"/>
      <c r="AP621" s="350"/>
      <c r="AQ621" s="350"/>
      <c r="AR621" s="350"/>
      <c r="AS621" s="350"/>
      <c r="AT621" s="350"/>
      <c r="AU621" s="351"/>
      <c r="AV621" s="351"/>
      <c r="AW621" s="351"/>
      <c r="AX621" s="351"/>
      <c r="AY621" s="351"/>
      <c r="AZ621" s="351"/>
      <c r="BA621" s="351"/>
      <c r="BB621" s="351"/>
      <c r="BC621" s="351"/>
      <c r="BD621" s="351"/>
      <c r="BE621" s="351"/>
      <c r="BF621" s="351"/>
      <c r="BG621" s="351"/>
      <c r="BH621" s="351"/>
      <c r="BI621" s="351"/>
      <c r="BJ621" s="351"/>
      <c r="BK621" s="351"/>
      <c r="BL621" s="351"/>
      <c r="BM621" s="351"/>
      <c r="BN621" s="351"/>
      <c r="BO621" s="351"/>
      <c r="BP621" s="351"/>
      <c r="BQ621" s="351"/>
      <c r="BR621" s="351"/>
      <c r="BS621" s="351"/>
      <c r="BT621" s="351"/>
      <c r="BU621" s="351"/>
      <c r="BV621" s="351"/>
      <c r="BW621" s="351"/>
      <c r="BX621" s="351"/>
      <c r="BY621" s="351"/>
      <c r="BZ621" s="351"/>
      <c r="CA621" s="351"/>
      <c r="CB621" s="351"/>
      <c r="CC621" s="351"/>
      <c r="CD621" s="351"/>
      <c r="CE621" s="351"/>
      <c r="CF621" s="351"/>
      <c r="CG621" s="352"/>
    </row>
    <row r="622" spans="1:85" s="353" customFormat="1" ht="13.9" customHeight="1" x14ac:dyDescent="0.2">
      <c r="A622" s="337" t="s">
        <v>158</v>
      </c>
      <c r="B622" s="338">
        <v>113</v>
      </c>
      <c r="C622" s="339" t="s">
        <v>835</v>
      </c>
      <c r="D622" s="340" t="s">
        <v>600</v>
      </c>
      <c r="E622" s="341"/>
      <c r="F622" s="341">
        <v>6443016559</v>
      </c>
      <c r="G622" s="341"/>
      <c r="H622" s="340" t="s">
        <v>792</v>
      </c>
      <c r="I622" s="339" t="s">
        <v>695</v>
      </c>
      <c r="J622" s="338">
        <v>1</v>
      </c>
      <c r="K622" s="338">
        <v>1</v>
      </c>
      <c r="L622" s="338">
        <v>12</v>
      </c>
      <c r="M622" s="342">
        <f t="shared" si="108"/>
        <v>1</v>
      </c>
      <c r="N622" s="343" t="s">
        <v>36</v>
      </c>
      <c r="O622" s="344" t="str">
        <f>IF(ISBLANK(N622),"",VLOOKUP(N622,[20]Parámetros!$G$2:$H$23,2,FALSE))</f>
        <v xml:space="preserve">Contratación directa (con ofertas) </v>
      </c>
      <c r="P622" s="345">
        <f t="shared" si="114"/>
        <v>1</v>
      </c>
      <c r="Q622" s="346">
        <f t="shared" si="109"/>
        <v>6443016559</v>
      </c>
      <c r="R622" s="346">
        <f t="shared" si="110"/>
        <v>6443016559</v>
      </c>
      <c r="S622" s="347" t="s">
        <v>223</v>
      </c>
      <c r="T622" s="345">
        <f t="shared" si="115"/>
        <v>0</v>
      </c>
      <c r="U622" s="348" t="str">
        <f t="shared" si="111"/>
        <v>SUBDIRECCION DE GESTION CONTRACTUAL</v>
      </c>
      <c r="V622" s="345" t="str">
        <f t="shared" si="112"/>
        <v>CO-DC</v>
      </c>
      <c r="W622" s="345" t="str">
        <f t="shared" si="113"/>
        <v>Distrito Capital de Bogotá</v>
      </c>
      <c r="X622" s="340" t="s">
        <v>586</v>
      </c>
      <c r="Y622" s="338">
        <v>2427400</v>
      </c>
      <c r="Z622" s="349" t="s">
        <v>160</v>
      </c>
      <c r="AA622" s="350"/>
      <c r="AB622" s="350"/>
      <c r="AC622" s="350"/>
      <c r="AD622" s="350"/>
      <c r="AE622" s="350"/>
      <c r="AF622" s="350"/>
      <c r="AG622" s="350"/>
      <c r="AH622" s="350"/>
      <c r="AI622" s="350"/>
      <c r="AJ622" s="350"/>
      <c r="AK622" s="350"/>
      <c r="AL622" s="350"/>
      <c r="AM622" s="350"/>
      <c r="AN622" s="350"/>
      <c r="AO622" s="350"/>
      <c r="AP622" s="350"/>
      <c r="AQ622" s="350"/>
      <c r="AR622" s="350"/>
      <c r="AS622" s="350"/>
      <c r="AT622" s="350"/>
      <c r="AU622" s="351"/>
      <c r="AV622" s="351"/>
      <c r="AW622" s="351"/>
      <c r="AX622" s="351"/>
      <c r="AY622" s="351"/>
      <c r="AZ622" s="351"/>
      <c r="BA622" s="351"/>
      <c r="BB622" s="351"/>
      <c r="BC622" s="351"/>
      <c r="BD622" s="351"/>
      <c r="BE622" s="351"/>
      <c r="BF622" s="351"/>
      <c r="BG622" s="351"/>
      <c r="BH622" s="351"/>
      <c r="BI622" s="351"/>
      <c r="BJ622" s="351"/>
      <c r="BK622" s="351"/>
      <c r="BL622" s="351"/>
      <c r="BM622" s="351"/>
      <c r="BN622" s="351"/>
      <c r="BO622" s="351"/>
      <c r="BP622" s="351"/>
      <c r="BQ622" s="351"/>
      <c r="BR622" s="351"/>
      <c r="BS622" s="351"/>
      <c r="BT622" s="351"/>
      <c r="BU622" s="351"/>
      <c r="BV622" s="351"/>
      <c r="BW622" s="351"/>
      <c r="BX622" s="351"/>
      <c r="BY622" s="351"/>
      <c r="BZ622" s="351"/>
      <c r="CA622" s="351"/>
      <c r="CB622" s="351"/>
      <c r="CC622" s="351"/>
      <c r="CD622" s="351"/>
      <c r="CE622" s="351"/>
      <c r="CF622" s="351"/>
      <c r="CG622" s="352"/>
    </row>
    <row r="623" spans="1:85" s="353" customFormat="1" ht="13.9" customHeight="1" x14ac:dyDescent="0.2">
      <c r="A623" s="337" t="s">
        <v>158</v>
      </c>
      <c r="B623" s="338">
        <v>114</v>
      </c>
      <c r="C623" s="339" t="s">
        <v>835</v>
      </c>
      <c r="D623" s="340" t="s">
        <v>600</v>
      </c>
      <c r="E623" s="341"/>
      <c r="F623" s="341">
        <v>5349657667.9499998</v>
      </c>
      <c r="G623" s="341"/>
      <c r="H623" s="340" t="s">
        <v>792</v>
      </c>
      <c r="I623" s="339" t="s">
        <v>694</v>
      </c>
      <c r="J623" s="338">
        <v>1</v>
      </c>
      <c r="K623" s="338">
        <v>1</v>
      </c>
      <c r="L623" s="338">
        <v>12</v>
      </c>
      <c r="M623" s="342">
        <f t="shared" si="108"/>
        <v>1</v>
      </c>
      <c r="N623" s="343" t="s">
        <v>36</v>
      </c>
      <c r="O623" s="344" t="str">
        <f>IF(ISBLANK(N623),"",VLOOKUP(N623,[20]Parámetros!$G$2:$H$23,2,FALSE))</f>
        <v xml:space="preserve">Contratación directa (con ofertas) </v>
      </c>
      <c r="P623" s="345">
        <f t="shared" si="114"/>
        <v>1</v>
      </c>
      <c r="Q623" s="346">
        <f t="shared" si="109"/>
        <v>5349657667.9499998</v>
      </c>
      <c r="R623" s="346">
        <f t="shared" si="110"/>
        <v>5349657667.9499998</v>
      </c>
      <c r="S623" s="347" t="s">
        <v>223</v>
      </c>
      <c r="T623" s="345">
        <f t="shared" si="115"/>
        <v>0</v>
      </c>
      <c r="U623" s="348" t="str">
        <f t="shared" si="111"/>
        <v>SUBDIRECCION DE GESTION CONTRACTUAL</v>
      </c>
      <c r="V623" s="345" t="str">
        <f t="shared" si="112"/>
        <v>CO-DC</v>
      </c>
      <c r="W623" s="345" t="str">
        <f t="shared" si="113"/>
        <v>Distrito Capital de Bogotá</v>
      </c>
      <c r="X623" s="340" t="s">
        <v>586</v>
      </c>
      <c r="Y623" s="338">
        <v>2427400</v>
      </c>
      <c r="Z623" s="349" t="s">
        <v>160</v>
      </c>
      <c r="AA623" s="350"/>
      <c r="AB623" s="350"/>
      <c r="AC623" s="350"/>
      <c r="AD623" s="350"/>
      <c r="AE623" s="350"/>
      <c r="AF623" s="350"/>
      <c r="AG623" s="350"/>
      <c r="AH623" s="350"/>
      <c r="AI623" s="350"/>
      <c r="AJ623" s="350"/>
      <c r="AK623" s="350"/>
      <c r="AL623" s="350"/>
      <c r="AM623" s="350"/>
      <c r="AN623" s="350"/>
      <c r="AO623" s="350"/>
      <c r="AP623" s="350"/>
      <c r="AQ623" s="350"/>
      <c r="AR623" s="350"/>
      <c r="AS623" s="350"/>
      <c r="AT623" s="350"/>
      <c r="AU623" s="351"/>
      <c r="AV623" s="351"/>
      <c r="AW623" s="351"/>
      <c r="AX623" s="351"/>
      <c r="AY623" s="351"/>
      <c r="AZ623" s="351"/>
      <c r="BA623" s="351"/>
      <c r="BB623" s="351"/>
      <c r="BC623" s="351"/>
      <c r="BD623" s="351"/>
      <c r="BE623" s="351"/>
      <c r="BF623" s="351"/>
      <c r="BG623" s="351"/>
      <c r="BH623" s="351"/>
      <c r="BI623" s="351"/>
      <c r="BJ623" s="351"/>
      <c r="BK623" s="351"/>
      <c r="BL623" s="351"/>
      <c r="BM623" s="351"/>
      <c r="BN623" s="351"/>
      <c r="BO623" s="351"/>
      <c r="BP623" s="351"/>
      <c r="BQ623" s="351"/>
      <c r="BR623" s="351"/>
      <c r="BS623" s="351"/>
      <c r="BT623" s="351"/>
      <c r="BU623" s="351"/>
      <c r="BV623" s="351"/>
      <c r="BW623" s="351"/>
      <c r="BX623" s="351"/>
      <c r="BY623" s="351"/>
      <c r="BZ623" s="351"/>
      <c r="CA623" s="351"/>
      <c r="CB623" s="351"/>
      <c r="CC623" s="351"/>
      <c r="CD623" s="351"/>
      <c r="CE623" s="351"/>
      <c r="CF623" s="351"/>
      <c r="CG623" s="352"/>
    </row>
    <row r="624" spans="1:85" s="353" customFormat="1" ht="13.9" customHeight="1" x14ac:dyDescent="0.2">
      <c r="A624" s="337" t="s">
        <v>158</v>
      </c>
      <c r="B624" s="338">
        <v>115</v>
      </c>
      <c r="C624" s="339" t="s">
        <v>835</v>
      </c>
      <c r="D624" s="340" t="s">
        <v>600</v>
      </c>
      <c r="E624" s="341"/>
      <c r="F624" s="341">
        <v>4254451334</v>
      </c>
      <c r="G624" s="341"/>
      <c r="H624" s="340" t="s">
        <v>792</v>
      </c>
      <c r="I624" s="339" t="s">
        <v>693</v>
      </c>
      <c r="J624" s="338">
        <v>1</v>
      </c>
      <c r="K624" s="338">
        <v>1</v>
      </c>
      <c r="L624" s="338">
        <v>12</v>
      </c>
      <c r="M624" s="342">
        <f t="shared" si="108"/>
        <v>1</v>
      </c>
      <c r="N624" s="343" t="s">
        <v>36</v>
      </c>
      <c r="O624" s="344" t="str">
        <f>IF(ISBLANK(N624),"",VLOOKUP(N624,[20]Parámetros!$G$2:$H$23,2,FALSE))</f>
        <v xml:space="preserve">Contratación directa (con ofertas) </v>
      </c>
      <c r="P624" s="345">
        <f t="shared" si="114"/>
        <v>1</v>
      </c>
      <c r="Q624" s="346">
        <f t="shared" si="109"/>
        <v>4254451334</v>
      </c>
      <c r="R624" s="346">
        <f t="shared" si="110"/>
        <v>4254451334</v>
      </c>
      <c r="S624" s="347" t="s">
        <v>223</v>
      </c>
      <c r="T624" s="345">
        <f t="shared" si="115"/>
        <v>0</v>
      </c>
      <c r="U624" s="348" t="str">
        <f t="shared" si="111"/>
        <v>SUBDIRECCION DE GESTION CONTRACTUAL</v>
      </c>
      <c r="V624" s="345" t="str">
        <f t="shared" si="112"/>
        <v>CO-DC</v>
      </c>
      <c r="W624" s="345" t="str">
        <f t="shared" si="113"/>
        <v>Distrito Capital de Bogotá</v>
      </c>
      <c r="X624" s="340" t="s">
        <v>586</v>
      </c>
      <c r="Y624" s="338">
        <v>2427400</v>
      </c>
      <c r="Z624" s="349" t="s">
        <v>160</v>
      </c>
      <c r="AA624" s="350"/>
      <c r="AB624" s="350"/>
      <c r="AC624" s="350"/>
      <c r="AD624" s="350"/>
      <c r="AE624" s="350"/>
      <c r="AF624" s="350"/>
      <c r="AG624" s="350"/>
      <c r="AH624" s="350"/>
      <c r="AI624" s="350"/>
      <c r="AJ624" s="350"/>
      <c r="AK624" s="350"/>
      <c r="AL624" s="350"/>
      <c r="AM624" s="350"/>
      <c r="AN624" s="350"/>
      <c r="AO624" s="350"/>
      <c r="AP624" s="350"/>
      <c r="AQ624" s="350"/>
      <c r="AR624" s="350"/>
      <c r="AS624" s="350"/>
      <c r="AT624" s="350"/>
      <c r="AU624" s="351"/>
      <c r="AV624" s="351"/>
      <c r="AW624" s="351"/>
      <c r="AX624" s="351"/>
      <c r="AY624" s="351"/>
      <c r="AZ624" s="351"/>
      <c r="BA624" s="351"/>
      <c r="BB624" s="351"/>
      <c r="BC624" s="351"/>
      <c r="BD624" s="351"/>
      <c r="BE624" s="351"/>
      <c r="BF624" s="351"/>
      <c r="BG624" s="351"/>
      <c r="BH624" s="351"/>
      <c r="BI624" s="351"/>
      <c r="BJ624" s="351"/>
      <c r="BK624" s="351"/>
      <c r="BL624" s="351"/>
      <c r="BM624" s="351"/>
      <c r="BN624" s="351"/>
      <c r="BO624" s="351"/>
      <c r="BP624" s="351"/>
      <c r="BQ624" s="351"/>
      <c r="BR624" s="351"/>
      <c r="BS624" s="351"/>
      <c r="BT624" s="351"/>
      <c r="BU624" s="351"/>
      <c r="BV624" s="351"/>
      <c r="BW624" s="351"/>
      <c r="BX624" s="351"/>
      <c r="BY624" s="351"/>
      <c r="BZ624" s="351"/>
      <c r="CA624" s="351"/>
      <c r="CB624" s="351"/>
      <c r="CC624" s="351"/>
      <c r="CD624" s="351"/>
      <c r="CE624" s="351"/>
      <c r="CF624" s="351"/>
      <c r="CG624" s="352"/>
    </row>
    <row r="625" spans="1:85" s="353" customFormat="1" ht="13.9" customHeight="1" x14ac:dyDescent="0.2">
      <c r="A625" s="337" t="s">
        <v>158</v>
      </c>
      <c r="B625" s="338">
        <v>116</v>
      </c>
      <c r="C625" s="339" t="s">
        <v>835</v>
      </c>
      <c r="D625" s="340" t="s">
        <v>600</v>
      </c>
      <c r="E625" s="341"/>
      <c r="F625" s="341">
        <v>1664508782.5999999</v>
      </c>
      <c r="G625" s="341"/>
      <c r="H625" s="340" t="s">
        <v>792</v>
      </c>
      <c r="I625" s="339" t="s">
        <v>692</v>
      </c>
      <c r="J625" s="338">
        <v>1</v>
      </c>
      <c r="K625" s="338">
        <v>1</v>
      </c>
      <c r="L625" s="338">
        <v>12</v>
      </c>
      <c r="M625" s="342">
        <f t="shared" si="108"/>
        <v>1</v>
      </c>
      <c r="N625" s="343" t="s">
        <v>36</v>
      </c>
      <c r="O625" s="344" t="str">
        <f>IF(ISBLANK(N625),"",VLOOKUP(N625,[20]Parámetros!$G$2:$H$23,2,FALSE))</f>
        <v xml:space="preserve">Contratación directa (con ofertas) </v>
      </c>
      <c r="P625" s="345">
        <f t="shared" si="114"/>
        <v>1</v>
      </c>
      <c r="Q625" s="346">
        <f t="shared" si="109"/>
        <v>1664508782.5999999</v>
      </c>
      <c r="R625" s="346">
        <f t="shared" si="110"/>
        <v>1664508782.5999999</v>
      </c>
      <c r="S625" s="347" t="s">
        <v>223</v>
      </c>
      <c r="T625" s="345">
        <f t="shared" si="115"/>
        <v>0</v>
      </c>
      <c r="U625" s="348" t="str">
        <f t="shared" si="111"/>
        <v>SUBDIRECCION DE GESTION CONTRACTUAL</v>
      </c>
      <c r="V625" s="345" t="str">
        <f t="shared" si="112"/>
        <v>CO-DC</v>
      </c>
      <c r="W625" s="345" t="str">
        <f t="shared" si="113"/>
        <v>Distrito Capital de Bogotá</v>
      </c>
      <c r="X625" s="340" t="s">
        <v>586</v>
      </c>
      <c r="Y625" s="338">
        <v>2427400</v>
      </c>
      <c r="Z625" s="349" t="s">
        <v>160</v>
      </c>
      <c r="AA625" s="350"/>
      <c r="AB625" s="350"/>
      <c r="AC625" s="350"/>
      <c r="AD625" s="350"/>
      <c r="AE625" s="350"/>
      <c r="AF625" s="350"/>
      <c r="AG625" s="350"/>
      <c r="AH625" s="350"/>
      <c r="AI625" s="350"/>
      <c r="AJ625" s="350"/>
      <c r="AK625" s="350"/>
      <c r="AL625" s="350"/>
      <c r="AM625" s="350"/>
      <c r="AN625" s="350"/>
      <c r="AO625" s="350"/>
      <c r="AP625" s="350"/>
      <c r="AQ625" s="350"/>
      <c r="AR625" s="350"/>
      <c r="AS625" s="350"/>
      <c r="AT625" s="350"/>
      <c r="AU625" s="351"/>
      <c r="AV625" s="351"/>
      <c r="AW625" s="351"/>
      <c r="AX625" s="351"/>
      <c r="AY625" s="351"/>
      <c r="AZ625" s="351"/>
      <c r="BA625" s="351"/>
      <c r="BB625" s="351"/>
      <c r="BC625" s="351"/>
      <c r="BD625" s="351"/>
      <c r="BE625" s="351"/>
      <c r="BF625" s="351"/>
      <c r="BG625" s="351"/>
      <c r="BH625" s="351"/>
      <c r="BI625" s="351"/>
      <c r="BJ625" s="351"/>
      <c r="BK625" s="351"/>
      <c r="BL625" s="351"/>
      <c r="BM625" s="351"/>
      <c r="BN625" s="351"/>
      <c r="BO625" s="351"/>
      <c r="BP625" s="351"/>
      <c r="BQ625" s="351"/>
      <c r="BR625" s="351"/>
      <c r="BS625" s="351"/>
      <c r="BT625" s="351"/>
      <c r="BU625" s="351"/>
      <c r="BV625" s="351"/>
      <c r="BW625" s="351"/>
      <c r="BX625" s="351"/>
      <c r="BY625" s="351"/>
      <c r="BZ625" s="351"/>
      <c r="CA625" s="351"/>
      <c r="CB625" s="351"/>
      <c r="CC625" s="351"/>
      <c r="CD625" s="351"/>
      <c r="CE625" s="351"/>
      <c r="CF625" s="351"/>
      <c r="CG625" s="352"/>
    </row>
    <row r="626" spans="1:85" s="353" customFormat="1" ht="13.9" customHeight="1" x14ac:dyDescent="0.2">
      <c r="A626" s="337" t="s">
        <v>158</v>
      </c>
      <c r="B626" s="338">
        <v>117</v>
      </c>
      <c r="C626" s="339" t="s">
        <v>837</v>
      </c>
      <c r="D626" s="340" t="s">
        <v>161</v>
      </c>
      <c r="E626" s="341"/>
      <c r="F626" s="341">
        <v>608003369</v>
      </c>
      <c r="G626" s="341"/>
      <c r="H626" s="340">
        <v>45121500</v>
      </c>
      <c r="I626" s="339" t="s">
        <v>691</v>
      </c>
      <c r="J626" s="338">
        <v>1</v>
      </c>
      <c r="K626" s="338">
        <v>1</v>
      </c>
      <c r="L626" s="338">
        <v>12</v>
      </c>
      <c r="M626" s="342">
        <f t="shared" si="108"/>
        <v>1</v>
      </c>
      <c r="N626" s="343" t="s">
        <v>36</v>
      </c>
      <c r="O626" s="344" t="str">
        <f>IF(ISBLANK(N626),"",VLOOKUP(N626,[20]Parámetros!$G$2:$H$23,2,FALSE))</f>
        <v xml:space="preserve">Contratación directa (con ofertas) </v>
      </c>
      <c r="P626" s="345">
        <f t="shared" si="114"/>
        <v>1</v>
      </c>
      <c r="Q626" s="346">
        <f t="shared" si="109"/>
        <v>608003369</v>
      </c>
      <c r="R626" s="346">
        <f t="shared" si="110"/>
        <v>608003369</v>
      </c>
      <c r="S626" s="347" t="s">
        <v>223</v>
      </c>
      <c r="T626" s="345">
        <f t="shared" si="115"/>
        <v>0</v>
      </c>
      <c r="U626" s="348" t="str">
        <f t="shared" si="111"/>
        <v>SUBDIRECCION DE GESTION CONTRACTUAL</v>
      </c>
      <c r="V626" s="345" t="str">
        <f t="shared" si="112"/>
        <v>CO-DC</v>
      </c>
      <c r="W626" s="345" t="str">
        <f t="shared" si="113"/>
        <v>Distrito Capital de Bogotá</v>
      </c>
      <c r="X626" s="340" t="s">
        <v>586</v>
      </c>
      <c r="Y626" s="338">
        <v>2427400</v>
      </c>
      <c r="Z626" s="349" t="s">
        <v>160</v>
      </c>
      <c r="AA626" s="350"/>
      <c r="AB626" s="350"/>
      <c r="AC626" s="350"/>
      <c r="AD626" s="350"/>
      <c r="AE626" s="350"/>
      <c r="AF626" s="350"/>
      <c r="AG626" s="350"/>
      <c r="AH626" s="350"/>
      <c r="AI626" s="350"/>
      <c r="AJ626" s="350"/>
      <c r="AK626" s="350"/>
      <c r="AL626" s="350"/>
      <c r="AM626" s="350"/>
      <c r="AN626" s="350"/>
      <c r="AO626" s="350"/>
      <c r="AP626" s="350"/>
      <c r="AQ626" s="350"/>
      <c r="AR626" s="350"/>
      <c r="AS626" s="350"/>
      <c r="AT626" s="350"/>
      <c r="AU626" s="351"/>
      <c r="AV626" s="351"/>
      <c r="AW626" s="351"/>
      <c r="AX626" s="351"/>
      <c r="AY626" s="351"/>
      <c r="AZ626" s="351"/>
      <c r="BA626" s="351"/>
      <c r="BB626" s="351"/>
      <c r="BC626" s="351"/>
      <c r="BD626" s="351"/>
      <c r="BE626" s="351"/>
      <c r="BF626" s="351"/>
      <c r="BG626" s="351"/>
      <c r="BH626" s="351"/>
      <c r="BI626" s="351"/>
      <c r="BJ626" s="351"/>
      <c r="BK626" s="351"/>
      <c r="BL626" s="351"/>
      <c r="BM626" s="351"/>
      <c r="BN626" s="351"/>
      <c r="BO626" s="351"/>
      <c r="BP626" s="351"/>
      <c r="BQ626" s="351"/>
      <c r="BR626" s="351"/>
      <c r="BS626" s="351"/>
      <c r="BT626" s="351"/>
      <c r="BU626" s="351"/>
      <c r="BV626" s="351"/>
      <c r="BW626" s="351"/>
      <c r="BX626" s="351"/>
      <c r="BY626" s="351"/>
      <c r="BZ626" s="351"/>
      <c r="CA626" s="351"/>
      <c r="CB626" s="351"/>
      <c r="CC626" s="351"/>
      <c r="CD626" s="351"/>
      <c r="CE626" s="351"/>
      <c r="CF626" s="351"/>
      <c r="CG626" s="352"/>
    </row>
    <row r="627" spans="1:85" s="353" customFormat="1" ht="13.9" customHeight="1" x14ac:dyDescent="0.2">
      <c r="A627" s="337" t="s">
        <v>158</v>
      </c>
      <c r="B627" s="338">
        <v>118</v>
      </c>
      <c r="C627" s="339" t="s">
        <v>837</v>
      </c>
      <c r="D627" s="340" t="s">
        <v>161</v>
      </c>
      <c r="E627" s="341"/>
      <c r="F627" s="341">
        <v>491099100</v>
      </c>
      <c r="G627" s="341"/>
      <c r="H627" s="340">
        <v>45121500</v>
      </c>
      <c r="I627" s="339" t="s">
        <v>690</v>
      </c>
      <c r="J627" s="338">
        <v>1</v>
      </c>
      <c r="K627" s="338">
        <v>1</v>
      </c>
      <c r="L627" s="338">
        <v>12</v>
      </c>
      <c r="M627" s="342">
        <f t="shared" si="108"/>
        <v>1</v>
      </c>
      <c r="N627" s="343" t="s">
        <v>36</v>
      </c>
      <c r="O627" s="344" t="str">
        <f>IF(ISBLANK(N627),"",VLOOKUP(N627,[20]Parámetros!$G$2:$H$23,2,FALSE))</f>
        <v xml:space="preserve">Contratación directa (con ofertas) </v>
      </c>
      <c r="P627" s="345">
        <f t="shared" si="114"/>
        <v>1</v>
      </c>
      <c r="Q627" s="346">
        <f t="shared" si="109"/>
        <v>491099100</v>
      </c>
      <c r="R627" s="346">
        <f t="shared" si="110"/>
        <v>491099100</v>
      </c>
      <c r="S627" s="347" t="s">
        <v>223</v>
      </c>
      <c r="T627" s="345">
        <f t="shared" si="115"/>
        <v>0</v>
      </c>
      <c r="U627" s="348" t="str">
        <f t="shared" si="111"/>
        <v>SUBDIRECCION DE GESTION CONTRACTUAL</v>
      </c>
      <c r="V627" s="345" t="str">
        <f t="shared" si="112"/>
        <v>CO-DC</v>
      </c>
      <c r="W627" s="345" t="str">
        <f t="shared" si="113"/>
        <v>Distrito Capital de Bogotá</v>
      </c>
      <c r="X627" s="340" t="s">
        <v>586</v>
      </c>
      <c r="Y627" s="338">
        <v>2427400</v>
      </c>
      <c r="Z627" s="349" t="s">
        <v>160</v>
      </c>
      <c r="AA627" s="350"/>
      <c r="AB627" s="350"/>
      <c r="AC627" s="350"/>
      <c r="AD627" s="350"/>
      <c r="AE627" s="350"/>
      <c r="AF627" s="350"/>
      <c r="AG627" s="350"/>
      <c r="AH627" s="350"/>
      <c r="AI627" s="350"/>
      <c r="AJ627" s="350"/>
      <c r="AK627" s="350"/>
      <c r="AL627" s="350"/>
      <c r="AM627" s="350"/>
      <c r="AN627" s="350"/>
      <c r="AO627" s="350"/>
      <c r="AP627" s="350"/>
      <c r="AQ627" s="350"/>
      <c r="AR627" s="350"/>
      <c r="AS627" s="350"/>
      <c r="AT627" s="350"/>
      <c r="AU627" s="351"/>
      <c r="AV627" s="351"/>
      <c r="AW627" s="351"/>
      <c r="AX627" s="351"/>
      <c r="AY627" s="351"/>
      <c r="AZ627" s="351"/>
      <c r="BA627" s="351"/>
      <c r="BB627" s="351"/>
      <c r="BC627" s="351"/>
      <c r="BD627" s="351"/>
      <c r="BE627" s="351"/>
      <c r="BF627" s="351"/>
      <c r="BG627" s="351"/>
      <c r="BH627" s="351"/>
      <c r="BI627" s="351"/>
      <c r="BJ627" s="351"/>
      <c r="BK627" s="351"/>
      <c r="BL627" s="351"/>
      <c r="BM627" s="351"/>
      <c r="BN627" s="351"/>
      <c r="BO627" s="351"/>
      <c r="BP627" s="351"/>
      <c r="BQ627" s="351"/>
      <c r="BR627" s="351"/>
      <c r="BS627" s="351"/>
      <c r="BT627" s="351"/>
      <c r="BU627" s="351"/>
      <c r="BV627" s="351"/>
      <c r="BW627" s="351"/>
      <c r="BX627" s="351"/>
      <c r="BY627" s="351"/>
      <c r="BZ627" s="351"/>
      <c r="CA627" s="351"/>
      <c r="CB627" s="351"/>
      <c r="CC627" s="351"/>
      <c r="CD627" s="351"/>
      <c r="CE627" s="351"/>
      <c r="CF627" s="351"/>
      <c r="CG627" s="352"/>
    </row>
    <row r="628" spans="1:85" s="353" customFormat="1" ht="13.9" customHeight="1" x14ac:dyDescent="0.2">
      <c r="A628" s="337" t="s">
        <v>158</v>
      </c>
      <c r="B628" s="338">
        <v>119</v>
      </c>
      <c r="C628" s="339" t="s">
        <v>837</v>
      </c>
      <c r="D628" s="340" t="s">
        <v>161</v>
      </c>
      <c r="E628" s="341"/>
      <c r="F628" s="341">
        <v>509619274</v>
      </c>
      <c r="G628" s="341"/>
      <c r="H628" s="340">
        <v>45121500</v>
      </c>
      <c r="I628" s="339" t="s">
        <v>689</v>
      </c>
      <c r="J628" s="338">
        <v>1</v>
      </c>
      <c r="K628" s="338">
        <v>1</v>
      </c>
      <c r="L628" s="338">
        <v>12</v>
      </c>
      <c r="M628" s="342">
        <f t="shared" si="108"/>
        <v>1</v>
      </c>
      <c r="N628" s="343" t="s">
        <v>36</v>
      </c>
      <c r="O628" s="344" t="str">
        <f>IF(ISBLANK(N628),"",VLOOKUP(N628,[20]Parámetros!$G$2:$H$23,2,FALSE))</f>
        <v xml:space="preserve">Contratación directa (con ofertas) </v>
      </c>
      <c r="P628" s="345">
        <f t="shared" si="114"/>
        <v>1</v>
      </c>
      <c r="Q628" s="346">
        <f t="shared" si="109"/>
        <v>509619274</v>
      </c>
      <c r="R628" s="346">
        <f t="shared" si="110"/>
        <v>509619274</v>
      </c>
      <c r="S628" s="347" t="s">
        <v>223</v>
      </c>
      <c r="T628" s="345">
        <f t="shared" si="115"/>
        <v>0</v>
      </c>
      <c r="U628" s="348" t="str">
        <f t="shared" si="111"/>
        <v>SUBDIRECCION DE GESTION CONTRACTUAL</v>
      </c>
      <c r="V628" s="345" t="str">
        <f t="shared" si="112"/>
        <v>CO-DC</v>
      </c>
      <c r="W628" s="345" t="str">
        <f t="shared" si="113"/>
        <v>Distrito Capital de Bogotá</v>
      </c>
      <c r="X628" s="340" t="s">
        <v>586</v>
      </c>
      <c r="Y628" s="338">
        <v>2427400</v>
      </c>
      <c r="Z628" s="349" t="s">
        <v>160</v>
      </c>
      <c r="AA628" s="350"/>
      <c r="AB628" s="350"/>
      <c r="AC628" s="350"/>
      <c r="AD628" s="350"/>
      <c r="AE628" s="350"/>
      <c r="AF628" s="350"/>
      <c r="AG628" s="350"/>
      <c r="AH628" s="350"/>
      <c r="AI628" s="350"/>
      <c r="AJ628" s="350"/>
      <c r="AK628" s="350"/>
      <c r="AL628" s="350"/>
      <c r="AM628" s="350"/>
      <c r="AN628" s="350"/>
      <c r="AO628" s="350"/>
      <c r="AP628" s="350"/>
      <c r="AQ628" s="350"/>
      <c r="AR628" s="350"/>
      <c r="AS628" s="350"/>
      <c r="AT628" s="350"/>
      <c r="AU628" s="351"/>
      <c r="AV628" s="351"/>
      <c r="AW628" s="351"/>
      <c r="AX628" s="351"/>
      <c r="AY628" s="351"/>
      <c r="AZ628" s="351"/>
      <c r="BA628" s="351"/>
      <c r="BB628" s="351"/>
      <c r="BC628" s="351"/>
      <c r="BD628" s="351"/>
      <c r="BE628" s="351"/>
      <c r="BF628" s="351"/>
      <c r="BG628" s="351"/>
      <c r="BH628" s="351"/>
      <c r="BI628" s="351"/>
      <c r="BJ628" s="351"/>
      <c r="BK628" s="351"/>
      <c r="BL628" s="351"/>
      <c r="BM628" s="351"/>
      <c r="BN628" s="351"/>
      <c r="BO628" s="351"/>
      <c r="BP628" s="351"/>
      <c r="BQ628" s="351"/>
      <c r="BR628" s="351"/>
      <c r="BS628" s="351"/>
      <c r="BT628" s="351"/>
      <c r="BU628" s="351"/>
      <c r="BV628" s="351"/>
      <c r="BW628" s="351"/>
      <c r="BX628" s="351"/>
      <c r="BY628" s="351"/>
      <c r="BZ628" s="351"/>
      <c r="CA628" s="351"/>
      <c r="CB628" s="351"/>
      <c r="CC628" s="351"/>
      <c r="CD628" s="351"/>
      <c r="CE628" s="351"/>
      <c r="CF628" s="351"/>
      <c r="CG628" s="352"/>
    </row>
    <row r="629" spans="1:85" s="353" customFormat="1" ht="13.9" customHeight="1" x14ac:dyDescent="0.2">
      <c r="A629" s="337" t="s">
        <v>158</v>
      </c>
      <c r="B629" s="338">
        <v>120</v>
      </c>
      <c r="C629" s="339" t="s">
        <v>837</v>
      </c>
      <c r="D629" s="340" t="s">
        <v>161</v>
      </c>
      <c r="E629" s="341"/>
      <c r="F629" s="341">
        <v>17982695111</v>
      </c>
      <c r="G629" s="341"/>
      <c r="H629" s="340">
        <v>45121500</v>
      </c>
      <c r="I629" s="339" t="s">
        <v>688</v>
      </c>
      <c r="J629" s="338">
        <v>1</v>
      </c>
      <c r="K629" s="338">
        <v>1</v>
      </c>
      <c r="L629" s="338">
        <v>12</v>
      </c>
      <c r="M629" s="342">
        <f t="shared" si="108"/>
        <v>1</v>
      </c>
      <c r="N629" s="343" t="s">
        <v>36</v>
      </c>
      <c r="O629" s="344" t="str">
        <f>IF(ISBLANK(N629),"",VLOOKUP(N629,[20]Parámetros!$G$2:$H$23,2,FALSE))</f>
        <v xml:space="preserve">Contratación directa (con ofertas) </v>
      </c>
      <c r="P629" s="345">
        <f t="shared" si="114"/>
        <v>1</v>
      </c>
      <c r="Q629" s="346">
        <f t="shared" si="109"/>
        <v>17982695111</v>
      </c>
      <c r="R629" s="346">
        <f t="shared" si="110"/>
        <v>17982695111</v>
      </c>
      <c r="S629" s="347" t="s">
        <v>223</v>
      </c>
      <c r="T629" s="345">
        <f t="shared" si="115"/>
        <v>0</v>
      </c>
      <c r="U629" s="348" t="str">
        <f t="shared" si="111"/>
        <v>SUBDIRECCION DE GESTION CONTRACTUAL</v>
      </c>
      <c r="V629" s="345" t="str">
        <f t="shared" si="112"/>
        <v>CO-DC</v>
      </c>
      <c r="W629" s="345" t="str">
        <f t="shared" si="113"/>
        <v>Distrito Capital de Bogotá</v>
      </c>
      <c r="X629" s="340" t="s">
        <v>586</v>
      </c>
      <c r="Y629" s="338">
        <v>2427400</v>
      </c>
      <c r="Z629" s="349" t="s">
        <v>160</v>
      </c>
      <c r="AA629" s="350"/>
      <c r="AB629" s="350"/>
      <c r="AC629" s="350"/>
      <c r="AD629" s="350"/>
      <c r="AE629" s="350"/>
      <c r="AF629" s="350"/>
      <c r="AG629" s="350"/>
      <c r="AH629" s="350"/>
      <c r="AI629" s="350"/>
      <c r="AJ629" s="350"/>
      <c r="AK629" s="350"/>
      <c r="AL629" s="350"/>
      <c r="AM629" s="350"/>
      <c r="AN629" s="350"/>
      <c r="AO629" s="350"/>
      <c r="AP629" s="350"/>
      <c r="AQ629" s="350"/>
      <c r="AR629" s="350"/>
      <c r="AS629" s="350"/>
      <c r="AT629" s="350"/>
      <c r="AU629" s="351"/>
      <c r="AV629" s="351"/>
      <c r="AW629" s="351"/>
      <c r="AX629" s="351"/>
      <c r="AY629" s="351"/>
      <c r="AZ629" s="351"/>
      <c r="BA629" s="351"/>
      <c r="BB629" s="351"/>
      <c r="BC629" s="351"/>
      <c r="BD629" s="351"/>
      <c r="BE629" s="351"/>
      <c r="BF629" s="351"/>
      <c r="BG629" s="351"/>
      <c r="BH629" s="351"/>
      <c r="BI629" s="351"/>
      <c r="BJ629" s="351"/>
      <c r="BK629" s="351"/>
      <c r="BL629" s="351"/>
      <c r="BM629" s="351"/>
      <c r="BN629" s="351"/>
      <c r="BO629" s="351"/>
      <c r="BP629" s="351"/>
      <c r="BQ629" s="351"/>
      <c r="BR629" s="351"/>
      <c r="BS629" s="351"/>
      <c r="BT629" s="351"/>
      <c r="BU629" s="351"/>
      <c r="BV629" s="351"/>
      <c r="BW629" s="351"/>
      <c r="BX629" s="351"/>
      <c r="BY629" s="351"/>
      <c r="BZ629" s="351"/>
      <c r="CA629" s="351"/>
      <c r="CB629" s="351"/>
      <c r="CC629" s="351"/>
      <c r="CD629" s="351"/>
      <c r="CE629" s="351"/>
      <c r="CF629" s="351"/>
      <c r="CG629" s="352"/>
    </row>
    <row r="630" spans="1:85" s="353" customFormat="1" ht="13.9" customHeight="1" x14ac:dyDescent="0.2">
      <c r="A630" s="337" t="s">
        <v>158</v>
      </c>
      <c r="B630" s="338">
        <v>121</v>
      </c>
      <c r="C630" s="339" t="s">
        <v>837</v>
      </c>
      <c r="D630" s="340" t="s">
        <v>161</v>
      </c>
      <c r="E630" s="341"/>
      <c r="F630" s="341">
        <v>1500000000</v>
      </c>
      <c r="G630" s="341"/>
      <c r="H630" s="340">
        <v>80111600</v>
      </c>
      <c r="I630" s="339" t="s">
        <v>687</v>
      </c>
      <c r="J630" s="338">
        <v>1</v>
      </c>
      <c r="K630" s="338">
        <v>1</v>
      </c>
      <c r="L630" s="338">
        <v>12</v>
      </c>
      <c r="M630" s="342">
        <f t="shared" si="108"/>
        <v>1</v>
      </c>
      <c r="N630" s="343" t="s">
        <v>216</v>
      </c>
      <c r="O630" s="344" t="str">
        <f>IF(ISBLANK(N630),"",VLOOKUP(N630,[20]Parámetros!$G$2:$H$23,2,FALSE))</f>
        <v>Contratación directa.</v>
      </c>
      <c r="P630" s="345">
        <f t="shared" si="114"/>
        <v>1</v>
      </c>
      <c r="Q630" s="346">
        <f t="shared" si="109"/>
        <v>1500000000</v>
      </c>
      <c r="R630" s="346">
        <f t="shared" si="110"/>
        <v>1500000000</v>
      </c>
      <c r="S630" s="347" t="s">
        <v>223</v>
      </c>
      <c r="T630" s="345">
        <f t="shared" si="115"/>
        <v>0</v>
      </c>
      <c r="U630" s="348" t="str">
        <f t="shared" si="111"/>
        <v>SUBDIRECCION DE GESTION CONTRACTUAL</v>
      </c>
      <c r="V630" s="345" t="str">
        <f t="shared" si="112"/>
        <v>CO-DC</v>
      </c>
      <c r="W630" s="345" t="str">
        <f t="shared" si="113"/>
        <v>Distrito Capital de Bogotá</v>
      </c>
      <c r="X630" s="340" t="s">
        <v>586</v>
      </c>
      <c r="Y630" s="338">
        <v>2427400</v>
      </c>
      <c r="Z630" s="349" t="s">
        <v>160</v>
      </c>
      <c r="AA630" s="350"/>
      <c r="AB630" s="350"/>
      <c r="AC630" s="350"/>
      <c r="AD630" s="350"/>
      <c r="AE630" s="350"/>
      <c r="AF630" s="350"/>
      <c r="AG630" s="350"/>
      <c r="AH630" s="350"/>
      <c r="AI630" s="350"/>
      <c r="AJ630" s="350"/>
      <c r="AK630" s="350"/>
      <c r="AL630" s="350"/>
      <c r="AM630" s="350"/>
      <c r="AN630" s="350"/>
      <c r="AO630" s="350"/>
      <c r="AP630" s="350"/>
      <c r="AQ630" s="350"/>
      <c r="AR630" s="350"/>
      <c r="AS630" s="350"/>
      <c r="AT630" s="350"/>
      <c r="AU630" s="351"/>
      <c r="AV630" s="351"/>
      <c r="AW630" s="351"/>
      <c r="AX630" s="351"/>
      <c r="AY630" s="351"/>
      <c r="AZ630" s="351"/>
      <c r="BA630" s="351"/>
      <c r="BB630" s="351"/>
      <c r="BC630" s="351"/>
      <c r="BD630" s="351"/>
      <c r="BE630" s="351"/>
      <c r="BF630" s="351"/>
      <c r="BG630" s="351"/>
      <c r="BH630" s="351"/>
      <c r="BI630" s="351"/>
      <c r="BJ630" s="351"/>
      <c r="BK630" s="351"/>
      <c r="BL630" s="351"/>
      <c r="BM630" s="351"/>
      <c r="BN630" s="351"/>
      <c r="BO630" s="351"/>
      <c r="BP630" s="351"/>
      <c r="BQ630" s="351"/>
      <c r="BR630" s="351"/>
      <c r="BS630" s="351"/>
      <c r="BT630" s="351"/>
      <c r="BU630" s="351"/>
      <c r="BV630" s="351"/>
      <c r="BW630" s="351"/>
      <c r="BX630" s="351"/>
      <c r="BY630" s="351"/>
      <c r="BZ630" s="351"/>
      <c r="CA630" s="351"/>
      <c r="CB630" s="351"/>
      <c r="CC630" s="351"/>
      <c r="CD630" s="351"/>
      <c r="CE630" s="351"/>
      <c r="CF630" s="351"/>
      <c r="CG630" s="352"/>
    </row>
    <row r="631" spans="1:85" s="353" customFormat="1" ht="13.9" customHeight="1" x14ac:dyDescent="0.2">
      <c r="A631" s="337" t="s">
        <v>158</v>
      </c>
      <c r="B631" s="338">
        <v>122</v>
      </c>
      <c r="C631" s="339" t="s">
        <v>617</v>
      </c>
      <c r="D631" s="340" t="s">
        <v>159</v>
      </c>
      <c r="E631" s="341"/>
      <c r="F631" s="341">
        <v>117000000</v>
      </c>
      <c r="G631" s="341"/>
      <c r="H631" s="340" t="s">
        <v>121</v>
      </c>
      <c r="I631" s="339" t="s">
        <v>848</v>
      </c>
      <c r="J631" s="338">
        <v>1</v>
      </c>
      <c r="K631" s="338">
        <v>2</v>
      </c>
      <c r="L631" s="338">
        <v>10</v>
      </c>
      <c r="M631" s="342">
        <v>1</v>
      </c>
      <c r="N631" s="343" t="s">
        <v>43</v>
      </c>
      <c r="O631" s="344" t="str">
        <f>IF(ISBLANK(N631),"",VLOOKUP(N631,[21]Parámetros!$G$2:$H$23,2,FALSE))</f>
        <v>Selección abreviada subasta inversa</v>
      </c>
      <c r="P631" s="345">
        <f t="shared" si="114"/>
        <v>1</v>
      </c>
      <c r="Q631" s="346">
        <f t="shared" ref="Q631" si="116">IF(VALUE(E631+F631+G631)=0,"",E631+F631+G631)</f>
        <v>117000000</v>
      </c>
      <c r="R631" s="346">
        <f t="shared" ref="R631" si="117">IF(VALUE(F631)=0,"",F631)</f>
        <v>117000000</v>
      </c>
      <c r="S631" s="347" t="s">
        <v>223</v>
      </c>
      <c r="T631" s="345">
        <f t="shared" si="115"/>
        <v>0</v>
      </c>
      <c r="U631" s="348" t="str">
        <f t="shared" si="111"/>
        <v>SUBDIRECCION DE GESTION CONTRACTUAL</v>
      </c>
      <c r="V631" s="345" t="str">
        <f t="shared" si="112"/>
        <v>CO-DC</v>
      </c>
      <c r="W631" s="345" t="str">
        <f t="shared" si="113"/>
        <v>Distrito Capital de Bogotá</v>
      </c>
      <c r="X631" s="340" t="s">
        <v>586</v>
      </c>
      <c r="Y631" s="338">
        <v>2427400</v>
      </c>
      <c r="Z631" s="349" t="s">
        <v>160</v>
      </c>
      <c r="AA631" s="350"/>
      <c r="AB631" s="350"/>
      <c r="AC631" s="350"/>
      <c r="AD631" s="350"/>
      <c r="AE631" s="350"/>
      <c r="AF631" s="350"/>
      <c r="AG631" s="350"/>
      <c r="AH631" s="350"/>
      <c r="AI631" s="350"/>
      <c r="AJ631" s="350"/>
      <c r="AK631" s="350"/>
      <c r="AL631" s="350"/>
      <c r="AM631" s="350"/>
      <c r="AN631" s="350"/>
      <c r="AO631" s="350"/>
      <c r="AP631" s="350"/>
      <c r="AQ631" s="350"/>
      <c r="AR631" s="350"/>
      <c r="AS631" s="350"/>
      <c r="AT631" s="350"/>
      <c r="AU631" s="351"/>
      <c r="AV631" s="351"/>
      <c r="AW631" s="351"/>
      <c r="AX631" s="351"/>
      <c r="AY631" s="351"/>
      <c r="AZ631" s="351"/>
      <c r="BA631" s="351"/>
      <c r="BB631" s="351"/>
      <c r="BC631" s="351"/>
      <c r="BD631" s="351"/>
      <c r="BE631" s="351"/>
      <c r="BF631" s="351"/>
      <c r="BG631" s="351"/>
      <c r="BH631" s="351"/>
      <c r="BI631" s="351"/>
      <c r="BJ631" s="351"/>
      <c r="BK631" s="351"/>
      <c r="BL631" s="351"/>
      <c r="BM631" s="351"/>
      <c r="BN631" s="351"/>
      <c r="BO631" s="351"/>
      <c r="BP631" s="351"/>
      <c r="BQ631" s="351"/>
      <c r="BR631" s="351"/>
      <c r="BS631" s="351"/>
      <c r="BT631" s="351"/>
      <c r="BU631" s="351"/>
      <c r="BV631" s="351"/>
      <c r="BW631" s="351"/>
      <c r="BX631" s="351"/>
      <c r="BY631" s="351"/>
      <c r="BZ631" s="351"/>
      <c r="CA631" s="351"/>
      <c r="CB631" s="351"/>
      <c r="CC631" s="351"/>
      <c r="CD631" s="351"/>
      <c r="CE631" s="351"/>
      <c r="CF631" s="351"/>
      <c r="CG631" s="352"/>
    </row>
    <row r="632" spans="1:85" s="353" customFormat="1" ht="13.9" customHeight="1" x14ac:dyDescent="0.2">
      <c r="A632" s="337" t="s">
        <v>158</v>
      </c>
      <c r="B632" s="338">
        <v>123</v>
      </c>
      <c r="C632" s="339" t="s">
        <v>617</v>
      </c>
      <c r="D632" s="340" t="s">
        <v>159</v>
      </c>
      <c r="E632" s="341"/>
      <c r="F632" s="341">
        <f>370000000</f>
        <v>370000000</v>
      </c>
      <c r="G632" s="341"/>
      <c r="H632" s="340" t="s">
        <v>795</v>
      </c>
      <c r="I632" s="339" t="s">
        <v>618</v>
      </c>
      <c r="J632" s="338">
        <v>2</v>
      </c>
      <c r="K632" s="338">
        <v>3</v>
      </c>
      <c r="L632" s="338">
        <v>9</v>
      </c>
      <c r="M632" s="342">
        <v>1</v>
      </c>
      <c r="N632" s="343" t="s">
        <v>233</v>
      </c>
      <c r="O632" s="344" t="str">
        <f>IF(ISBLANK(N632),"",VLOOKUP(N632,[20]Parámetros!$G$2:$H$23,2,FALSE))</f>
        <v>Licitación pública</v>
      </c>
      <c r="P632" s="345">
        <f t="shared" si="114"/>
        <v>1</v>
      </c>
      <c r="Q632" s="346">
        <f t="shared" ref="Q632:Q633" si="118">+E632+F632+G632</f>
        <v>370000000</v>
      </c>
      <c r="R632" s="346">
        <f t="shared" ref="R632:R633" si="119">+F632</f>
        <v>370000000</v>
      </c>
      <c r="S632" s="347" t="s">
        <v>223</v>
      </c>
      <c r="T632" s="345">
        <f t="shared" si="115"/>
        <v>0</v>
      </c>
      <c r="U632" s="348" t="str">
        <f t="shared" si="111"/>
        <v>SUBDIRECCION DE GESTION CONTRACTUAL</v>
      </c>
      <c r="V632" s="345" t="str">
        <f t="shared" si="112"/>
        <v>CO-DC</v>
      </c>
      <c r="W632" s="345" t="str">
        <f t="shared" si="113"/>
        <v>Distrito Capital de Bogotá</v>
      </c>
      <c r="X632" s="340" t="s">
        <v>586</v>
      </c>
      <c r="Y632" s="338">
        <v>2427400</v>
      </c>
      <c r="Z632" s="349" t="s">
        <v>160</v>
      </c>
      <c r="AA632" s="350"/>
      <c r="AB632" s="350"/>
      <c r="AC632" s="350"/>
      <c r="AD632" s="350"/>
      <c r="AE632" s="350"/>
      <c r="AF632" s="350"/>
      <c r="AG632" s="350"/>
      <c r="AH632" s="350"/>
      <c r="AI632" s="350"/>
      <c r="AJ632" s="350"/>
      <c r="AK632" s="350"/>
      <c r="AL632" s="350"/>
      <c r="AM632" s="350"/>
      <c r="AN632" s="350"/>
      <c r="AO632" s="350"/>
      <c r="AP632" s="350"/>
      <c r="AQ632" s="350"/>
      <c r="AR632" s="350"/>
      <c r="AS632" s="350"/>
      <c r="AT632" s="350"/>
      <c r="AU632" s="351"/>
      <c r="AV632" s="351"/>
      <c r="AW632" s="351"/>
      <c r="AX632" s="351"/>
      <c r="AY632" s="351"/>
      <c r="AZ632" s="351"/>
      <c r="BA632" s="351"/>
      <c r="BB632" s="351"/>
      <c r="BC632" s="351"/>
      <c r="BD632" s="351"/>
      <c r="BE632" s="351"/>
      <c r="BF632" s="351"/>
      <c r="BG632" s="351"/>
      <c r="BH632" s="351"/>
      <c r="BI632" s="351"/>
      <c r="BJ632" s="351"/>
      <c r="BK632" s="351"/>
      <c r="BL632" s="351"/>
      <c r="BM632" s="351"/>
      <c r="BN632" s="351"/>
      <c r="BO632" s="351"/>
      <c r="BP632" s="351"/>
      <c r="BQ632" s="351"/>
      <c r="BR632" s="351"/>
      <c r="BS632" s="351"/>
      <c r="BT632" s="351"/>
      <c r="BU632" s="351"/>
      <c r="BV632" s="351"/>
      <c r="BW632" s="351"/>
      <c r="BX632" s="351"/>
      <c r="BY632" s="351"/>
      <c r="BZ632" s="351"/>
      <c r="CA632" s="351"/>
      <c r="CB632" s="351"/>
      <c r="CC632" s="351"/>
      <c r="CD632" s="351"/>
      <c r="CE632" s="351"/>
      <c r="CF632" s="351"/>
      <c r="CG632" s="352"/>
    </row>
    <row r="633" spans="1:85" s="353" customFormat="1" ht="13.9" customHeight="1" x14ac:dyDescent="0.2">
      <c r="A633" s="337" t="s">
        <v>158</v>
      </c>
      <c r="B633" s="338">
        <v>124</v>
      </c>
      <c r="C633" s="339" t="s">
        <v>837</v>
      </c>
      <c r="D633" s="340" t="s">
        <v>161</v>
      </c>
      <c r="E633" s="341"/>
      <c r="F633" s="341">
        <v>10497683192</v>
      </c>
      <c r="G633" s="341"/>
      <c r="H633" s="340">
        <v>52161511</v>
      </c>
      <c r="I633" s="339" t="s">
        <v>864</v>
      </c>
      <c r="J633" s="338">
        <v>2</v>
      </c>
      <c r="K633" s="338">
        <v>2</v>
      </c>
      <c r="L633" s="338">
        <v>10</v>
      </c>
      <c r="M633" s="342">
        <f t="shared" ref="M633" si="120">IF(ISBLANK(J633),"",1)</f>
        <v>1</v>
      </c>
      <c r="N633" s="343" t="s">
        <v>36</v>
      </c>
      <c r="O633" s="344" t="str">
        <f>IF(ISBLANK(N633),"",VLOOKUP(N633,[20]Parámetros!$G$2:$H$23,2,FALSE))</f>
        <v xml:space="preserve">Contratación directa (con ofertas) </v>
      </c>
      <c r="P633" s="345">
        <f t="shared" si="114"/>
        <v>1</v>
      </c>
      <c r="Q633" s="346">
        <f t="shared" si="118"/>
        <v>10497683192</v>
      </c>
      <c r="R633" s="346">
        <f t="shared" si="119"/>
        <v>10497683192</v>
      </c>
      <c r="S633" s="347" t="s">
        <v>223</v>
      </c>
      <c r="T633" s="345">
        <f t="shared" si="115"/>
        <v>0</v>
      </c>
      <c r="U633" s="348" t="str">
        <f t="shared" si="111"/>
        <v>SUBDIRECCION DE GESTION CONTRACTUAL</v>
      </c>
      <c r="V633" s="345" t="str">
        <f t="shared" si="112"/>
        <v>CO-DC</v>
      </c>
      <c r="W633" s="345" t="str">
        <f t="shared" si="113"/>
        <v>Distrito Capital de Bogotá</v>
      </c>
      <c r="X633" s="340" t="s">
        <v>586</v>
      </c>
      <c r="Y633" s="338">
        <v>2427400</v>
      </c>
      <c r="Z633" s="349" t="s">
        <v>160</v>
      </c>
      <c r="AA633" s="350"/>
      <c r="AB633" s="350"/>
      <c r="AC633" s="350"/>
      <c r="AD633" s="350"/>
      <c r="AE633" s="350"/>
      <c r="AF633" s="350"/>
      <c r="AG633" s="350"/>
      <c r="AH633" s="350"/>
      <c r="AI633" s="350"/>
      <c r="AJ633" s="350"/>
      <c r="AK633" s="350"/>
      <c r="AL633" s="350"/>
      <c r="AM633" s="350"/>
      <c r="AN633" s="350"/>
      <c r="AO633" s="350"/>
      <c r="AP633" s="350"/>
      <c r="AQ633" s="350"/>
      <c r="AR633" s="350"/>
      <c r="AS633" s="350"/>
      <c r="AT633" s="350"/>
      <c r="AU633" s="351"/>
      <c r="AV633" s="351"/>
      <c r="AW633" s="351"/>
      <c r="AX633" s="351"/>
      <c r="AY633" s="351"/>
      <c r="AZ633" s="351"/>
      <c r="BA633" s="351"/>
      <c r="BB633" s="351"/>
      <c r="BC633" s="351"/>
      <c r="BD633" s="351"/>
      <c r="BE633" s="351"/>
      <c r="BF633" s="351"/>
      <c r="BG633" s="351"/>
      <c r="BH633" s="351"/>
      <c r="BI633" s="351"/>
      <c r="BJ633" s="351"/>
      <c r="BK633" s="351"/>
      <c r="BL633" s="351"/>
      <c r="BM633" s="351"/>
      <c r="BN633" s="351"/>
      <c r="BO633" s="351"/>
      <c r="BP633" s="351"/>
      <c r="BQ633" s="351"/>
      <c r="BR633" s="351"/>
      <c r="BS633" s="351"/>
      <c r="BT633" s="351"/>
      <c r="BU633" s="351"/>
      <c r="BV633" s="351"/>
      <c r="BW633" s="351"/>
      <c r="BX633" s="351"/>
      <c r="BY633" s="351"/>
      <c r="BZ633" s="351"/>
      <c r="CA633" s="351"/>
      <c r="CB633" s="351"/>
      <c r="CC633" s="351"/>
      <c r="CD633" s="351"/>
      <c r="CE633" s="351"/>
      <c r="CF633" s="351"/>
      <c r="CG633" s="352"/>
    </row>
    <row r="634" spans="1:85" s="353" customFormat="1" ht="13.9" customHeight="1" x14ac:dyDescent="0.2">
      <c r="A634" s="337" t="s">
        <v>601</v>
      </c>
      <c r="B634" s="338">
        <v>1</v>
      </c>
      <c r="C634" s="339" t="s">
        <v>602</v>
      </c>
      <c r="D634" s="340" t="s">
        <v>603</v>
      </c>
      <c r="E634" s="341"/>
      <c r="F634" s="341">
        <v>3912000000</v>
      </c>
      <c r="G634" s="341"/>
      <c r="H634" s="340">
        <v>80111600</v>
      </c>
      <c r="I634" s="339" t="s">
        <v>604</v>
      </c>
      <c r="J634" s="338">
        <v>1</v>
      </c>
      <c r="K634" s="338">
        <v>1</v>
      </c>
      <c r="L634" s="338">
        <v>12</v>
      </c>
      <c r="M634" s="342">
        <f t="shared" si="108"/>
        <v>1</v>
      </c>
      <c r="N634" s="343" t="s">
        <v>216</v>
      </c>
      <c r="O634" s="344" t="str">
        <f>IF(ISBLANK(N634),"",VLOOKUP(N634,[22]Parámetros!$G$2:$H$23,2,FALSE))</f>
        <v>Contratación directa.</v>
      </c>
      <c r="P634" s="345">
        <f t="shared" si="114"/>
        <v>1</v>
      </c>
      <c r="Q634" s="346">
        <f t="shared" si="109"/>
        <v>3912000000</v>
      </c>
      <c r="R634" s="346">
        <f t="shared" si="110"/>
        <v>3912000000</v>
      </c>
      <c r="S634" s="347" t="s">
        <v>223</v>
      </c>
      <c r="T634" s="345">
        <f t="shared" si="115"/>
        <v>0</v>
      </c>
      <c r="U634" s="348" t="str">
        <f t="shared" si="111"/>
        <v>SUBDIRECCION DE GESTION CONTRACTUAL</v>
      </c>
      <c r="V634" s="345" t="str">
        <f t="shared" si="112"/>
        <v>CO-DC</v>
      </c>
      <c r="W634" s="345" t="str">
        <f t="shared" si="113"/>
        <v>Distrito Capital de Bogotá</v>
      </c>
      <c r="X634" s="340" t="s">
        <v>605</v>
      </c>
      <c r="Y634" s="338">
        <v>2427400</v>
      </c>
      <c r="Z634" s="349" t="s">
        <v>606</v>
      </c>
      <c r="AA634" s="350"/>
      <c r="AB634" s="350"/>
      <c r="AC634" s="350"/>
      <c r="AD634" s="350"/>
      <c r="AE634" s="350"/>
      <c r="AF634" s="350"/>
      <c r="AG634" s="350"/>
      <c r="AH634" s="350"/>
      <c r="AI634" s="350"/>
      <c r="AJ634" s="350"/>
      <c r="AK634" s="350"/>
      <c r="AL634" s="350"/>
      <c r="AM634" s="350"/>
      <c r="AN634" s="350"/>
      <c r="AO634" s="350"/>
      <c r="AP634" s="350"/>
      <c r="AQ634" s="350"/>
      <c r="AR634" s="350"/>
      <c r="AS634" s="350"/>
      <c r="AT634" s="350"/>
      <c r="AU634" s="351"/>
      <c r="AV634" s="351"/>
      <c r="AW634" s="351"/>
      <c r="AX634" s="351"/>
      <c r="AY634" s="351"/>
      <c r="AZ634" s="351"/>
      <c r="BA634" s="351"/>
      <c r="BB634" s="351"/>
      <c r="BC634" s="351"/>
      <c r="BD634" s="351"/>
      <c r="BE634" s="351"/>
      <c r="BF634" s="351"/>
      <c r="BG634" s="351"/>
      <c r="BH634" s="351"/>
      <c r="BI634" s="351"/>
      <c r="BJ634" s="351"/>
      <c r="BK634" s="351"/>
      <c r="BL634" s="351"/>
      <c r="BM634" s="351"/>
      <c r="BN634" s="351"/>
      <c r="BO634" s="351"/>
      <c r="BP634" s="351"/>
      <c r="BQ634" s="351"/>
      <c r="BR634" s="351"/>
      <c r="BS634" s="351"/>
      <c r="BT634" s="351"/>
      <c r="BU634" s="351"/>
      <c r="BV634" s="351"/>
      <c r="BW634" s="351"/>
      <c r="BX634" s="351"/>
      <c r="BY634" s="351"/>
      <c r="BZ634" s="351"/>
      <c r="CA634" s="351"/>
      <c r="CB634" s="351"/>
      <c r="CC634" s="351"/>
      <c r="CD634" s="351"/>
      <c r="CE634" s="351"/>
      <c r="CF634" s="351"/>
      <c r="CG634" s="352"/>
    </row>
    <row r="635" spans="1:85" s="353" customFormat="1" ht="13.9" customHeight="1" x14ac:dyDescent="0.2">
      <c r="A635" s="337" t="s">
        <v>601</v>
      </c>
      <c r="B635" s="338">
        <v>2</v>
      </c>
      <c r="C635" s="339" t="s">
        <v>602</v>
      </c>
      <c r="D635" s="340" t="s">
        <v>603</v>
      </c>
      <c r="E635" s="341"/>
      <c r="F635" s="341">
        <v>45600000000</v>
      </c>
      <c r="G635" s="341"/>
      <c r="H635" s="340" t="s">
        <v>72</v>
      </c>
      <c r="I635" s="339" t="s">
        <v>607</v>
      </c>
      <c r="J635" s="338">
        <v>5</v>
      </c>
      <c r="K635" s="338">
        <v>5</v>
      </c>
      <c r="L635" s="338">
        <v>7</v>
      </c>
      <c r="M635" s="342">
        <f t="shared" si="108"/>
        <v>1</v>
      </c>
      <c r="N635" s="343" t="s">
        <v>36</v>
      </c>
      <c r="O635" s="344" t="str">
        <f>IF(ISBLANK(N635),"",VLOOKUP(N635,[22]Parámetros!$G$2:$H$23,2,FALSE))</f>
        <v xml:space="preserve">Contratación directa (con ofertas) </v>
      </c>
      <c r="P635" s="345">
        <f t="shared" si="114"/>
        <v>1</v>
      </c>
      <c r="Q635" s="346">
        <f t="shared" si="109"/>
        <v>45600000000</v>
      </c>
      <c r="R635" s="346">
        <f t="shared" si="110"/>
        <v>45600000000</v>
      </c>
      <c r="S635" s="347" t="s">
        <v>223</v>
      </c>
      <c r="T635" s="345">
        <f t="shared" si="115"/>
        <v>0</v>
      </c>
      <c r="U635" s="348" t="str">
        <f t="shared" si="111"/>
        <v>SUBDIRECCION DE GESTION CONTRACTUAL</v>
      </c>
      <c r="V635" s="345" t="str">
        <f t="shared" si="112"/>
        <v>CO-DC</v>
      </c>
      <c r="W635" s="345" t="str">
        <f t="shared" si="113"/>
        <v>Distrito Capital de Bogotá</v>
      </c>
      <c r="X635" s="340" t="s">
        <v>605</v>
      </c>
      <c r="Y635" s="338">
        <v>2427400</v>
      </c>
      <c r="Z635" s="349" t="s">
        <v>606</v>
      </c>
      <c r="AA635" s="350"/>
      <c r="AB635" s="350"/>
      <c r="AC635" s="350"/>
      <c r="AD635" s="350"/>
      <c r="AE635" s="350"/>
      <c r="AF635" s="350"/>
      <c r="AG635" s="350"/>
      <c r="AH635" s="350"/>
      <c r="AI635" s="350"/>
      <c r="AJ635" s="350"/>
      <c r="AK635" s="350"/>
      <c r="AL635" s="350"/>
      <c r="AM635" s="350"/>
      <c r="AN635" s="350"/>
      <c r="AO635" s="350"/>
      <c r="AP635" s="350"/>
      <c r="AQ635" s="350"/>
      <c r="AR635" s="350"/>
      <c r="AS635" s="350"/>
      <c r="AT635" s="350"/>
      <c r="AU635" s="351"/>
      <c r="AV635" s="351"/>
      <c r="AW635" s="351"/>
      <c r="AX635" s="351"/>
      <c r="AY635" s="351"/>
      <c r="AZ635" s="351"/>
      <c r="BA635" s="351"/>
      <c r="BB635" s="351"/>
      <c r="BC635" s="351"/>
      <c r="BD635" s="351"/>
      <c r="BE635" s="351"/>
      <c r="BF635" s="351"/>
      <c r="BG635" s="351"/>
      <c r="BH635" s="351"/>
      <c r="BI635" s="351"/>
      <c r="BJ635" s="351"/>
      <c r="BK635" s="351"/>
      <c r="BL635" s="351"/>
      <c r="BM635" s="351"/>
      <c r="BN635" s="351"/>
      <c r="BO635" s="351"/>
      <c r="BP635" s="351"/>
      <c r="BQ635" s="351"/>
      <c r="BR635" s="351"/>
      <c r="BS635" s="351"/>
      <c r="BT635" s="351"/>
      <c r="BU635" s="351"/>
      <c r="BV635" s="351"/>
      <c r="BW635" s="351"/>
      <c r="BX635" s="351"/>
      <c r="BY635" s="351"/>
      <c r="BZ635" s="351"/>
      <c r="CA635" s="351"/>
      <c r="CB635" s="351"/>
      <c r="CC635" s="351"/>
      <c r="CD635" s="351"/>
      <c r="CE635" s="351"/>
      <c r="CF635" s="351"/>
      <c r="CG635" s="352"/>
    </row>
    <row r="636" spans="1:85" s="353" customFormat="1" ht="13.9" customHeight="1" x14ac:dyDescent="0.2">
      <c r="A636" s="337" t="s">
        <v>601</v>
      </c>
      <c r="B636" s="338">
        <v>3</v>
      </c>
      <c r="C636" s="339" t="s">
        <v>602</v>
      </c>
      <c r="D636" s="340" t="s">
        <v>603</v>
      </c>
      <c r="E636" s="341"/>
      <c r="F636" s="341">
        <v>217600000</v>
      </c>
      <c r="G636" s="341"/>
      <c r="H636" s="340">
        <v>81111800</v>
      </c>
      <c r="I636" s="339" t="s">
        <v>608</v>
      </c>
      <c r="J636" s="338">
        <v>3</v>
      </c>
      <c r="K636" s="338">
        <v>4</v>
      </c>
      <c r="L636" s="338">
        <v>8</v>
      </c>
      <c r="M636" s="342">
        <f t="shared" si="108"/>
        <v>1</v>
      </c>
      <c r="N636" s="343" t="s">
        <v>36</v>
      </c>
      <c r="O636" s="344" t="str">
        <f>IF(ISBLANK(N636),"",VLOOKUP(N636,[22]Parámetros!$G$2:$H$23,2,FALSE))</f>
        <v xml:space="preserve">Contratación directa (con ofertas) </v>
      </c>
      <c r="P636" s="345">
        <f t="shared" si="114"/>
        <v>1</v>
      </c>
      <c r="Q636" s="346">
        <f t="shared" si="109"/>
        <v>217600000</v>
      </c>
      <c r="R636" s="346">
        <f t="shared" si="110"/>
        <v>217600000</v>
      </c>
      <c r="S636" s="347" t="s">
        <v>223</v>
      </c>
      <c r="T636" s="345">
        <f t="shared" si="115"/>
        <v>0</v>
      </c>
      <c r="U636" s="348" t="str">
        <f t="shared" si="111"/>
        <v>SUBDIRECCION DE GESTION CONTRACTUAL</v>
      </c>
      <c r="V636" s="345" t="str">
        <f t="shared" si="112"/>
        <v>CO-DC</v>
      </c>
      <c r="W636" s="345" t="str">
        <f t="shared" si="113"/>
        <v>Distrito Capital de Bogotá</v>
      </c>
      <c r="X636" s="340" t="s">
        <v>605</v>
      </c>
      <c r="Y636" s="338">
        <v>2427400</v>
      </c>
      <c r="Z636" s="349" t="s">
        <v>606</v>
      </c>
      <c r="AA636" s="350"/>
      <c r="AB636" s="350"/>
      <c r="AC636" s="350"/>
      <c r="AD636" s="350"/>
      <c r="AE636" s="350"/>
      <c r="AF636" s="350"/>
      <c r="AG636" s="350"/>
      <c r="AH636" s="350"/>
      <c r="AI636" s="350"/>
      <c r="AJ636" s="350"/>
      <c r="AK636" s="350"/>
      <c r="AL636" s="350"/>
      <c r="AM636" s="350"/>
      <c r="AN636" s="350"/>
      <c r="AO636" s="350"/>
      <c r="AP636" s="350"/>
      <c r="AQ636" s="350"/>
      <c r="AR636" s="350"/>
      <c r="AS636" s="350"/>
      <c r="AT636" s="350"/>
      <c r="AU636" s="351"/>
      <c r="AV636" s="351"/>
      <c r="AW636" s="351"/>
      <c r="AX636" s="351"/>
      <c r="AY636" s="351"/>
      <c r="AZ636" s="351"/>
      <c r="BA636" s="351"/>
      <c r="BB636" s="351"/>
      <c r="BC636" s="351"/>
      <c r="BD636" s="351"/>
      <c r="BE636" s="351"/>
      <c r="BF636" s="351"/>
      <c r="BG636" s="351"/>
      <c r="BH636" s="351"/>
      <c r="BI636" s="351"/>
      <c r="BJ636" s="351"/>
      <c r="BK636" s="351"/>
      <c r="BL636" s="351"/>
      <c r="BM636" s="351"/>
      <c r="BN636" s="351"/>
      <c r="BO636" s="351"/>
      <c r="BP636" s="351"/>
      <c r="BQ636" s="351"/>
      <c r="BR636" s="351"/>
      <c r="BS636" s="351"/>
      <c r="BT636" s="351"/>
      <c r="BU636" s="351"/>
      <c r="BV636" s="351"/>
      <c r="BW636" s="351"/>
      <c r="BX636" s="351"/>
      <c r="BY636" s="351"/>
      <c r="BZ636" s="351"/>
      <c r="CA636" s="351"/>
      <c r="CB636" s="351"/>
      <c r="CC636" s="351"/>
      <c r="CD636" s="351"/>
      <c r="CE636" s="351"/>
      <c r="CF636" s="351"/>
      <c r="CG636" s="352"/>
    </row>
    <row r="637" spans="1:85" s="353" customFormat="1" ht="13.9" customHeight="1" x14ac:dyDescent="0.2">
      <c r="A637" s="337" t="s">
        <v>601</v>
      </c>
      <c r="B637" s="338">
        <v>4</v>
      </c>
      <c r="C637" s="339" t="s">
        <v>602</v>
      </c>
      <c r="D637" s="340" t="s">
        <v>603</v>
      </c>
      <c r="E637" s="341"/>
      <c r="F637" s="341">
        <v>16406400000</v>
      </c>
      <c r="G637" s="341"/>
      <c r="H637" s="354" t="s">
        <v>795</v>
      </c>
      <c r="I637" s="339" t="s">
        <v>609</v>
      </c>
      <c r="J637" s="359">
        <v>2</v>
      </c>
      <c r="K637" s="360">
        <v>3</v>
      </c>
      <c r="L637" s="361">
        <v>9</v>
      </c>
      <c r="M637" s="342">
        <f t="shared" si="108"/>
        <v>1</v>
      </c>
      <c r="N637" s="343" t="s">
        <v>233</v>
      </c>
      <c r="O637" s="344" t="str">
        <f>IF(ISBLANK(N637),"",VLOOKUP(N637,[22]Parámetros!$G$2:$H$23,2,FALSE))</f>
        <v>Licitación pública</v>
      </c>
      <c r="P637" s="345">
        <f t="shared" si="114"/>
        <v>1</v>
      </c>
      <c r="Q637" s="346">
        <f t="shared" si="109"/>
        <v>16406400000</v>
      </c>
      <c r="R637" s="346">
        <f t="shared" si="110"/>
        <v>16406400000</v>
      </c>
      <c r="S637" s="347" t="s">
        <v>223</v>
      </c>
      <c r="T637" s="345">
        <f t="shared" si="115"/>
        <v>0</v>
      </c>
      <c r="U637" s="348" t="str">
        <f t="shared" si="111"/>
        <v>SUBDIRECCION DE GESTION CONTRACTUAL</v>
      </c>
      <c r="V637" s="345" t="str">
        <f t="shared" si="112"/>
        <v>CO-DC</v>
      </c>
      <c r="W637" s="345" t="str">
        <f t="shared" si="113"/>
        <v>Distrito Capital de Bogotá</v>
      </c>
      <c r="X637" s="340" t="s">
        <v>605</v>
      </c>
      <c r="Y637" s="338">
        <v>2427400</v>
      </c>
      <c r="Z637" s="349" t="s">
        <v>606</v>
      </c>
      <c r="AA637" s="350"/>
      <c r="AB637" s="350"/>
      <c r="AC637" s="350"/>
      <c r="AD637" s="350"/>
      <c r="AE637" s="350"/>
      <c r="AF637" s="350"/>
      <c r="AG637" s="350"/>
      <c r="AH637" s="350"/>
      <c r="AI637" s="350"/>
      <c r="AJ637" s="350"/>
      <c r="AK637" s="350"/>
      <c r="AL637" s="350"/>
      <c r="AM637" s="350"/>
      <c r="AN637" s="350"/>
      <c r="AO637" s="350"/>
      <c r="AP637" s="350"/>
      <c r="AQ637" s="350"/>
      <c r="AR637" s="350"/>
      <c r="AS637" s="350"/>
      <c r="AT637" s="350"/>
      <c r="AU637" s="351"/>
      <c r="AV637" s="351"/>
      <c r="AW637" s="351"/>
      <c r="AX637" s="351"/>
      <c r="AY637" s="351"/>
      <c r="AZ637" s="351"/>
      <c r="BA637" s="351"/>
      <c r="BB637" s="351"/>
      <c r="BC637" s="351"/>
      <c r="BD637" s="351"/>
      <c r="BE637" s="351"/>
      <c r="BF637" s="351"/>
      <c r="BG637" s="351"/>
      <c r="BH637" s="351"/>
      <c r="BI637" s="351"/>
      <c r="BJ637" s="351"/>
      <c r="BK637" s="351"/>
      <c r="BL637" s="351"/>
      <c r="BM637" s="351"/>
      <c r="BN637" s="351"/>
      <c r="BO637" s="351"/>
      <c r="BP637" s="351"/>
      <c r="BQ637" s="351"/>
      <c r="BR637" s="351"/>
      <c r="BS637" s="351"/>
      <c r="BT637" s="351"/>
      <c r="BU637" s="351"/>
      <c r="BV637" s="351"/>
      <c r="BW637" s="351"/>
      <c r="BX637" s="351"/>
      <c r="BY637" s="351"/>
      <c r="BZ637" s="351"/>
      <c r="CA637" s="351"/>
      <c r="CB637" s="351"/>
      <c r="CC637" s="351"/>
      <c r="CD637" s="351"/>
      <c r="CE637" s="351"/>
      <c r="CF637" s="351"/>
      <c r="CG637" s="352"/>
    </row>
    <row r="638" spans="1:85" s="353" customFormat="1" ht="13.9" customHeight="1" x14ac:dyDescent="0.2">
      <c r="A638" s="337" t="s">
        <v>601</v>
      </c>
      <c r="B638" s="338">
        <v>5</v>
      </c>
      <c r="C638" s="339" t="s">
        <v>602</v>
      </c>
      <c r="D638" s="340" t="s">
        <v>603</v>
      </c>
      <c r="E638" s="341"/>
      <c r="F638" s="341">
        <v>3124000000</v>
      </c>
      <c r="G638" s="341"/>
      <c r="H638" s="340" t="s">
        <v>793</v>
      </c>
      <c r="I638" s="339" t="s">
        <v>610</v>
      </c>
      <c r="J638" s="338">
        <v>3</v>
      </c>
      <c r="K638" s="338">
        <v>3</v>
      </c>
      <c r="L638" s="338">
        <v>3</v>
      </c>
      <c r="M638" s="342">
        <f t="shared" si="108"/>
        <v>1</v>
      </c>
      <c r="N638" s="343" t="s">
        <v>36</v>
      </c>
      <c r="O638" s="344" t="str">
        <f>IF(ISBLANK(N638),"",VLOOKUP(N638,[22]Parámetros!$G$2:$H$23,2,FALSE))</f>
        <v xml:space="preserve">Contratación directa (con ofertas) </v>
      </c>
      <c r="P638" s="345">
        <f t="shared" si="114"/>
        <v>1</v>
      </c>
      <c r="Q638" s="346">
        <f t="shared" si="109"/>
        <v>3124000000</v>
      </c>
      <c r="R638" s="346">
        <f t="shared" si="110"/>
        <v>3124000000</v>
      </c>
      <c r="S638" s="347" t="s">
        <v>223</v>
      </c>
      <c r="T638" s="345">
        <f t="shared" si="115"/>
        <v>0</v>
      </c>
      <c r="U638" s="348" t="str">
        <f t="shared" si="111"/>
        <v>SUBDIRECCION DE GESTION CONTRACTUAL</v>
      </c>
      <c r="V638" s="345" t="str">
        <f t="shared" si="112"/>
        <v>CO-DC</v>
      </c>
      <c r="W638" s="345" t="str">
        <f t="shared" si="113"/>
        <v>Distrito Capital de Bogotá</v>
      </c>
      <c r="X638" s="340" t="s">
        <v>605</v>
      </c>
      <c r="Y638" s="338">
        <v>2427400</v>
      </c>
      <c r="Z638" s="349" t="s">
        <v>606</v>
      </c>
      <c r="AA638" s="350"/>
      <c r="AB638" s="350"/>
      <c r="AC638" s="350"/>
      <c r="AD638" s="350"/>
      <c r="AE638" s="350"/>
      <c r="AF638" s="350"/>
      <c r="AG638" s="350"/>
      <c r="AH638" s="350"/>
      <c r="AI638" s="350"/>
      <c r="AJ638" s="350"/>
      <c r="AK638" s="350"/>
      <c r="AL638" s="350"/>
      <c r="AM638" s="350"/>
      <c r="AN638" s="350"/>
      <c r="AO638" s="350"/>
      <c r="AP638" s="350"/>
      <c r="AQ638" s="350"/>
      <c r="AR638" s="350"/>
      <c r="AS638" s="350"/>
      <c r="AT638" s="350"/>
      <c r="AU638" s="351"/>
      <c r="AV638" s="351"/>
      <c r="AW638" s="351"/>
      <c r="AX638" s="351"/>
      <c r="AY638" s="351"/>
      <c r="AZ638" s="351"/>
      <c r="BA638" s="351"/>
      <c r="BB638" s="351"/>
      <c r="BC638" s="351"/>
      <c r="BD638" s="351"/>
      <c r="BE638" s="351"/>
      <c r="BF638" s="351"/>
      <c r="BG638" s="351"/>
      <c r="BH638" s="351"/>
      <c r="BI638" s="351"/>
      <c r="BJ638" s="351"/>
      <c r="BK638" s="351"/>
      <c r="BL638" s="351"/>
      <c r="BM638" s="351"/>
      <c r="BN638" s="351"/>
      <c r="BO638" s="351"/>
      <c r="BP638" s="351"/>
      <c r="BQ638" s="351"/>
      <c r="BR638" s="351"/>
      <c r="BS638" s="351"/>
      <c r="BT638" s="351"/>
      <c r="BU638" s="351"/>
      <c r="BV638" s="351"/>
      <c r="BW638" s="351"/>
      <c r="BX638" s="351"/>
      <c r="BY638" s="351"/>
      <c r="BZ638" s="351"/>
      <c r="CA638" s="351"/>
      <c r="CB638" s="351"/>
      <c r="CC638" s="351"/>
      <c r="CD638" s="351"/>
      <c r="CE638" s="351"/>
      <c r="CF638" s="351"/>
      <c r="CG638" s="352"/>
    </row>
    <row r="639" spans="1:85" s="353" customFormat="1" ht="13.9" customHeight="1" x14ac:dyDescent="0.2">
      <c r="A639" s="337" t="s">
        <v>601</v>
      </c>
      <c r="B639" s="338">
        <v>6</v>
      </c>
      <c r="C639" s="339" t="s">
        <v>602</v>
      </c>
      <c r="D639" s="340" t="s">
        <v>603</v>
      </c>
      <c r="E639" s="341"/>
      <c r="F639" s="341">
        <v>115000000</v>
      </c>
      <c r="G639" s="341"/>
      <c r="H639" s="340">
        <v>86132000</v>
      </c>
      <c r="I639" s="339" t="s">
        <v>611</v>
      </c>
      <c r="J639" s="338">
        <v>5</v>
      </c>
      <c r="K639" s="338">
        <v>6</v>
      </c>
      <c r="L639" s="338">
        <v>6</v>
      </c>
      <c r="M639" s="342">
        <f t="shared" si="108"/>
        <v>1</v>
      </c>
      <c r="N639" s="343" t="s">
        <v>36</v>
      </c>
      <c r="O639" s="344" t="str">
        <f>IF(ISBLANK(N639),"",VLOOKUP(N639,[22]Parámetros!$G$2:$H$23,2,FALSE))</f>
        <v xml:space="preserve">Contratación directa (con ofertas) </v>
      </c>
      <c r="P639" s="345">
        <f t="shared" si="114"/>
        <v>1</v>
      </c>
      <c r="Q639" s="346">
        <f t="shared" si="109"/>
        <v>115000000</v>
      </c>
      <c r="R639" s="346">
        <f t="shared" si="110"/>
        <v>115000000</v>
      </c>
      <c r="S639" s="347" t="s">
        <v>223</v>
      </c>
      <c r="T639" s="345">
        <f t="shared" si="115"/>
        <v>0</v>
      </c>
      <c r="U639" s="348" t="str">
        <f t="shared" si="111"/>
        <v>SUBDIRECCION DE GESTION CONTRACTUAL</v>
      </c>
      <c r="V639" s="345" t="str">
        <f t="shared" si="112"/>
        <v>CO-DC</v>
      </c>
      <c r="W639" s="345" t="str">
        <f t="shared" si="113"/>
        <v>Distrito Capital de Bogotá</v>
      </c>
      <c r="X639" s="340" t="s">
        <v>605</v>
      </c>
      <c r="Y639" s="338">
        <v>2427400</v>
      </c>
      <c r="Z639" s="349" t="s">
        <v>606</v>
      </c>
      <c r="AA639" s="350"/>
      <c r="AB639" s="350"/>
      <c r="AC639" s="350"/>
      <c r="AD639" s="350"/>
      <c r="AE639" s="350"/>
      <c r="AF639" s="350"/>
      <c r="AG639" s="350"/>
      <c r="AH639" s="350"/>
      <c r="AI639" s="350"/>
      <c r="AJ639" s="350"/>
      <c r="AK639" s="350"/>
      <c r="AL639" s="350"/>
      <c r="AM639" s="350"/>
      <c r="AN639" s="350"/>
      <c r="AO639" s="350"/>
      <c r="AP639" s="350"/>
      <c r="AQ639" s="350"/>
      <c r="AR639" s="350"/>
      <c r="AS639" s="350"/>
      <c r="AT639" s="350"/>
      <c r="AU639" s="351"/>
      <c r="AV639" s="351"/>
      <c r="AW639" s="351"/>
      <c r="AX639" s="351"/>
      <c r="AY639" s="351"/>
      <c r="AZ639" s="351"/>
      <c r="BA639" s="351"/>
      <c r="BB639" s="351"/>
      <c r="BC639" s="351"/>
      <c r="BD639" s="351"/>
      <c r="BE639" s="351"/>
      <c r="BF639" s="351"/>
      <c r="BG639" s="351"/>
      <c r="BH639" s="351"/>
      <c r="BI639" s="351"/>
      <c r="BJ639" s="351"/>
      <c r="BK639" s="351"/>
      <c r="BL639" s="351"/>
      <c r="BM639" s="351"/>
      <c r="BN639" s="351"/>
      <c r="BO639" s="351"/>
      <c r="BP639" s="351"/>
      <c r="BQ639" s="351"/>
      <c r="BR639" s="351"/>
      <c r="BS639" s="351"/>
      <c r="BT639" s="351"/>
      <c r="BU639" s="351"/>
      <c r="BV639" s="351"/>
      <c r="BW639" s="351"/>
      <c r="BX639" s="351"/>
      <c r="BY639" s="351"/>
      <c r="BZ639" s="351"/>
      <c r="CA639" s="351"/>
      <c r="CB639" s="351"/>
      <c r="CC639" s="351"/>
      <c r="CD639" s="351"/>
      <c r="CE639" s="351"/>
      <c r="CF639" s="351"/>
      <c r="CG639" s="352"/>
    </row>
    <row r="640" spans="1:85" s="353" customFormat="1" ht="13.9" customHeight="1" x14ac:dyDescent="0.2">
      <c r="A640" s="337" t="s">
        <v>601</v>
      </c>
      <c r="B640" s="338">
        <v>7</v>
      </c>
      <c r="C640" s="339" t="s">
        <v>602</v>
      </c>
      <c r="D640" s="340" t="s">
        <v>603</v>
      </c>
      <c r="E640" s="341"/>
      <c r="F640" s="341">
        <v>500000000</v>
      </c>
      <c r="G640" s="341"/>
      <c r="H640" s="340" t="s">
        <v>794</v>
      </c>
      <c r="I640" s="339" t="s">
        <v>612</v>
      </c>
      <c r="J640" s="338">
        <v>4</v>
      </c>
      <c r="K640" s="338">
        <v>4</v>
      </c>
      <c r="L640" s="338">
        <v>8</v>
      </c>
      <c r="M640" s="342">
        <f t="shared" si="108"/>
        <v>1</v>
      </c>
      <c r="N640" s="343" t="s">
        <v>36</v>
      </c>
      <c r="O640" s="344" t="str">
        <f>IF(ISBLANK(N640),"",VLOOKUP(N640,[22]Parámetros!$G$2:$H$23,2,FALSE))</f>
        <v xml:space="preserve">Contratación directa (con ofertas) </v>
      </c>
      <c r="P640" s="345">
        <f t="shared" si="114"/>
        <v>1</v>
      </c>
      <c r="Q640" s="346">
        <f t="shared" si="109"/>
        <v>500000000</v>
      </c>
      <c r="R640" s="346">
        <f t="shared" si="110"/>
        <v>500000000</v>
      </c>
      <c r="S640" s="347" t="s">
        <v>223</v>
      </c>
      <c r="T640" s="345">
        <f t="shared" si="115"/>
        <v>0</v>
      </c>
      <c r="U640" s="348" t="str">
        <f t="shared" si="111"/>
        <v>SUBDIRECCION DE GESTION CONTRACTUAL</v>
      </c>
      <c r="V640" s="345" t="str">
        <f t="shared" si="112"/>
        <v>CO-DC</v>
      </c>
      <c r="W640" s="345" t="str">
        <f t="shared" si="113"/>
        <v>Distrito Capital de Bogotá</v>
      </c>
      <c r="X640" s="340" t="s">
        <v>605</v>
      </c>
      <c r="Y640" s="338">
        <v>2427400</v>
      </c>
      <c r="Z640" s="349" t="s">
        <v>606</v>
      </c>
      <c r="AA640" s="350"/>
      <c r="AB640" s="350"/>
      <c r="AC640" s="350"/>
      <c r="AD640" s="350"/>
      <c r="AE640" s="350"/>
      <c r="AF640" s="350"/>
      <c r="AG640" s="350"/>
      <c r="AH640" s="350"/>
      <c r="AI640" s="350"/>
      <c r="AJ640" s="350"/>
      <c r="AK640" s="350"/>
      <c r="AL640" s="350"/>
      <c r="AM640" s="350"/>
      <c r="AN640" s="350"/>
      <c r="AO640" s="350"/>
      <c r="AP640" s="350"/>
      <c r="AQ640" s="350"/>
      <c r="AR640" s="350"/>
      <c r="AS640" s="350"/>
      <c r="AT640" s="350"/>
      <c r="AU640" s="351"/>
      <c r="AV640" s="351"/>
      <c r="AW640" s="351"/>
      <c r="AX640" s="351"/>
      <c r="AY640" s="351"/>
      <c r="AZ640" s="351"/>
      <c r="BA640" s="351"/>
      <c r="BB640" s="351"/>
      <c r="BC640" s="351"/>
      <c r="BD640" s="351"/>
      <c r="BE640" s="351"/>
      <c r="BF640" s="351"/>
      <c r="BG640" s="351"/>
      <c r="BH640" s="351"/>
      <c r="BI640" s="351"/>
      <c r="BJ640" s="351"/>
      <c r="BK640" s="351"/>
      <c r="BL640" s="351"/>
      <c r="BM640" s="351"/>
      <c r="BN640" s="351"/>
      <c r="BO640" s="351"/>
      <c r="BP640" s="351"/>
      <c r="BQ640" s="351"/>
      <c r="BR640" s="351"/>
      <c r="BS640" s="351"/>
      <c r="BT640" s="351"/>
      <c r="BU640" s="351"/>
      <c r="BV640" s="351"/>
      <c r="BW640" s="351"/>
      <c r="BX640" s="351"/>
      <c r="BY640" s="351"/>
      <c r="BZ640" s="351"/>
      <c r="CA640" s="351"/>
      <c r="CB640" s="351"/>
      <c r="CC640" s="351"/>
      <c r="CD640" s="351"/>
      <c r="CE640" s="351"/>
      <c r="CF640" s="351"/>
      <c r="CG640" s="352"/>
    </row>
    <row r="641" spans="1:85" s="353" customFormat="1" ht="13.9" customHeight="1" x14ac:dyDescent="0.2">
      <c r="A641" s="337" t="s">
        <v>601</v>
      </c>
      <c r="B641" s="338">
        <v>8</v>
      </c>
      <c r="C641" s="339" t="s">
        <v>602</v>
      </c>
      <c r="D641" s="340" t="s">
        <v>603</v>
      </c>
      <c r="E641" s="341"/>
      <c r="F641" s="341">
        <f>1650000000-80000000</f>
        <v>1570000000</v>
      </c>
      <c r="G641" s="341"/>
      <c r="H641" s="340" t="s">
        <v>786</v>
      </c>
      <c r="I641" s="339" t="s">
        <v>613</v>
      </c>
      <c r="J641" s="338">
        <v>2</v>
      </c>
      <c r="K641" s="338">
        <v>2</v>
      </c>
      <c r="L641" s="338">
        <v>10</v>
      </c>
      <c r="M641" s="342">
        <f t="shared" si="108"/>
        <v>1</v>
      </c>
      <c r="N641" s="343" t="s">
        <v>36</v>
      </c>
      <c r="O641" s="344" t="str">
        <f>IF(ISBLANK(N641),"",VLOOKUP(N641,[22]Parámetros!$G$2:$H$23,2,FALSE))</f>
        <v xml:space="preserve">Contratación directa (con ofertas) </v>
      </c>
      <c r="P641" s="345">
        <f t="shared" si="114"/>
        <v>1</v>
      </c>
      <c r="Q641" s="346">
        <f t="shared" si="109"/>
        <v>1570000000</v>
      </c>
      <c r="R641" s="346">
        <f t="shared" si="110"/>
        <v>1570000000</v>
      </c>
      <c r="S641" s="347" t="s">
        <v>223</v>
      </c>
      <c r="T641" s="345">
        <f t="shared" si="115"/>
        <v>0</v>
      </c>
      <c r="U641" s="348" t="str">
        <f t="shared" si="111"/>
        <v>SUBDIRECCION DE GESTION CONTRACTUAL</v>
      </c>
      <c r="V641" s="345" t="str">
        <f t="shared" si="112"/>
        <v>CO-DC</v>
      </c>
      <c r="W641" s="345" t="str">
        <f t="shared" si="113"/>
        <v>Distrito Capital de Bogotá</v>
      </c>
      <c r="X641" s="340" t="s">
        <v>605</v>
      </c>
      <c r="Y641" s="338">
        <v>2427400</v>
      </c>
      <c r="Z641" s="349" t="s">
        <v>606</v>
      </c>
      <c r="AA641" s="350"/>
      <c r="AB641" s="350"/>
      <c r="AC641" s="350"/>
      <c r="AD641" s="350"/>
      <c r="AE641" s="350"/>
      <c r="AF641" s="350"/>
      <c r="AG641" s="350"/>
      <c r="AH641" s="350"/>
      <c r="AI641" s="350"/>
      <c r="AJ641" s="350"/>
      <c r="AK641" s="350"/>
      <c r="AL641" s="350"/>
      <c r="AM641" s="350"/>
      <c r="AN641" s="350"/>
      <c r="AO641" s="350"/>
      <c r="AP641" s="350"/>
      <c r="AQ641" s="350"/>
      <c r="AR641" s="350"/>
      <c r="AS641" s="350"/>
      <c r="AT641" s="350"/>
      <c r="AU641" s="351"/>
      <c r="AV641" s="351"/>
      <c r="AW641" s="351"/>
      <c r="AX641" s="351"/>
      <c r="AY641" s="351"/>
      <c r="AZ641" s="351"/>
      <c r="BA641" s="351"/>
      <c r="BB641" s="351"/>
      <c r="BC641" s="351"/>
      <c r="BD641" s="351"/>
      <c r="BE641" s="351"/>
      <c r="BF641" s="351"/>
      <c r="BG641" s="351"/>
      <c r="BH641" s="351"/>
      <c r="BI641" s="351"/>
      <c r="BJ641" s="351"/>
      <c r="BK641" s="351"/>
      <c r="BL641" s="351"/>
      <c r="BM641" s="351"/>
      <c r="BN641" s="351"/>
      <c r="BO641" s="351"/>
      <c r="BP641" s="351"/>
      <c r="BQ641" s="351"/>
      <c r="BR641" s="351"/>
      <c r="BS641" s="351"/>
      <c r="BT641" s="351"/>
      <c r="BU641" s="351"/>
      <c r="BV641" s="351"/>
      <c r="BW641" s="351"/>
      <c r="BX641" s="351"/>
      <c r="BY641" s="351"/>
      <c r="BZ641" s="351"/>
      <c r="CA641" s="351"/>
      <c r="CB641" s="351"/>
      <c r="CC641" s="351"/>
      <c r="CD641" s="351"/>
      <c r="CE641" s="351"/>
      <c r="CF641" s="351"/>
      <c r="CG641" s="352"/>
    </row>
    <row r="642" spans="1:85" s="353" customFormat="1" ht="13.9" customHeight="1" x14ac:dyDescent="0.2">
      <c r="A642" s="337" t="s">
        <v>601</v>
      </c>
      <c r="B642" s="338">
        <v>9</v>
      </c>
      <c r="C642" s="339" t="s">
        <v>602</v>
      </c>
      <c r="D642" s="340" t="s">
        <v>603</v>
      </c>
      <c r="E642" s="341"/>
      <c r="F642" s="341">
        <v>1000000000</v>
      </c>
      <c r="G642" s="341"/>
      <c r="H642" s="354" t="s">
        <v>795</v>
      </c>
      <c r="I642" s="339" t="s">
        <v>609</v>
      </c>
      <c r="J642" s="364">
        <v>1</v>
      </c>
      <c r="K642" s="364">
        <v>2</v>
      </c>
      <c r="L642" s="364">
        <v>3</v>
      </c>
      <c r="M642" s="342">
        <f t="shared" si="108"/>
        <v>1</v>
      </c>
      <c r="N642" s="343" t="s">
        <v>36</v>
      </c>
      <c r="O642" s="344" t="str">
        <f>IF(ISBLANK(N642),"",VLOOKUP(N642,[22]Parámetros!$G$2:$H$23,2,FALSE))</f>
        <v xml:space="preserve">Contratación directa (con ofertas) </v>
      </c>
      <c r="P642" s="345">
        <f t="shared" si="114"/>
        <v>1</v>
      </c>
      <c r="Q642" s="346">
        <f t="shared" si="109"/>
        <v>1000000000</v>
      </c>
      <c r="R642" s="346">
        <f t="shared" si="110"/>
        <v>1000000000</v>
      </c>
      <c r="S642" s="347" t="s">
        <v>223</v>
      </c>
      <c r="T642" s="345">
        <f t="shared" si="115"/>
        <v>0</v>
      </c>
      <c r="U642" s="348" t="str">
        <f t="shared" si="111"/>
        <v>SUBDIRECCION DE GESTION CONTRACTUAL</v>
      </c>
      <c r="V642" s="345" t="str">
        <f t="shared" si="112"/>
        <v>CO-DC</v>
      </c>
      <c r="W642" s="345" t="str">
        <f t="shared" si="113"/>
        <v>Distrito Capital de Bogotá</v>
      </c>
      <c r="X642" s="340" t="s">
        <v>605</v>
      </c>
      <c r="Y642" s="338">
        <v>2427400</v>
      </c>
      <c r="Z642" s="349" t="s">
        <v>606</v>
      </c>
      <c r="AA642" s="350"/>
      <c r="AB642" s="350"/>
      <c r="AC642" s="350"/>
      <c r="AD642" s="350"/>
      <c r="AE642" s="350"/>
      <c r="AF642" s="350"/>
      <c r="AG642" s="350"/>
      <c r="AH642" s="350"/>
      <c r="AI642" s="350"/>
      <c r="AJ642" s="350"/>
      <c r="AK642" s="350"/>
      <c r="AL642" s="350"/>
      <c r="AM642" s="350"/>
      <c r="AN642" s="350"/>
      <c r="AO642" s="350"/>
      <c r="AP642" s="350"/>
      <c r="AQ642" s="350"/>
      <c r="AR642" s="350"/>
      <c r="AS642" s="350"/>
      <c r="AT642" s="350"/>
      <c r="AU642" s="351"/>
      <c r="AV642" s="351"/>
      <c r="AW642" s="351"/>
      <c r="AX642" s="351"/>
      <c r="AY642" s="351"/>
      <c r="AZ642" s="351"/>
      <c r="BA642" s="351"/>
      <c r="BB642" s="351"/>
      <c r="BC642" s="351"/>
      <c r="BD642" s="351"/>
      <c r="BE642" s="351"/>
      <c r="BF642" s="351"/>
      <c r="BG642" s="351"/>
      <c r="BH642" s="351"/>
      <c r="BI642" s="351"/>
      <c r="BJ642" s="351"/>
      <c r="BK642" s="351"/>
      <c r="BL642" s="351"/>
      <c r="BM642" s="351"/>
      <c r="BN642" s="351"/>
      <c r="BO642" s="351"/>
      <c r="BP642" s="351"/>
      <c r="BQ642" s="351"/>
      <c r="BR642" s="351"/>
      <c r="BS642" s="351"/>
      <c r="BT642" s="351"/>
      <c r="BU642" s="351"/>
      <c r="BV642" s="351"/>
      <c r="BW642" s="351"/>
      <c r="BX642" s="351"/>
      <c r="BY642" s="351"/>
      <c r="BZ642" s="351"/>
      <c r="CA642" s="351"/>
      <c r="CB642" s="351"/>
      <c r="CC642" s="351"/>
      <c r="CD642" s="351"/>
      <c r="CE642" s="351"/>
      <c r="CF642" s="351"/>
      <c r="CG642" s="352"/>
    </row>
    <row r="643" spans="1:85" s="358" customFormat="1" ht="12.75" customHeight="1" x14ac:dyDescent="0.2">
      <c r="A643" s="342" t="s">
        <v>601</v>
      </c>
      <c r="B643" s="342">
        <v>10</v>
      </c>
      <c r="C643" s="366" t="s">
        <v>602</v>
      </c>
      <c r="D643" s="366" t="s">
        <v>603</v>
      </c>
      <c r="E643" s="367"/>
      <c r="F643" s="367">
        <v>200000000</v>
      </c>
      <c r="G643" s="367"/>
      <c r="H643" s="354" t="s">
        <v>239</v>
      </c>
      <c r="I643" s="368" t="s">
        <v>663</v>
      </c>
      <c r="J643" s="363">
        <v>2</v>
      </c>
      <c r="K643" s="363">
        <v>3</v>
      </c>
      <c r="L643" s="363">
        <v>4</v>
      </c>
      <c r="M643" s="342">
        <f t="shared" si="108"/>
        <v>1</v>
      </c>
      <c r="N643" s="343" t="s">
        <v>43</v>
      </c>
      <c r="O643" s="344" t="str">
        <f>IF(ISBLANK(N643),"",VLOOKUP(N643,[22]Parámetros!$G$2:$H$23,2,FALSE))</f>
        <v>Selección abreviada subasta inversa</v>
      </c>
      <c r="P643" s="369">
        <f t="shared" si="114"/>
        <v>1</v>
      </c>
      <c r="Q643" s="346">
        <f t="shared" si="109"/>
        <v>200000000</v>
      </c>
      <c r="R643" s="346">
        <f t="shared" si="110"/>
        <v>200000000</v>
      </c>
      <c r="S643" s="370" t="s">
        <v>223</v>
      </c>
      <c r="T643" s="343">
        <f t="shared" si="115"/>
        <v>0</v>
      </c>
      <c r="U643" s="348" t="str">
        <f t="shared" si="111"/>
        <v>SUBDIRECCION DE GESTION CONTRACTUAL</v>
      </c>
      <c r="V643" s="342" t="str">
        <f t="shared" si="112"/>
        <v>CO-DC</v>
      </c>
      <c r="W643" s="348" t="str">
        <f t="shared" si="113"/>
        <v>Distrito Capital de Bogotá</v>
      </c>
      <c r="X643" s="362" t="s">
        <v>331</v>
      </c>
      <c r="Y643" s="342">
        <v>2427400</v>
      </c>
      <c r="Z643" s="371" t="s">
        <v>94</v>
      </c>
    </row>
    <row r="644" spans="1:85" s="358" customFormat="1" ht="12.75" customHeight="1" x14ac:dyDescent="0.25">
      <c r="A644" s="342" t="s">
        <v>601</v>
      </c>
      <c r="B644" s="338">
        <v>11</v>
      </c>
      <c r="C644" s="339" t="s">
        <v>602</v>
      </c>
      <c r="D644" s="340" t="s">
        <v>603</v>
      </c>
      <c r="E644" s="372"/>
      <c r="F644" s="341">
        <v>80000000</v>
      </c>
      <c r="G644" s="372"/>
      <c r="H644" s="373" t="s">
        <v>786</v>
      </c>
      <c r="I644" s="373" t="s">
        <v>854</v>
      </c>
      <c r="J644" s="338">
        <v>1</v>
      </c>
      <c r="K644" s="338">
        <v>2</v>
      </c>
      <c r="L644" s="338">
        <v>3</v>
      </c>
      <c r="M644" s="342">
        <v>1</v>
      </c>
      <c r="N644" s="343" t="s">
        <v>61</v>
      </c>
      <c r="O644" s="344" t="str">
        <f>IF(ISBLANK(N644),"",VLOOKUP(N644,[20]Parámetros!$G$2:$H$23,2,FALSE))</f>
        <v>Contratación régimen especial - Selección de comisionista</v>
      </c>
      <c r="P644" s="369">
        <v>1</v>
      </c>
      <c r="Q644" s="346">
        <f t="shared" ref="Q644" si="121">+E644+F644+G644</f>
        <v>80000000</v>
      </c>
      <c r="R644" s="346">
        <f t="shared" ref="R644" si="122">+F644</f>
        <v>80000000</v>
      </c>
      <c r="S644" s="370" t="s">
        <v>223</v>
      </c>
      <c r="T644" s="343">
        <v>0</v>
      </c>
      <c r="U644" s="348" t="str">
        <f t="shared" si="111"/>
        <v>SUBDIRECCION DE GESTION CONTRACTUAL</v>
      </c>
      <c r="V644" s="342" t="str">
        <f t="shared" ref="V644" si="123">IF(ISBLANK(N644),"","CO-DC")</f>
        <v>CO-DC</v>
      </c>
      <c r="W644" s="348" t="str">
        <f t="shared" ref="W644" si="124">IF(ISBLANK(N644),"","Distrito Capital de Bogotá")</f>
        <v>Distrito Capital de Bogotá</v>
      </c>
      <c r="X644" s="362" t="s">
        <v>358</v>
      </c>
      <c r="Y644" s="342">
        <v>2427400</v>
      </c>
      <c r="Z644" s="201" t="s">
        <v>75</v>
      </c>
    </row>
    <row r="645" spans="1:85" s="358" customFormat="1" ht="12.75" customHeight="1" x14ac:dyDescent="0.2">
      <c r="A645" s="342" t="s">
        <v>799</v>
      </c>
      <c r="B645" s="342">
        <v>1</v>
      </c>
      <c r="C645" s="366" t="s">
        <v>833</v>
      </c>
      <c r="D645" s="366" t="s">
        <v>800</v>
      </c>
      <c r="E645" s="367"/>
      <c r="F645" s="367">
        <v>81890738</v>
      </c>
      <c r="G645" s="367"/>
      <c r="H645" s="354">
        <v>80111600</v>
      </c>
      <c r="I645" s="368" t="s">
        <v>801</v>
      </c>
      <c r="J645" s="363">
        <v>1</v>
      </c>
      <c r="K645" s="363">
        <v>1</v>
      </c>
      <c r="L645" s="363">
        <v>12</v>
      </c>
      <c r="M645" s="342">
        <v>1</v>
      </c>
      <c r="N645" s="343" t="s">
        <v>216</v>
      </c>
      <c r="O645" s="344" t="str">
        <f>IF(ISBLANK(N645),"",VLOOKUP(N645,[23]Parámetros!$G$2:$H$23,2,FALSE))</f>
        <v>Contratación directa.</v>
      </c>
      <c r="P645" s="369">
        <v>1</v>
      </c>
      <c r="Q645" s="346">
        <f t="shared" si="109"/>
        <v>81890738</v>
      </c>
      <c r="R645" s="346">
        <f t="shared" si="110"/>
        <v>81890738</v>
      </c>
      <c r="S645" s="374">
        <v>0</v>
      </c>
      <c r="T645" s="343">
        <v>0</v>
      </c>
      <c r="U645" s="348" t="str">
        <f>IF(ISBLANK(N645),"","SUBDIRECCION DE GESTION CONTRACTUAL")</f>
        <v>SUBDIRECCION DE GESTION CONTRACTUAL</v>
      </c>
      <c r="V645" s="342" t="str">
        <f>IF(ISBLANK(N645),"","CO-DC")</f>
        <v>CO-DC</v>
      </c>
      <c r="W645" s="348" t="str">
        <f>IF(ISBLANK(N645),"","Distrito Capital de Bogotá")</f>
        <v>Distrito Capital de Bogotá</v>
      </c>
      <c r="X645" s="362" t="s">
        <v>802</v>
      </c>
      <c r="Y645" s="342">
        <v>2427400</v>
      </c>
      <c r="Z645" s="371" t="s">
        <v>803</v>
      </c>
    </row>
    <row r="646" spans="1:85" s="358" customFormat="1" ht="12.75" customHeight="1" x14ac:dyDescent="0.2">
      <c r="A646" s="342" t="s">
        <v>799</v>
      </c>
      <c r="B646" s="342">
        <v>2</v>
      </c>
      <c r="C646" s="366" t="s">
        <v>833</v>
      </c>
      <c r="D646" s="366" t="s">
        <v>804</v>
      </c>
      <c r="E646" s="367"/>
      <c r="F646" s="367">
        <v>54593836</v>
      </c>
      <c r="G646" s="367"/>
      <c r="H646" s="354">
        <v>80111600</v>
      </c>
      <c r="I646" s="368" t="s">
        <v>801</v>
      </c>
      <c r="J646" s="363">
        <v>1</v>
      </c>
      <c r="K646" s="363">
        <v>1</v>
      </c>
      <c r="L646" s="363">
        <v>12</v>
      </c>
      <c r="M646" s="342">
        <v>1</v>
      </c>
      <c r="N646" s="343" t="s">
        <v>216</v>
      </c>
      <c r="O646" s="344" t="str">
        <f>IF(ISBLANK(N646),"",VLOOKUP(N646,[23]Parámetros!$G$2:$H$23,2,FALSE))</f>
        <v>Contratación directa.</v>
      </c>
      <c r="P646" s="369">
        <v>1</v>
      </c>
      <c r="Q646" s="346">
        <f t="shared" si="109"/>
        <v>54593836</v>
      </c>
      <c r="R646" s="346">
        <f t="shared" si="110"/>
        <v>54593836</v>
      </c>
      <c r="S646" s="374">
        <v>0</v>
      </c>
      <c r="T646" s="343">
        <v>0</v>
      </c>
      <c r="U646" s="348" t="str">
        <f t="shared" ref="U646:U704" si="125">IF(ISBLANK(N646),"","SUBDIRECCION DE GESTION CONTRACTUAL")</f>
        <v>SUBDIRECCION DE GESTION CONTRACTUAL</v>
      </c>
      <c r="V646" s="342" t="str">
        <f t="shared" ref="V646:V704" si="126">IF(ISBLANK(N646),"","CO-DC")</f>
        <v>CO-DC</v>
      </c>
      <c r="W646" s="348" t="str">
        <f t="shared" ref="W646:W704" si="127">IF(ISBLANK(N646),"","Distrito Capital de Bogotá")</f>
        <v>Distrito Capital de Bogotá</v>
      </c>
      <c r="X646" s="362" t="s">
        <v>802</v>
      </c>
      <c r="Y646" s="342">
        <v>2427400</v>
      </c>
      <c r="Z646" s="371" t="s">
        <v>803</v>
      </c>
    </row>
    <row r="647" spans="1:85" s="358" customFormat="1" ht="12.75" customHeight="1" x14ac:dyDescent="0.2">
      <c r="A647" s="342" t="s">
        <v>799</v>
      </c>
      <c r="B647" s="342">
        <v>3</v>
      </c>
      <c r="C647" s="366" t="s">
        <v>833</v>
      </c>
      <c r="D647" s="366" t="s">
        <v>805</v>
      </c>
      <c r="E647" s="367"/>
      <c r="F647" s="367">
        <v>81890752</v>
      </c>
      <c r="G647" s="367"/>
      <c r="H647" s="354">
        <v>80111600</v>
      </c>
      <c r="I647" s="368" t="s">
        <v>801</v>
      </c>
      <c r="J647" s="363">
        <v>1</v>
      </c>
      <c r="K647" s="363">
        <v>1</v>
      </c>
      <c r="L647" s="363">
        <v>12</v>
      </c>
      <c r="M647" s="342">
        <v>1</v>
      </c>
      <c r="N647" s="343" t="s">
        <v>216</v>
      </c>
      <c r="O647" s="344" t="str">
        <f>IF(ISBLANK(N647),"",VLOOKUP(N647,[23]Parámetros!$G$2:$H$23,2,FALSE))</f>
        <v>Contratación directa.</v>
      </c>
      <c r="P647" s="369">
        <v>1</v>
      </c>
      <c r="Q647" s="346">
        <f t="shared" si="109"/>
        <v>81890752</v>
      </c>
      <c r="R647" s="346">
        <f t="shared" si="110"/>
        <v>81890752</v>
      </c>
      <c r="S647" s="374">
        <v>0</v>
      </c>
      <c r="T647" s="343">
        <v>0</v>
      </c>
      <c r="U647" s="348" t="str">
        <f t="shared" si="125"/>
        <v>SUBDIRECCION DE GESTION CONTRACTUAL</v>
      </c>
      <c r="V647" s="342" t="str">
        <f t="shared" si="126"/>
        <v>CO-DC</v>
      </c>
      <c r="W647" s="348" t="str">
        <f t="shared" si="127"/>
        <v>Distrito Capital de Bogotá</v>
      </c>
      <c r="X647" s="362" t="s">
        <v>802</v>
      </c>
      <c r="Y647" s="342">
        <v>2427400</v>
      </c>
      <c r="Z647" s="371" t="s">
        <v>803</v>
      </c>
    </row>
    <row r="648" spans="1:85" s="358" customFormat="1" ht="12.75" customHeight="1" x14ac:dyDescent="0.2">
      <c r="A648" s="342" t="s">
        <v>799</v>
      </c>
      <c r="B648" s="342">
        <v>4</v>
      </c>
      <c r="C648" s="366" t="s">
        <v>833</v>
      </c>
      <c r="D648" s="366" t="s">
        <v>806</v>
      </c>
      <c r="E648" s="367"/>
      <c r="F648" s="367">
        <v>54593836</v>
      </c>
      <c r="G648" s="367"/>
      <c r="H648" s="354">
        <v>80111600</v>
      </c>
      <c r="I648" s="368" t="s">
        <v>801</v>
      </c>
      <c r="J648" s="363">
        <v>1</v>
      </c>
      <c r="K648" s="363">
        <v>1</v>
      </c>
      <c r="L648" s="363">
        <v>12</v>
      </c>
      <c r="M648" s="342">
        <v>1</v>
      </c>
      <c r="N648" s="343" t="s">
        <v>216</v>
      </c>
      <c r="O648" s="344" t="str">
        <f>IF(ISBLANK(N648),"",VLOOKUP(N648,[23]Parámetros!$G$2:$H$23,2,FALSE))</f>
        <v>Contratación directa.</v>
      </c>
      <c r="P648" s="369">
        <v>1</v>
      </c>
      <c r="Q648" s="346">
        <f t="shared" si="109"/>
        <v>54593836</v>
      </c>
      <c r="R648" s="346">
        <f t="shared" si="110"/>
        <v>54593836</v>
      </c>
      <c r="S648" s="374">
        <v>0</v>
      </c>
      <c r="T648" s="343">
        <v>0</v>
      </c>
      <c r="U648" s="348" t="str">
        <f t="shared" si="125"/>
        <v>SUBDIRECCION DE GESTION CONTRACTUAL</v>
      </c>
      <c r="V648" s="342" t="str">
        <f t="shared" si="126"/>
        <v>CO-DC</v>
      </c>
      <c r="W648" s="348" t="str">
        <f t="shared" si="127"/>
        <v>Distrito Capital de Bogotá</v>
      </c>
      <c r="X648" s="362" t="s">
        <v>802</v>
      </c>
      <c r="Y648" s="342">
        <v>2427400</v>
      </c>
      <c r="Z648" s="371" t="s">
        <v>803</v>
      </c>
    </row>
    <row r="649" spans="1:85" s="358" customFormat="1" ht="12.75" customHeight="1" x14ac:dyDescent="0.2">
      <c r="A649" s="342" t="s">
        <v>799</v>
      </c>
      <c r="B649" s="342">
        <v>5</v>
      </c>
      <c r="C649" s="366" t="s">
        <v>836</v>
      </c>
      <c r="D649" s="366" t="s">
        <v>807</v>
      </c>
      <c r="E649" s="367"/>
      <c r="F649" s="367">
        <v>130088818</v>
      </c>
      <c r="G649" s="367"/>
      <c r="H649" s="354">
        <v>80111600</v>
      </c>
      <c r="I649" s="368" t="s">
        <v>801</v>
      </c>
      <c r="J649" s="363">
        <v>1</v>
      </c>
      <c r="K649" s="363">
        <v>1</v>
      </c>
      <c r="L649" s="363">
        <v>12</v>
      </c>
      <c r="M649" s="342">
        <v>1</v>
      </c>
      <c r="N649" s="343" t="s">
        <v>216</v>
      </c>
      <c r="O649" s="344" t="str">
        <f>IF(ISBLANK(N649),"",VLOOKUP(N649,[23]Parámetros!$G$2:$H$23,2,FALSE))</f>
        <v>Contratación directa.</v>
      </c>
      <c r="P649" s="369">
        <v>1</v>
      </c>
      <c r="Q649" s="346">
        <f t="shared" si="109"/>
        <v>130088818</v>
      </c>
      <c r="R649" s="346">
        <f t="shared" si="110"/>
        <v>130088818</v>
      </c>
      <c r="S649" s="374">
        <v>0</v>
      </c>
      <c r="T649" s="343">
        <v>0</v>
      </c>
      <c r="U649" s="348" t="str">
        <f t="shared" si="125"/>
        <v>SUBDIRECCION DE GESTION CONTRACTUAL</v>
      </c>
      <c r="V649" s="342" t="str">
        <f t="shared" si="126"/>
        <v>CO-DC</v>
      </c>
      <c r="W649" s="348" t="str">
        <f t="shared" si="127"/>
        <v>Distrito Capital de Bogotá</v>
      </c>
      <c r="X649" s="362" t="s">
        <v>802</v>
      </c>
      <c r="Y649" s="342">
        <v>2427400</v>
      </c>
      <c r="Z649" s="371" t="s">
        <v>803</v>
      </c>
    </row>
    <row r="650" spans="1:85" s="358" customFormat="1" ht="12.75" customHeight="1" x14ac:dyDescent="0.2">
      <c r="A650" s="342" t="s">
        <v>799</v>
      </c>
      <c r="B650" s="342">
        <v>6</v>
      </c>
      <c r="C650" s="366" t="s">
        <v>836</v>
      </c>
      <c r="D650" s="366" t="s">
        <v>808</v>
      </c>
      <c r="E650" s="367"/>
      <c r="F650" s="367">
        <v>86725872</v>
      </c>
      <c r="G650" s="367"/>
      <c r="H650" s="354">
        <v>80111600</v>
      </c>
      <c r="I650" s="368" t="s">
        <v>801</v>
      </c>
      <c r="J650" s="363">
        <v>1</v>
      </c>
      <c r="K650" s="363">
        <v>1</v>
      </c>
      <c r="L650" s="363">
        <v>12</v>
      </c>
      <c r="M650" s="342">
        <v>1</v>
      </c>
      <c r="N650" s="343" t="s">
        <v>216</v>
      </c>
      <c r="O650" s="344" t="str">
        <f>IF(ISBLANK(N650),"",VLOOKUP(N650,[23]Parámetros!$G$2:$H$23,2,FALSE))</f>
        <v>Contratación directa.</v>
      </c>
      <c r="P650" s="369">
        <v>1</v>
      </c>
      <c r="Q650" s="346">
        <f t="shared" si="109"/>
        <v>86725872</v>
      </c>
      <c r="R650" s="346">
        <f t="shared" si="110"/>
        <v>86725872</v>
      </c>
      <c r="S650" s="374">
        <v>0</v>
      </c>
      <c r="T650" s="343">
        <v>0</v>
      </c>
      <c r="U650" s="348" t="str">
        <f t="shared" si="125"/>
        <v>SUBDIRECCION DE GESTION CONTRACTUAL</v>
      </c>
      <c r="V650" s="342" t="str">
        <f t="shared" si="126"/>
        <v>CO-DC</v>
      </c>
      <c r="W650" s="348" t="str">
        <f t="shared" si="127"/>
        <v>Distrito Capital de Bogotá</v>
      </c>
      <c r="X650" s="362" t="s">
        <v>802</v>
      </c>
      <c r="Y650" s="342">
        <v>2427400</v>
      </c>
      <c r="Z650" s="371" t="s">
        <v>803</v>
      </c>
    </row>
    <row r="651" spans="1:85" s="358" customFormat="1" ht="12.75" customHeight="1" x14ac:dyDescent="0.2">
      <c r="A651" s="342" t="s">
        <v>799</v>
      </c>
      <c r="B651" s="342">
        <v>7</v>
      </c>
      <c r="C651" s="366" t="s">
        <v>836</v>
      </c>
      <c r="D651" s="366" t="s">
        <v>809</v>
      </c>
      <c r="E651" s="367"/>
      <c r="F651" s="367">
        <v>130088818</v>
      </c>
      <c r="G651" s="367"/>
      <c r="H651" s="354">
        <v>80111600</v>
      </c>
      <c r="I651" s="368" t="s">
        <v>801</v>
      </c>
      <c r="J651" s="363">
        <v>1</v>
      </c>
      <c r="K651" s="363">
        <v>1</v>
      </c>
      <c r="L651" s="363">
        <v>12</v>
      </c>
      <c r="M651" s="342">
        <v>1</v>
      </c>
      <c r="N651" s="343" t="s">
        <v>216</v>
      </c>
      <c r="O651" s="344" t="str">
        <f>IF(ISBLANK(N651),"",VLOOKUP(N651,[23]Parámetros!$G$2:$H$23,2,FALSE))</f>
        <v>Contratación directa.</v>
      </c>
      <c r="P651" s="369">
        <v>1</v>
      </c>
      <c r="Q651" s="346">
        <f t="shared" si="109"/>
        <v>130088818</v>
      </c>
      <c r="R651" s="346">
        <f t="shared" si="110"/>
        <v>130088818</v>
      </c>
      <c r="S651" s="374">
        <v>0</v>
      </c>
      <c r="T651" s="343">
        <v>0</v>
      </c>
      <c r="U651" s="348" t="str">
        <f t="shared" si="125"/>
        <v>SUBDIRECCION DE GESTION CONTRACTUAL</v>
      </c>
      <c r="V651" s="342" t="str">
        <f t="shared" si="126"/>
        <v>CO-DC</v>
      </c>
      <c r="W651" s="348" t="str">
        <f t="shared" si="127"/>
        <v>Distrito Capital de Bogotá</v>
      </c>
      <c r="X651" s="362" t="s">
        <v>802</v>
      </c>
      <c r="Y651" s="342">
        <v>2427400</v>
      </c>
      <c r="Z651" s="371" t="s">
        <v>803</v>
      </c>
    </row>
    <row r="652" spans="1:85" s="358" customFormat="1" ht="12.75" customHeight="1" x14ac:dyDescent="0.2">
      <c r="A652" s="342" t="s">
        <v>799</v>
      </c>
      <c r="B652" s="342">
        <v>8</v>
      </c>
      <c r="C652" s="366" t="s">
        <v>836</v>
      </c>
      <c r="D652" s="366" t="s">
        <v>810</v>
      </c>
      <c r="E652" s="367"/>
      <c r="F652" s="367">
        <v>86725872</v>
      </c>
      <c r="G652" s="367"/>
      <c r="H652" s="354">
        <v>80111600</v>
      </c>
      <c r="I652" s="368" t="s">
        <v>801</v>
      </c>
      <c r="J652" s="363">
        <v>1</v>
      </c>
      <c r="K652" s="363">
        <v>1</v>
      </c>
      <c r="L652" s="363">
        <v>12</v>
      </c>
      <c r="M652" s="342">
        <v>1</v>
      </c>
      <c r="N652" s="343" t="s">
        <v>216</v>
      </c>
      <c r="O652" s="344" t="str">
        <f>IF(ISBLANK(N652),"",VLOOKUP(N652,[23]Parámetros!$G$2:$H$23,2,FALSE))</f>
        <v>Contratación directa.</v>
      </c>
      <c r="P652" s="369">
        <v>1</v>
      </c>
      <c r="Q652" s="346">
        <f t="shared" si="109"/>
        <v>86725872</v>
      </c>
      <c r="R652" s="346">
        <f t="shared" si="110"/>
        <v>86725872</v>
      </c>
      <c r="S652" s="374">
        <v>0</v>
      </c>
      <c r="T652" s="343">
        <v>0</v>
      </c>
      <c r="U652" s="348" t="str">
        <f t="shared" si="125"/>
        <v>SUBDIRECCION DE GESTION CONTRACTUAL</v>
      </c>
      <c r="V652" s="342" t="str">
        <f t="shared" si="126"/>
        <v>CO-DC</v>
      </c>
      <c r="W652" s="348" t="str">
        <f t="shared" si="127"/>
        <v>Distrito Capital de Bogotá</v>
      </c>
      <c r="X652" s="362" t="s">
        <v>802</v>
      </c>
      <c r="Y652" s="342">
        <v>2427400</v>
      </c>
      <c r="Z652" s="371" t="s">
        <v>803</v>
      </c>
    </row>
    <row r="653" spans="1:85" s="358" customFormat="1" ht="12.75" customHeight="1" x14ac:dyDescent="0.2">
      <c r="A653" s="342" t="s">
        <v>799</v>
      </c>
      <c r="B653" s="342">
        <v>9</v>
      </c>
      <c r="C653" s="366" t="s">
        <v>838</v>
      </c>
      <c r="D653" s="366" t="s">
        <v>811</v>
      </c>
      <c r="E653" s="367"/>
      <c r="F653" s="367">
        <v>28379484</v>
      </c>
      <c r="G653" s="367"/>
      <c r="H653" s="354">
        <v>80111600</v>
      </c>
      <c r="I653" s="368" t="s">
        <v>801</v>
      </c>
      <c r="J653" s="363">
        <v>1</v>
      </c>
      <c r="K653" s="363">
        <v>1</v>
      </c>
      <c r="L653" s="363">
        <v>12</v>
      </c>
      <c r="M653" s="342">
        <v>1</v>
      </c>
      <c r="N653" s="343" t="s">
        <v>216</v>
      </c>
      <c r="O653" s="344" t="str">
        <f>IF(ISBLANK(N653),"",VLOOKUP(N653,[23]Parámetros!$G$2:$H$23,2,FALSE))</f>
        <v>Contratación directa.</v>
      </c>
      <c r="P653" s="369">
        <v>1</v>
      </c>
      <c r="Q653" s="346">
        <f t="shared" si="109"/>
        <v>28379484</v>
      </c>
      <c r="R653" s="346">
        <f t="shared" si="110"/>
        <v>28379484</v>
      </c>
      <c r="S653" s="374">
        <v>0</v>
      </c>
      <c r="T653" s="343">
        <v>0</v>
      </c>
      <c r="U653" s="348" t="str">
        <f t="shared" si="125"/>
        <v>SUBDIRECCION DE GESTION CONTRACTUAL</v>
      </c>
      <c r="V653" s="342" t="str">
        <f t="shared" si="126"/>
        <v>CO-DC</v>
      </c>
      <c r="W653" s="348" t="str">
        <f t="shared" si="127"/>
        <v>Distrito Capital de Bogotá</v>
      </c>
      <c r="X653" s="362" t="s">
        <v>802</v>
      </c>
      <c r="Y653" s="342">
        <v>2427400</v>
      </c>
      <c r="Z653" s="371" t="s">
        <v>803</v>
      </c>
    </row>
    <row r="654" spans="1:85" s="358" customFormat="1" ht="12.75" customHeight="1" x14ac:dyDescent="0.2">
      <c r="A654" s="342" t="s">
        <v>799</v>
      </c>
      <c r="B654" s="342">
        <v>10</v>
      </c>
      <c r="C654" s="366" t="s">
        <v>838</v>
      </c>
      <c r="D654" s="366" t="s">
        <v>812</v>
      </c>
      <c r="E654" s="367"/>
      <c r="F654" s="367">
        <v>18919652</v>
      </c>
      <c r="G654" s="367"/>
      <c r="H654" s="354">
        <v>80111600</v>
      </c>
      <c r="I654" s="368" t="s">
        <v>801</v>
      </c>
      <c r="J654" s="363">
        <v>1</v>
      </c>
      <c r="K654" s="363">
        <v>1</v>
      </c>
      <c r="L654" s="363">
        <v>12</v>
      </c>
      <c r="M654" s="342">
        <v>1</v>
      </c>
      <c r="N654" s="343" t="s">
        <v>216</v>
      </c>
      <c r="O654" s="344" t="str">
        <f>IF(ISBLANK(N654),"",VLOOKUP(N654,[23]Parámetros!$G$2:$H$23,2,FALSE))</f>
        <v>Contratación directa.</v>
      </c>
      <c r="P654" s="369">
        <v>1</v>
      </c>
      <c r="Q654" s="346">
        <f t="shared" si="109"/>
        <v>18919652</v>
      </c>
      <c r="R654" s="346">
        <f t="shared" si="110"/>
        <v>18919652</v>
      </c>
      <c r="S654" s="374">
        <v>0</v>
      </c>
      <c r="T654" s="343">
        <v>0</v>
      </c>
      <c r="U654" s="348" t="str">
        <f t="shared" si="125"/>
        <v>SUBDIRECCION DE GESTION CONTRACTUAL</v>
      </c>
      <c r="V654" s="342" t="str">
        <f t="shared" si="126"/>
        <v>CO-DC</v>
      </c>
      <c r="W654" s="348" t="str">
        <f t="shared" si="127"/>
        <v>Distrito Capital de Bogotá</v>
      </c>
      <c r="X654" s="362" t="s">
        <v>802</v>
      </c>
      <c r="Y654" s="342">
        <v>2427400</v>
      </c>
      <c r="Z654" s="371" t="s">
        <v>803</v>
      </c>
    </row>
    <row r="655" spans="1:85" s="358" customFormat="1" ht="12.75" customHeight="1" x14ac:dyDescent="0.2">
      <c r="A655" s="342" t="s">
        <v>799</v>
      </c>
      <c r="B655" s="342">
        <v>11</v>
      </c>
      <c r="C655" s="366" t="s">
        <v>838</v>
      </c>
      <c r="D655" s="366" t="s">
        <v>813</v>
      </c>
      <c r="E655" s="367"/>
      <c r="F655" s="367">
        <v>28379484</v>
      </c>
      <c r="G655" s="367"/>
      <c r="H655" s="354">
        <v>80111600</v>
      </c>
      <c r="I655" s="368" t="s">
        <v>801</v>
      </c>
      <c r="J655" s="363">
        <v>1</v>
      </c>
      <c r="K655" s="363">
        <v>1</v>
      </c>
      <c r="L655" s="363">
        <v>12</v>
      </c>
      <c r="M655" s="342">
        <v>1</v>
      </c>
      <c r="N655" s="343" t="s">
        <v>216</v>
      </c>
      <c r="O655" s="344" t="str">
        <f>IF(ISBLANK(N655),"",VLOOKUP(N655,[23]Parámetros!$G$2:$H$23,2,FALSE))</f>
        <v>Contratación directa.</v>
      </c>
      <c r="P655" s="369">
        <v>1</v>
      </c>
      <c r="Q655" s="346">
        <f t="shared" si="109"/>
        <v>28379484</v>
      </c>
      <c r="R655" s="346">
        <f t="shared" si="110"/>
        <v>28379484</v>
      </c>
      <c r="S655" s="374">
        <v>0</v>
      </c>
      <c r="T655" s="343">
        <v>0</v>
      </c>
      <c r="U655" s="348" t="str">
        <f t="shared" si="125"/>
        <v>SUBDIRECCION DE GESTION CONTRACTUAL</v>
      </c>
      <c r="V655" s="342" t="str">
        <f t="shared" si="126"/>
        <v>CO-DC</v>
      </c>
      <c r="W655" s="348" t="str">
        <f t="shared" si="127"/>
        <v>Distrito Capital de Bogotá</v>
      </c>
      <c r="X655" s="362" t="s">
        <v>802</v>
      </c>
      <c r="Y655" s="342">
        <v>2427400</v>
      </c>
      <c r="Z655" s="371" t="s">
        <v>803</v>
      </c>
    </row>
    <row r="656" spans="1:85" s="358" customFormat="1" ht="12.75" customHeight="1" x14ac:dyDescent="0.2">
      <c r="A656" s="342" t="s">
        <v>799</v>
      </c>
      <c r="B656" s="342">
        <v>12</v>
      </c>
      <c r="C656" s="366" t="s">
        <v>838</v>
      </c>
      <c r="D656" s="366" t="s">
        <v>814</v>
      </c>
      <c r="E656" s="367"/>
      <c r="F656" s="367">
        <v>18919652</v>
      </c>
      <c r="G656" s="367"/>
      <c r="H656" s="354">
        <v>80111600</v>
      </c>
      <c r="I656" s="368" t="s">
        <v>801</v>
      </c>
      <c r="J656" s="363">
        <v>1</v>
      </c>
      <c r="K656" s="363">
        <v>1</v>
      </c>
      <c r="L656" s="363">
        <v>12</v>
      </c>
      <c r="M656" s="342">
        <v>1</v>
      </c>
      <c r="N656" s="343" t="s">
        <v>216</v>
      </c>
      <c r="O656" s="344" t="str">
        <f>IF(ISBLANK(N656),"",VLOOKUP(N656,[23]Parámetros!$G$2:$H$23,2,FALSE))</f>
        <v>Contratación directa.</v>
      </c>
      <c r="P656" s="369">
        <v>1</v>
      </c>
      <c r="Q656" s="346">
        <f t="shared" si="109"/>
        <v>18919652</v>
      </c>
      <c r="R656" s="346">
        <f t="shared" si="110"/>
        <v>18919652</v>
      </c>
      <c r="S656" s="374">
        <v>0</v>
      </c>
      <c r="T656" s="343">
        <v>0</v>
      </c>
      <c r="U656" s="348" t="str">
        <f t="shared" si="125"/>
        <v>SUBDIRECCION DE GESTION CONTRACTUAL</v>
      </c>
      <c r="V656" s="342" t="str">
        <f t="shared" si="126"/>
        <v>CO-DC</v>
      </c>
      <c r="W656" s="348" t="str">
        <f t="shared" si="127"/>
        <v>Distrito Capital de Bogotá</v>
      </c>
      <c r="X656" s="362" t="s">
        <v>802</v>
      </c>
      <c r="Y656" s="342">
        <v>2427400</v>
      </c>
      <c r="Z656" s="371" t="s">
        <v>803</v>
      </c>
    </row>
    <row r="657" spans="1:26" s="358" customFormat="1" ht="12.75" customHeight="1" x14ac:dyDescent="0.2">
      <c r="A657" s="342" t="s">
        <v>799</v>
      </c>
      <c r="B657" s="342">
        <v>13</v>
      </c>
      <c r="C657" s="366" t="s">
        <v>839</v>
      </c>
      <c r="D657" s="366" t="s">
        <v>815</v>
      </c>
      <c r="E657" s="367"/>
      <c r="F657" s="367">
        <v>12327150</v>
      </c>
      <c r="G657" s="367"/>
      <c r="H657" s="354">
        <v>80111600</v>
      </c>
      <c r="I657" s="368" t="s">
        <v>801</v>
      </c>
      <c r="J657" s="363">
        <v>1</v>
      </c>
      <c r="K657" s="363">
        <v>1</v>
      </c>
      <c r="L657" s="363">
        <v>12</v>
      </c>
      <c r="M657" s="342">
        <v>12</v>
      </c>
      <c r="N657" s="343" t="s">
        <v>216</v>
      </c>
      <c r="O657" s="344" t="str">
        <f>IF(ISBLANK(N657),"",VLOOKUP(N657,[23]Parámetros!$G$2:$H$23,2,FALSE))</f>
        <v>Contratación directa.</v>
      </c>
      <c r="P657" s="369">
        <v>1</v>
      </c>
      <c r="Q657" s="346">
        <f t="shared" si="109"/>
        <v>12327150</v>
      </c>
      <c r="R657" s="346">
        <f t="shared" si="110"/>
        <v>12327150</v>
      </c>
      <c r="S657" s="374">
        <v>0</v>
      </c>
      <c r="T657" s="343">
        <v>0</v>
      </c>
      <c r="U657" s="348" t="str">
        <f t="shared" si="125"/>
        <v>SUBDIRECCION DE GESTION CONTRACTUAL</v>
      </c>
      <c r="V657" s="342" t="str">
        <f t="shared" si="126"/>
        <v>CO-DC</v>
      </c>
      <c r="W657" s="348" t="str">
        <f t="shared" si="127"/>
        <v>Distrito Capital de Bogotá</v>
      </c>
      <c r="X657" s="362" t="s">
        <v>802</v>
      </c>
      <c r="Y657" s="342">
        <v>2427400</v>
      </c>
      <c r="Z657" s="371" t="s">
        <v>803</v>
      </c>
    </row>
    <row r="658" spans="1:26" s="358" customFormat="1" ht="12.75" customHeight="1" x14ac:dyDescent="0.2">
      <c r="A658" s="342" t="s">
        <v>799</v>
      </c>
      <c r="B658" s="342">
        <v>14</v>
      </c>
      <c r="C658" s="366" t="s">
        <v>839</v>
      </c>
      <c r="D658" s="366" t="s">
        <v>816</v>
      </c>
      <c r="E658" s="367"/>
      <c r="F658" s="367">
        <v>40945378</v>
      </c>
      <c r="G658" s="367"/>
      <c r="H658" s="354">
        <v>80111600</v>
      </c>
      <c r="I658" s="368" t="s">
        <v>801</v>
      </c>
      <c r="J658" s="363">
        <v>1</v>
      </c>
      <c r="K658" s="363">
        <v>1</v>
      </c>
      <c r="L658" s="363">
        <v>12</v>
      </c>
      <c r="M658" s="342">
        <v>12</v>
      </c>
      <c r="N658" s="343" t="s">
        <v>216</v>
      </c>
      <c r="O658" s="344" t="str">
        <f>IF(ISBLANK(N658),"",VLOOKUP(N658,[23]Parámetros!$G$2:$H$23,2,FALSE))</f>
        <v>Contratación directa.</v>
      </c>
      <c r="P658" s="369">
        <v>1</v>
      </c>
      <c r="Q658" s="346">
        <f t="shared" si="109"/>
        <v>40945378</v>
      </c>
      <c r="R658" s="346">
        <f t="shared" si="110"/>
        <v>40945378</v>
      </c>
      <c r="S658" s="374">
        <v>0</v>
      </c>
      <c r="T658" s="343">
        <v>0</v>
      </c>
      <c r="U658" s="348" t="str">
        <f t="shared" si="125"/>
        <v>SUBDIRECCION DE GESTION CONTRACTUAL</v>
      </c>
      <c r="V658" s="342" t="str">
        <f t="shared" si="126"/>
        <v>CO-DC</v>
      </c>
      <c r="W658" s="348" t="str">
        <f t="shared" si="127"/>
        <v>Distrito Capital de Bogotá</v>
      </c>
      <c r="X658" s="362" t="s">
        <v>802</v>
      </c>
      <c r="Y658" s="342">
        <v>2427400</v>
      </c>
      <c r="Z658" s="371" t="s">
        <v>803</v>
      </c>
    </row>
    <row r="659" spans="1:26" s="358" customFormat="1" ht="12.75" customHeight="1" x14ac:dyDescent="0.2">
      <c r="A659" s="342" t="s">
        <v>799</v>
      </c>
      <c r="B659" s="342">
        <v>15</v>
      </c>
      <c r="C659" s="366" t="s">
        <v>839</v>
      </c>
      <c r="D659" s="366" t="s">
        <v>817</v>
      </c>
      <c r="E659" s="367"/>
      <c r="F659" s="367">
        <v>49927238</v>
      </c>
      <c r="G659" s="367"/>
      <c r="H659" s="354">
        <v>80111600</v>
      </c>
      <c r="I659" s="368" t="s">
        <v>801</v>
      </c>
      <c r="J659" s="363">
        <v>1</v>
      </c>
      <c r="K659" s="363">
        <v>1</v>
      </c>
      <c r="L659" s="363">
        <v>12</v>
      </c>
      <c r="M659" s="342">
        <v>12</v>
      </c>
      <c r="N659" s="343" t="s">
        <v>216</v>
      </c>
      <c r="O659" s="344" t="str">
        <f>IF(ISBLANK(N659),"",VLOOKUP(N659,[23]Parámetros!$G$2:$H$23,2,FALSE))</f>
        <v>Contratación directa.</v>
      </c>
      <c r="P659" s="369">
        <v>1</v>
      </c>
      <c r="Q659" s="346">
        <f t="shared" si="109"/>
        <v>49927238</v>
      </c>
      <c r="R659" s="346">
        <f t="shared" si="110"/>
        <v>49927238</v>
      </c>
      <c r="S659" s="374">
        <v>0</v>
      </c>
      <c r="T659" s="343">
        <v>0</v>
      </c>
      <c r="U659" s="348" t="str">
        <f t="shared" si="125"/>
        <v>SUBDIRECCION DE GESTION CONTRACTUAL</v>
      </c>
      <c r="V659" s="342" t="str">
        <f t="shared" si="126"/>
        <v>CO-DC</v>
      </c>
      <c r="W659" s="348" t="str">
        <f t="shared" si="127"/>
        <v>Distrito Capital de Bogotá</v>
      </c>
      <c r="X659" s="362" t="s">
        <v>802</v>
      </c>
      <c r="Y659" s="342">
        <v>2427400</v>
      </c>
      <c r="Z659" s="371" t="s">
        <v>803</v>
      </c>
    </row>
    <row r="660" spans="1:26" s="358" customFormat="1" ht="12.75" customHeight="1" x14ac:dyDescent="0.2">
      <c r="A660" s="342" t="s">
        <v>799</v>
      </c>
      <c r="B660" s="342">
        <v>16</v>
      </c>
      <c r="C660" s="366" t="s">
        <v>839</v>
      </c>
      <c r="D660" s="366" t="s">
        <v>818</v>
      </c>
      <c r="E660" s="367"/>
      <c r="F660" s="367">
        <v>8218102</v>
      </c>
      <c r="G660" s="367"/>
      <c r="H660" s="354">
        <v>80111600</v>
      </c>
      <c r="I660" s="368" t="s">
        <v>801</v>
      </c>
      <c r="J660" s="363">
        <v>1</v>
      </c>
      <c r="K660" s="363">
        <v>1</v>
      </c>
      <c r="L660" s="363">
        <v>12</v>
      </c>
      <c r="M660" s="342">
        <v>12</v>
      </c>
      <c r="N660" s="343" t="s">
        <v>216</v>
      </c>
      <c r="O660" s="344" t="str">
        <f>IF(ISBLANK(N660),"",VLOOKUP(N660,[23]Parámetros!$G$2:$H$23,2,FALSE))</f>
        <v>Contratación directa.</v>
      </c>
      <c r="P660" s="369">
        <v>1</v>
      </c>
      <c r="Q660" s="346">
        <f t="shared" si="109"/>
        <v>8218102</v>
      </c>
      <c r="R660" s="346">
        <f t="shared" si="110"/>
        <v>8218102</v>
      </c>
      <c r="S660" s="374">
        <v>0</v>
      </c>
      <c r="T660" s="343">
        <v>0</v>
      </c>
      <c r="U660" s="348" t="str">
        <f t="shared" si="125"/>
        <v>SUBDIRECCION DE GESTION CONTRACTUAL</v>
      </c>
      <c r="V660" s="342" t="str">
        <f t="shared" si="126"/>
        <v>CO-DC</v>
      </c>
      <c r="W660" s="348" t="str">
        <f t="shared" si="127"/>
        <v>Distrito Capital de Bogotá</v>
      </c>
      <c r="X660" s="362" t="s">
        <v>802</v>
      </c>
      <c r="Y660" s="342">
        <v>2427400</v>
      </c>
      <c r="Z660" s="371" t="s">
        <v>803</v>
      </c>
    </row>
    <row r="661" spans="1:26" s="358" customFormat="1" ht="12.75" customHeight="1" x14ac:dyDescent="0.2">
      <c r="A661" s="342" t="s">
        <v>799</v>
      </c>
      <c r="B661" s="342">
        <v>17</v>
      </c>
      <c r="C661" s="366" t="s">
        <v>839</v>
      </c>
      <c r="D661" s="366" t="s">
        <v>819</v>
      </c>
      <c r="E661" s="367"/>
      <c r="F661" s="367">
        <v>27296919</v>
      </c>
      <c r="G661" s="367"/>
      <c r="H661" s="354">
        <v>80111600</v>
      </c>
      <c r="I661" s="368" t="s">
        <v>801</v>
      </c>
      <c r="J661" s="363">
        <v>1</v>
      </c>
      <c r="K661" s="363">
        <v>1</v>
      </c>
      <c r="L661" s="363">
        <v>12</v>
      </c>
      <c r="M661" s="342">
        <v>12</v>
      </c>
      <c r="N661" s="343" t="s">
        <v>216</v>
      </c>
      <c r="O661" s="344" t="str">
        <f>IF(ISBLANK(N661),"",VLOOKUP(N661,[23]Parámetros!$G$2:$H$23,2,FALSE))</f>
        <v>Contratación directa.</v>
      </c>
      <c r="P661" s="369">
        <v>1</v>
      </c>
      <c r="Q661" s="346">
        <f t="shared" si="109"/>
        <v>27296919</v>
      </c>
      <c r="R661" s="346">
        <f t="shared" si="110"/>
        <v>27296919</v>
      </c>
      <c r="S661" s="374">
        <v>0</v>
      </c>
      <c r="T661" s="343">
        <v>0</v>
      </c>
      <c r="U661" s="348" t="str">
        <f t="shared" si="125"/>
        <v>SUBDIRECCION DE GESTION CONTRACTUAL</v>
      </c>
      <c r="V661" s="342" t="str">
        <f t="shared" si="126"/>
        <v>CO-DC</v>
      </c>
      <c r="W661" s="348" t="str">
        <f t="shared" si="127"/>
        <v>Distrito Capital de Bogotá</v>
      </c>
      <c r="X661" s="362" t="s">
        <v>802</v>
      </c>
      <c r="Y661" s="342">
        <v>2427400</v>
      </c>
      <c r="Z661" s="371" t="s">
        <v>803</v>
      </c>
    </row>
    <row r="662" spans="1:26" s="358" customFormat="1" ht="12.75" customHeight="1" x14ac:dyDescent="0.2">
      <c r="A662" s="342" t="s">
        <v>799</v>
      </c>
      <c r="B662" s="342">
        <v>18</v>
      </c>
      <c r="C662" s="366" t="s">
        <v>839</v>
      </c>
      <c r="D662" s="366" t="s">
        <v>820</v>
      </c>
      <c r="E662" s="367"/>
      <c r="F662" s="367">
        <v>33284820</v>
      </c>
      <c r="G662" s="367"/>
      <c r="H662" s="354">
        <v>80111600</v>
      </c>
      <c r="I662" s="368" t="s">
        <v>801</v>
      </c>
      <c r="J662" s="363">
        <v>1</v>
      </c>
      <c r="K662" s="363">
        <v>1</v>
      </c>
      <c r="L662" s="363">
        <v>12</v>
      </c>
      <c r="M662" s="342">
        <v>12</v>
      </c>
      <c r="N662" s="343" t="s">
        <v>216</v>
      </c>
      <c r="O662" s="344" t="str">
        <f>IF(ISBLANK(N662),"",VLOOKUP(N662,[23]Parámetros!$G$2:$H$23,2,FALSE))</f>
        <v>Contratación directa.</v>
      </c>
      <c r="P662" s="369">
        <v>1</v>
      </c>
      <c r="Q662" s="346">
        <f t="shared" si="109"/>
        <v>33284820</v>
      </c>
      <c r="R662" s="346">
        <f t="shared" si="110"/>
        <v>33284820</v>
      </c>
      <c r="S662" s="374">
        <v>0</v>
      </c>
      <c r="T662" s="343">
        <v>0</v>
      </c>
      <c r="U662" s="348" t="str">
        <f t="shared" si="125"/>
        <v>SUBDIRECCION DE GESTION CONTRACTUAL</v>
      </c>
      <c r="V662" s="342" t="str">
        <f t="shared" si="126"/>
        <v>CO-DC</v>
      </c>
      <c r="W662" s="348" t="str">
        <f t="shared" si="127"/>
        <v>Distrito Capital de Bogotá</v>
      </c>
      <c r="X662" s="362" t="s">
        <v>802</v>
      </c>
      <c r="Y662" s="342">
        <v>2427400</v>
      </c>
      <c r="Z662" s="371" t="s">
        <v>803</v>
      </c>
    </row>
    <row r="663" spans="1:26" s="358" customFormat="1" ht="12.75" customHeight="1" x14ac:dyDescent="0.2">
      <c r="A663" s="342" t="s">
        <v>799</v>
      </c>
      <c r="B663" s="342">
        <v>19</v>
      </c>
      <c r="C663" s="366" t="s">
        <v>839</v>
      </c>
      <c r="D663" s="366" t="s">
        <v>821</v>
      </c>
      <c r="E663" s="367"/>
      <c r="F663" s="367">
        <v>12327150</v>
      </c>
      <c r="G663" s="367"/>
      <c r="H663" s="354">
        <v>80111600</v>
      </c>
      <c r="I663" s="368" t="s">
        <v>801</v>
      </c>
      <c r="J663" s="363">
        <v>1</v>
      </c>
      <c r="K663" s="363">
        <v>1</v>
      </c>
      <c r="L663" s="363">
        <v>12</v>
      </c>
      <c r="M663" s="342">
        <v>12</v>
      </c>
      <c r="N663" s="343" t="s">
        <v>216</v>
      </c>
      <c r="O663" s="344" t="str">
        <f>IF(ISBLANK(N663),"",VLOOKUP(N663,[23]Parámetros!$G$2:$H$23,2,FALSE))</f>
        <v>Contratación directa.</v>
      </c>
      <c r="P663" s="369">
        <v>1</v>
      </c>
      <c r="Q663" s="346">
        <f t="shared" si="109"/>
        <v>12327150</v>
      </c>
      <c r="R663" s="346">
        <f t="shared" si="110"/>
        <v>12327150</v>
      </c>
      <c r="S663" s="374">
        <v>0</v>
      </c>
      <c r="T663" s="343">
        <v>0</v>
      </c>
      <c r="U663" s="348" t="str">
        <f t="shared" si="125"/>
        <v>SUBDIRECCION DE GESTION CONTRACTUAL</v>
      </c>
      <c r="V663" s="342" t="str">
        <f t="shared" si="126"/>
        <v>CO-DC</v>
      </c>
      <c r="W663" s="348" t="str">
        <f t="shared" si="127"/>
        <v>Distrito Capital de Bogotá</v>
      </c>
      <c r="X663" s="362" t="s">
        <v>802</v>
      </c>
      <c r="Y663" s="342">
        <v>2427400</v>
      </c>
      <c r="Z663" s="371" t="s">
        <v>803</v>
      </c>
    </row>
    <row r="664" spans="1:26" s="358" customFormat="1" ht="12.75" customHeight="1" x14ac:dyDescent="0.2">
      <c r="A664" s="342" t="s">
        <v>799</v>
      </c>
      <c r="B664" s="342">
        <v>20</v>
      </c>
      <c r="C664" s="366" t="s">
        <v>839</v>
      </c>
      <c r="D664" s="366" t="s">
        <v>822</v>
      </c>
      <c r="E664" s="367"/>
      <c r="F664" s="367">
        <v>40945375</v>
      </c>
      <c r="G664" s="367"/>
      <c r="H664" s="354">
        <v>80111600</v>
      </c>
      <c r="I664" s="368" t="s">
        <v>801</v>
      </c>
      <c r="J664" s="363">
        <v>1</v>
      </c>
      <c r="K664" s="363">
        <v>1</v>
      </c>
      <c r="L664" s="363">
        <v>12</v>
      </c>
      <c r="M664" s="342">
        <v>12</v>
      </c>
      <c r="N664" s="343" t="s">
        <v>216</v>
      </c>
      <c r="O664" s="344" t="str">
        <f>IF(ISBLANK(N664),"",VLOOKUP(N664,[23]Parámetros!$G$2:$H$23,2,FALSE))</f>
        <v>Contratación directa.</v>
      </c>
      <c r="P664" s="369">
        <v>1</v>
      </c>
      <c r="Q664" s="346">
        <f t="shared" si="109"/>
        <v>40945375</v>
      </c>
      <c r="R664" s="346">
        <f t="shared" si="110"/>
        <v>40945375</v>
      </c>
      <c r="S664" s="374">
        <v>0</v>
      </c>
      <c r="T664" s="343">
        <v>0</v>
      </c>
      <c r="U664" s="348" t="str">
        <f t="shared" si="125"/>
        <v>SUBDIRECCION DE GESTION CONTRACTUAL</v>
      </c>
      <c r="V664" s="342" t="str">
        <f t="shared" si="126"/>
        <v>CO-DC</v>
      </c>
      <c r="W664" s="348" t="str">
        <f t="shared" si="127"/>
        <v>Distrito Capital de Bogotá</v>
      </c>
      <c r="X664" s="362" t="s">
        <v>802</v>
      </c>
      <c r="Y664" s="342">
        <v>2427400</v>
      </c>
      <c r="Z664" s="371" t="s">
        <v>803</v>
      </c>
    </row>
    <row r="665" spans="1:26" s="358" customFormat="1" ht="12.75" customHeight="1" x14ac:dyDescent="0.2">
      <c r="A665" s="342" t="s">
        <v>799</v>
      </c>
      <c r="B665" s="342">
        <v>21</v>
      </c>
      <c r="C665" s="366" t="s">
        <v>839</v>
      </c>
      <c r="D665" s="366" t="s">
        <v>823</v>
      </c>
      <c r="E665" s="367"/>
      <c r="F665" s="367">
        <v>49927238</v>
      </c>
      <c r="G665" s="367"/>
      <c r="H665" s="354">
        <v>80111600</v>
      </c>
      <c r="I665" s="368" t="s">
        <v>801</v>
      </c>
      <c r="J665" s="363">
        <v>1</v>
      </c>
      <c r="K665" s="363">
        <v>1</v>
      </c>
      <c r="L665" s="363">
        <v>12</v>
      </c>
      <c r="M665" s="342">
        <v>12</v>
      </c>
      <c r="N665" s="343" t="s">
        <v>216</v>
      </c>
      <c r="O665" s="344" t="str">
        <f>IF(ISBLANK(N665),"",VLOOKUP(N665,[23]Parámetros!$G$2:$H$23,2,FALSE))</f>
        <v>Contratación directa.</v>
      </c>
      <c r="P665" s="369">
        <v>1</v>
      </c>
      <c r="Q665" s="346">
        <f t="shared" si="109"/>
        <v>49927238</v>
      </c>
      <c r="R665" s="346">
        <f t="shared" si="110"/>
        <v>49927238</v>
      </c>
      <c r="S665" s="374">
        <v>0</v>
      </c>
      <c r="T665" s="343">
        <v>0</v>
      </c>
      <c r="U665" s="348" t="str">
        <f t="shared" si="125"/>
        <v>SUBDIRECCION DE GESTION CONTRACTUAL</v>
      </c>
      <c r="V665" s="342" t="str">
        <f t="shared" si="126"/>
        <v>CO-DC</v>
      </c>
      <c r="W665" s="348" t="str">
        <f t="shared" si="127"/>
        <v>Distrito Capital de Bogotá</v>
      </c>
      <c r="X665" s="362" t="s">
        <v>802</v>
      </c>
      <c r="Y665" s="342">
        <v>2427400</v>
      </c>
      <c r="Z665" s="371" t="s">
        <v>803</v>
      </c>
    </row>
    <row r="666" spans="1:26" s="358" customFormat="1" ht="12.75" customHeight="1" x14ac:dyDescent="0.2">
      <c r="A666" s="342" t="s">
        <v>799</v>
      </c>
      <c r="B666" s="342">
        <v>22</v>
      </c>
      <c r="C666" s="366" t="s">
        <v>839</v>
      </c>
      <c r="D666" s="366" t="s">
        <v>824</v>
      </c>
      <c r="E666" s="367"/>
      <c r="F666" s="367">
        <v>8218102</v>
      </c>
      <c r="G666" s="367"/>
      <c r="H666" s="354">
        <v>80111600</v>
      </c>
      <c r="I666" s="368" t="s">
        <v>801</v>
      </c>
      <c r="J666" s="363">
        <v>1</v>
      </c>
      <c r="K666" s="363">
        <v>1</v>
      </c>
      <c r="L666" s="363">
        <v>12</v>
      </c>
      <c r="M666" s="342">
        <v>12</v>
      </c>
      <c r="N666" s="343" t="s">
        <v>216</v>
      </c>
      <c r="O666" s="344" t="str">
        <f>IF(ISBLANK(N666),"",VLOOKUP(N666,[23]Parámetros!$G$2:$H$23,2,FALSE))</f>
        <v>Contratación directa.</v>
      </c>
      <c r="P666" s="369">
        <v>1</v>
      </c>
      <c r="Q666" s="346">
        <f t="shared" ref="Q666:Q704" si="128">+E666+F666+G666</f>
        <v>8218102</v>
      </c>
      <c r="R666" s="346">
        <f t="shared" ref="R666:R704" si="129">+F666</f>
        <v>8218102</v>
      </c>
      <c r="S666" s="374">
        <v>0</v>
      </c>
      <c r="T666" s="343">
        <v>0</v>
      </c>
      <c r="U666" s="348" t="str">
        <f t="shared" si="125"/>
        <v>SUBDIRECCION DE GESTION CONTRACTUAL</v>
      </c>
      <c r="V666" s="342" t="str">
        <f t="shared" si="126"/>
        <v>CO-DC</v>
      </c>
      <c r="W666" s="348" t="str">
        <f t="shared" si="127"/>
        <v>Distrito Capital de Bogotá</v>
      </c>
      <c r="X666" s="362" t="s">
        <v>802</v>
      </c>
      <c r="Y666" s="342">
        <v>2427400</v>
      </c>
      <c r="Z666" s="371" t="s">
        <v>803</v>
      </c>
    </row>
    <row r="667" spans="1:26" s="358" customFormat="1" ht="12.75" customHeight="1" x14ac:dyDescent="0.2">
      <c r="A667" s="342" t="s">
        <v>799</v>
      </c>
      <c r="B667" s="342">
        <v>23</v>
      </c>
      <c r="C667" s="366" t="s">
        <v>839</v>
      </c>
      <c r="D667" s="366" t="s">
        <v>825</v>
      </c>
      <c r="E667" s="367"/>
      <c r="F667" s="367">
        <v>27296919</v>
      </c>
      <c r="G667" s="367"/>
      <c r="H667" s="354">
        <v>80111600</v>
      </c>
      <c r="I667" s="368" t="s">
        <v>801</v>
      </c>
      <c r="J667" s="363">
        <v>1</v>
      </c>
      <c r="K667" s="363">
        <v>1</v>
      </c>
      <c r="L667" s="363">
        <v>12</v>
      </c>
      <c r="M667" s="342">
        <v>12</v>
      </c>
      <c r="N667" s="343" t="s">
        <v>216</v>
      </c>
      <c r="O667" s="344" t="str">
        <f>IF(ISBLANK(N667),"",VLOOKUP(N667,[23]Parámetros!$G$2:$H$23,2,FALSE))</f>
        <v>Contratación directa.</v>
      </c>
      <c r="P667" s="369">
        <v>1</v>
      </c>
      <c r="Q667" s="346">
        <f t="shared" si="128"/>
        <v>27296919</v>
      </c>
      <c r="R667" s="346">
        <f t="shared" si="129"/>
        <v>27296919</v>
      </c>
      <c r="S667" s="374">
        <v>0</v>
      </c>
      <c r="T667" s="343">
        <v>0</v>
      </c>
      <c r="U667" s="348" t="str">
        <f t="shared" si="125"/>
        <v>SUBDIRECCION DE GESTION CONTRACTUAL</v>
      </c>
      <c r="V667" s="342" t="str">
        <f t="shared" si="126"/>
        <v>CO-DC</v>
      </c>
      <c r="W667" s="348" t="str">
        <f t="shared" si="127"/>
        <v>Distrito Capital de Bogotá</v>
      </c>
      <c r="X667" s="362" t="s">
        <v>802</v>
      </c>
      <c r="Y667" s="342">
        <v>2427400</v>
      </c>
      <c r="Z667" s="371" t="s">
        <v>803</v>
      </c>
    </row>
    <row r="668" spans="1:26" s="358" customFormat="1" ht="12.75" customHeight="1" x14ac:dyDescent="0.2">
      <c r="A668" s="342" t="s">
        <v>799</v>
      </c>
      <c r="B668" s="342">
        <v>24</v>
      </c>
      <c r="C668" s="366" t="s">
        <v>839</v>
      </c>
      <c r="D668" s="366" t="s">
        <v>826</v>
      </c>
      <c r="E668" s="367"/>
      <c r="F668" s="367">
        <v>33284820</v>
      </c>
      <c r="G668" s="367"/>
      <c r="H668" s="354">
        <v>80111600</v>
      </c>
      <c r="I668" s="368" t="s">
        <v>801</v>
      </c>
      <c r="J668" s="363">
        <v>1</v>
      </c>
      <c r="K668" s="363">
        <v>1</v>
      </c>
      <c r="L668" s="363">
        <v>12</v>
      </c>
      <c r="M668" s="342">
        <v>12</v>
      </c>
      <c r="N668" s="343" t="s">
        <v>216</v>
      </c>
      <c r="O668" s="344" t="str">
        <f>IF(ISBLANK(N668),"",VLOOKUP(N668,[23]Parámetros!$G$2:$H$23,2,FALSE))</f>
        <v>Contratación directa.</v>
      </c>
      <c r="P668" s="369">
        <v>1</v>
      </c>
      <c r="Q668" s="346">
        <f t="shared" si="128"/>
        <v>33284820</v>
      </c>
      <c r="R668" s="346">
        <f t="shared" si="129"/>
        <v>33284820</v>
      </c>
      <c r="S668" s="374">
        <v>0</v>
      </c>
      <c r="T668" s="343">
        <v>0</v>
      </c>
      <c r="U668" s="348" t="str">
        <f t="shared" si="125"/>
        <v>SUBDIRECCION DE GESTION CONTRACTUAL</v>
      </c>
      <c r="V668" s="342" t="str">
        <f t="shared" si="126"/>
        <v>CO-DC</v>
      </c>
      <c r="W668" s="348" t="str">
        <f t="shared" si="127"/>
        <v>Distrito Capital de Bogotá</v>
      </c>
      <c r="X668" s="362" t="s">
        <v>802</v>
      </c>
      <c r="Y668" s="342">
        <v>2427400</v>
      </c>
      <c r="Z668" s="371" t="s">
        <v>803</v>
      </c>
    </row>
    <row r="669" spans="1:26" s="358" customFormat="1" ht="12.75" customHeight="1" x14ac:dyDescent="0.2">
      <c r="A669" s="342" t="s">
        <v>799</v>
      </c>
      <c r="B669" s="342">
        <v>25</v>
      </c>
      <c r="C669" s="366" t="s">
        <v>840</v>
      </c>
      <c r="D669" s="366" t="s">
        <v>816</v>
      </c>
      <c r="E669" s="367"/>
      <c r="F669" s="367">
        <v>57236447</v>
      </c>
      <c r="G669" s="367"/>
      <c r="H669" s="354">
        <v>80111600</v>
      </c>
      <c r="I669" s="368" t="s">
        <v>801</v>
      </c>
      <c r="J669" s="363">
        <v>1</v>
      </c>
      <c r="K669" s="363">
        <v>1</v>
      </c>
      <c r="L669" s="363">
        <v>12</v>
      </c>
      <c r="M669" s="342">
        <v>1</v>
      </c>
      <c r="N669" s="343" t="s">
        <v>216</v>
      </c>
      <c r="O669" s="344" t="str">
        <f>IF(ISBLANK(N669),"",VLOOKUP(N669,[23]Parámetros!$G$2:$H$23,2,FALSE))</f>
        <v>Contratación directa.</v>
      </c>
      <c r="P669" s="369">
        <v>1</v>
      </c>
      <c r="Q669" s="346">
        <f t="shared" si="128"/>
        <v>57236447</v>
      </c>
      <c r="R669" s="346">
        <f t="shared" si="129"/>
        <v>57236447</v>
      </c>
      <c r="S669" s="374">
        <v>0</v>
      </c>
      <c r="T669" s="343">
        <v>0</v>
      </c>
      <c r="U669" s="348" t="str">
        <f t="shared" si="125"/>
        <v>SUBDIRECCION DE GESTION CONTRACTUAL</v>
      </c>
      <c r="V669" s="342" t="str">
        <f t="shared" si="126"/>
        <v>CO-DC</v>
      </c>
      <c r="W669" s="348" t="str">
        <f t="shared" si="127"/>
        <v>Distrito Capital de Bogotá</v>
      </c>
      <c r="X669" s="362" t="s">
        <v>802</v>
      </c>
      <c r="Y669" s="342">
        <v>2427400</v>
      </c>
      <c r="Z669" s="371" t="s">
        <v>803</v>
      </c>
    </row>
    <row r="670" spans="1:26" s="358" customFormat="1" ht="12.75" customHeight="1" x14ac:dyDescent="0.2">
      <c r="A670" s="342" t="s">
        <v>799</v>
      </c>
      <c r="B670" s="342">
        <v>26</v>
      </c>
      <c r="C670" s="366" t="s">
        <v>840</v>
      </c>
      <c r="D670" s="366" t="s">
        <v>819</v>
      </c>
      <c r="E670" s="367"/>
      <c r="F670" s="367">
        <v>38157629</v>
      </c>
      <c r="G670" s="367"/>
      <c r="H670" s="354">
        <v>80111600</v>
      </c>
      <c r="I670" s="368" t="s">
        <v>801</v>
      </c>
      <c r="J670" s="363">
        <v>1</v>
      </c>
      <c r="K670" s="363">
        <v>1</v>
      </c>
      <c r="L670" s="363">
        <v>12</v>
      </c>
      <c r="M670" s="342">
        <v>1</v>
      </c>
      <c r="N670" s="343" t="s">
        <v>216</v>
      </c>
      <c r="O670" s="344" t="str">
        <f>IF(ISBLANK(N670),"",VLOOKUP(N670,[23]Parámetros!$G$2:$H$23,2,FALSE))</f>
        <v>Contratación directa.</v>
      </c>
      <c r="P670" s="369">
        <v>1</v>
      </c>
      <c r="Q670" s="346">
        <f t="shared" si="128"/>
        <v>38157629</v>
      </c>
      <c r="R670" s="346">
        <f t="shared" si="129"/>
        <v>38157629</v>
      </c>
      <c r="S670" s="374">
        <v>0</v>
      </c>
      <c r="T670" s="343">
        <v>0</v>
      </c>
      <c r="U670" s="348" t="str">
        <f t="shared" si="125"/>
        <v>SUBDIRECCION DE GESTION CONTRACTUAL</v>
      </c>
      <c r="V670" s="342" t="str">
        <f t="shared" si="126"/>
        <v>CO-DC</v>
      </c>
      <c r="W670" s="348" t="str">
        <f t="shared" si="127"/>
        <v>Distrito Capital de Bogotá</v>
      </c>
      <c r="X670" s="362" t="s">
        <v>802</v>
      </c>
      <c r="Y670" s="342">
        <v>2427400</v>
      </c>
      <c r="Z670" s="371" t="s">
        <v>803</v>
      </c>
    </row>
    <row r="671" spans="1:26" s="358" customFormat="1" ht="12.75" customHeight="1" x14ac:dyDescent="0.2">
      <c r="A671" s="342" t="s">
        <v>799</v>
      </c>
      <c r="B671" s="342">
        <v>27</v>
      </c>
      <c r="C671" s="366" t="s">
        <v>840</v>
      </c>
      <c r="D671" s="366" t="s">
        <v>822</v>
      </c>
      <c r="E671" s="367"/>
      <c r="F671" s="367">
        <v>57236447</v>
      </c>
      <c r="G671" s="367"/>
      <c r="H671" s="354">
        <v>80111600</v>
      </c>
      <c r="I671" s="368" t="s">
        <v>801</v>
      </c>
      <c r="J671" s="363">
        <v>1</v>
      </c>
      <c r="K671" s="363">
        <v>1</v>
      </c>
      <c r="L671" s="363">
        <v>12</v>
      </c>
      <c r="M671" s="342">
        <v>1</v>
      </c>
      <c r="N671" s="343" t="s">
        <v>216</v>
      </c>
      <c r="O671" s="344" t="str">
        <f>IF(ISBLANK(N671),"",VLOOKUP(N671,[23]Parámetros!$G$2:$H$23,2,FALSE))</f>
        <v>Contratación directa.</v>
      </c>
      <c r="P671" s="369">
        <v>1</v>
      </c>
      <c r="Q671" s="346">
        <f t="shared" si="128"/>
        <v>57236447</v>
      </c>
      <c r="R671" s="346">
        <f t="shared" si="129"/>
        <v>57236447</v>
      </c>
      <c r="S671" s="374">
        <v>0</v>
      </c>
      <c r="T671" s="343">
        <v>0</v>
      </c>
      <c r="U671" s="348" t="str">
        <f t="shared" si="125"/>
        <v>SUBDIRECCION DE GESTION CONTRACTUAL</v>
      </c>
      <c r="V671" s="342" t="str">
        <f t="shared" si="126"/>
        <v>CO-DC</v>
      </c>
      <c r="W671" s="348" t="str">
        <f t="shared" si="127"/>
        <v>Distrito Capital de Bogotá</v>
      </c>
      <c r="X671" s="362" t="s">
        <v>802</v>
      </c>
      <c r="Y671" s="342">
        <v>2427400</v>
      </c>
      <c r="Z671" s="371" t="s">
        <v>803</v>
      </c>
    </row>
    <row r="672" spans="1:26" s="358" customFormat="1" ht="12.75" customHeight="1" x14ac:dyDescent="0.2">
      <c r="A672" s="342" t="s">
        <v>799</v>
      </c>
      <c r="B672" s="342">
        <v>28</v>
      </c>
      <c r="C672" s="366" t="s">
        <v>840</v>
      </c>
      <c r="D672" s="366" t="s">
        <v>825</v>
      </c>
      <c r="E672" s="367"/>
      <c r="F672" s="367">
        <v>38157629</v>
      </c>
      <c r="G672" s="367"/>
      <c r="H672" s="354">
        <v>80111600</v>
      </c>
      <c r="I672" s="368" t="s">
        <v>801</v>
      </c>
      <c r="J672" s="363">
        <v>1</v>
      </c>
      <c r="K672" s="363">
        <v>1</v>
      </c>
      <c r="L672" s="363">
        <v>12</v>
      </c>
      <c r="M672" s="342">
        <v>1</v>
      </c>
      <c r="N672" s="343" t="s">
        <v>216</v>
      </c>
      <c r="O672" s="344" t="str">
        <f>IF(ISBLANK(N672),"",VLOOKUP(N672,[23]Parámetros!$G$2:$H$23,2,FALSE))</f>
        <v>Contratación directa.</v>
      </c>
      <c r="P672" s="369">
        <v>1</v>
      </c>
      <c r="Q672" s="346">
        <f t="shared" si="128"/>
        <v>38157629</v>
      </c>
      <c r="R672" s="346">
        <f t="shared" si="129"/>
        <v>38157629</v>
      </c>
      <c r="S672" s="374">
        <v>0</v>
      </c>
      <c r="T672" s="343">
        <v>0</v>
      </c>
      <c r="U672" s="348" t="str">
        <f t="shared" si="125"/>
        <v>SUBDIRECCION DE GESTION CONTRACTUAL</v>
      </c>
      <c r="V672" s="342" t="str">
        <f t="shared" si="126"/>
        <v>CO-DC</v>
      </c>
      <c r="W672" s="348" t="str">
        <f t="shared" si="127"/>
        <v>Distrito Capital de Bogotá</v>
      </c>
      <c r="X672" s="362" t="s">
        <v>802</v>
      </c>
      <c r="Y672" s="342">
        <v>2427400</v>
      </c>
      <c r="Z672" s="371" t="s">
        <v>803</v>
      </c>
    </row>
    <row r="673" spans="1:26" s="358" customFormat="1" ht="12.75" customHeight="1" x14ac:dyDescent="0.2">
      <c r="A673" s="342" t="s">
        <v>799</v>
      </c>
      <c r="B673" s="342">
        <v>29</v>
      </c>
      <c r="C673" s="366" t="s">
        <v>833</v>
      </c>
      <c r="D673" s="366" t="s">
        <v>800</v>
      </c>
      <c r="E673" s="367"/>
      <c r="F673" s="367">
        <v>468091631</v>
      </c>
      <c r="G673" s="367"/>
      <c r="H673" s="354" t="s">
        <v>834</v>
      </c>
      <c r="I673" s="368" t="s">
        <v>827</v>
      </c>
      <c r="J673" s="363">
        <v>1</v>
      </c>
      <c r="K673" s="363">
        <v>2</v>
      </c>
      <c r="L673" s="363">
        <v>11</v>
      </c>
      <c r="M673" s="342">
        <v>1</v>
      </c>
      <c r="N673" s="343" t="s">
        <v>36</v>
      </c>
      <c r="O673" s="344" t="str">
        <f>IF(ISBLANK(N673),"",VLOOKUP(N673,[23]Parámetros!$G$2:$H$23,2,FALSE))</f>
        <v xml:space="preserve">Contratación directa (con ofertas) </v>
      </c>
      <c r="P673" s="369">
        <v>1</v>
      </c>
      <c r="Q673" s="346">
        <f t="shared" si="128"/>
        <v>468091631</v>
      </c>
      <c r="R673" s="346">
        <f t="shared" si="129"/>
        <v>468091631</v>
      </c>
      <c r="S673" s="374">
        <v>0</v>
      </c>
      <c r="T673" s="343">
        <v>0</v>
      </c>
      <c r="U673" s="348" t="str">
        <f t="shared" si="125"/>
        <v>SUBDIRECCION DE GESTION CONTRACTUAL</v>
      </c>
      <c r="V673" s="342" t="str">
        <f t="shared" si="126"/>
        <v>CO-DC</v>
      </c>
      <c r="W673" s="348" t="str">
        <f t="shared" si="127"/>
        <v>Distrito Capital de Bogotá</v>
      </c>
      <c r="X673" s="362" t="s">
        <v>802</v>
      </c>
      <c r="Y673" s="342">
        <v>2427400</v>
      </c>
      <c r="Z673" s="371" t="s">
        <v>803</v>
      </c>
    </row>
    <row r="674" spans="1:26" s="358" customFormat="1" ht="12.75" customHeight="1" x14ac:dyDescent="0.2">
      <c r="A674" s="342" t="s">
        <v>799</v>
      </c>
      <c r="B674" s="342">
        <v>30</v>
      </c>
      <c r="C674" s="366" t="s">
        <v>833</v>
      </c>
      <c r="D674" s="366" t="s">
        <v>804</v>
      </c>
      <c r="E674" s="367"/>
      <c r="F674" s="367">
        <v>312061078</v>
      </c>
      <c r="G674" s="367"/>
      <c r="H674" s="354" t="s">
        <v>834</v>
      </c>
      <c r="I674" s="368" t="s">
        <v>827</v>
      </c>
      <c r="J674" s="363">
        <v>1</v>
      </c>
      <c r="K674" s="363">
        <v>2</v>
      </c>
      <c r="L674" s="363">
        <v>11</v>
      </c>
      <c r="M674" s="342">
        <v>1</v>
      </c>
      <c r="N674" s="343" t="s">
        <v>36</v>
      </c>
      <c r="O674" s="344" t="str">
        <f>IF(ISBLANK(N674),"",VLOOKUP(N674,[23]Parámetros!$G$2:$H$23,2,FALSE))</f>
        <v xml:space="preserve">Contratación directa (con ofertas) </v>
      </c>
      <c r="P674" s="369">
        <v>1</v>
      </c>
      <c r="Q674" s="346">
        <f t="shared" si="128"/>
        <v>312061078</v>
      </c>
      <c r="R674" s="346">
        <f t="shared" si="129"/>
        <v>312061078</v>
      </c>
      <c r="S674" s="374">
        <v>0</v>
      </c>
      <c r="T674" s="343">
        <v>0</v>
      </c>
      <c r="U674" s="348" t="str">
        <f t="shared" si="125"/>
        <v>SUBDIRECCION DE GESTION CONTRACTUAL</v>
      </c>
      <c r="V674" s="342" t="str">
        <f t="shared" si="126"/>
        <v>CO-DC</v>
      </c>
      <c r="W674" s="348" t="str">
        <f t="shared" si="127"/>
        <v>Distrito Capital de Bogotá</v>
      </c>
      <c r="X674" s="362" t="s">
        <v>802</v>
      </c>
      <c r="Y674" s="342">
        <v>2427400</v>
      </c>
      <c r="Z674" s="371" t="s">
        <v>803</v>
      </c>
    </row>
    <row r="675" spans="1:26" s="358" customFormat="1" ht="12.75" customHeight="1" x14ac:dyDescent="0.2">
      <c r="A675" s="342" t="s">
        <v>799</v>
      </c>
      <c r="B675" s="342">
        <v>31</v>
      </c>
      <c r="C675" s="366" t="s">
        <v>833</v>
      </c>
      <c r="D675" s="366" t="s">
        <v>805</v>
      </c>
      <c r="E675" s="367"/>
      <c r="F675" s="367">
        <v>468091618</v>
      </c>
      <c r="G675" s="367"/>
      <c r="H675" s="354" t="s">
        <v>834</v>
      </c>
      <c r="I675" s="368" t="s">
        <v>827</v>
      </c>
      <c r="J675" s="363">
        <v>1</v>
      </c>
      <c r="K675" s="363">
        <v>2</v>
      </c>
      <c r="L675" s="363">
        <v>11</v>
      </c>
      <c r="M675" s="342">
        <v>1</v>
      </c>
      <c r="N675" s="343" t="s">
        <v>36</v>
      </c>
      <c r="O675" s="344" t="str">
        <f>IF(ISBLANK(N675),"",VLOOKUP(N675,[23]Parámetros!$G$2:$H$23,2,FALSE))</f>
        <v xml:space="preserve">Contratación directa (con ofertas) </v>
      </c>
      <c r="P675" s="369">
        <v>1</v>
      </c>
      <c r="Q675" s="346">
        <f t="shared" si="128"/>
        <v>468091618</v>
      </c>
      <c r="R675" s="346">
        <f t="shared" si="129"/>
        <v>468091618</v>
      </c>
      <c r="S675" s="374">
        <v>0</v>
      </c>
      <c r="T675" s="343">
        <v>0</v>
      </c>
      <c r="U675" s="348" t="str">
        <f t="shared" si="125"/>
        <v>SUBDIRECCION DE GESTION CONTRACTUAL</v>
      </c>
      <c r="V675" s="342" t="str">
        <f t="shared" si="126"/>
        <v>CO-DC</v>
      </c>
      <c r="W675" s="348" t="str">
        <f t="shared" si="127"/>
        <v>Distrito Capital de Bogotá</v>
      </c>
      <c r="X675" s="362" t="s">
        <v>802</v>
      </c>
      <c r="Y675" s="342">
        <v>2427400</v>
      </c>
      <c r="Z675" s="371" t="s">
        <v>803</v>
      </c>
    </row>
    <row r="676" spans="1:26" s="358" customFormat="1" ht="12.75" customHeight="1" x14ac:dyDescent="0.2">
      <c r="A676" s="342" t="s">
        <v>799</v>
      </c>
      <c r="B676" s="342">
        <v>32</v>
      </c>
      <c r="C676" s="366" t="s">
        <v>833</v>
      </c>
      <c r="D676" s="366" t="s">
        <v>806</v>
      </c>
      <c r="E676" s="367"/>
      <c r="F676" s="367">
        <v>312061078</v>
      </c>
      <c r="G676" s="367"/>
      <c r="H676" s="354" t="s">
        <v>834</v>
      </c>
      <c r="I676" s="368" t="s">
        <v>827</v>
      </c>
      <c r="J676" s="363">
        <v>1</v>
      </c>
      <c r="K676" s="363">
        <v>2</v>
      </c>
      <c r="L676" s="363">
        <v>11</v>
      </c>
      <c r="M676" s="342">
        <v>1</v>
      </c>
      <c r="N676" s="343" t="s">
        <v>36</v>
      </c>
      <c r="O676" s="344" t="str">
        <f>IF(ISBLANK(N676),"",VLOOKUP(N676,[23]Parámetros!$G$2:$H$23,2,FALSE))</f>
        <v xml:space="preserve">Contratación directa (con ofertas) </v>
      </c>
      <c r="P676" s="369">
        <v>1</v>
      </c>
      <c r="Q676" s="346">
        <f t="shared" si="128"/>
        <v>312061078</v>
      </c>
      <c r="R676" s="346">
        <f t="shared" si="129"/>
        <v>312061078</v>
      </c>
      <c r="S676" s="374">
        <v>0</v>
      </c>
      <c r="T676" s="343">
        <v>0</v>
      </c>
      <c r="U676" s="348" t="str">
        <f t="shared" si="125"/>
        <v>SUBDIRECCION DE GESTION CONTRACTUAL</v>
      </c>
      <c r="V676" s="342" t="str">
        <f t="shared" si="126"/>
        <v>CO-DC</v>
      </c>
      <c r="W676" s="348" t="str">
        <f t="shared" si="127"/>
        <v>Distrito Capital de Bogotá</v>
      </c>
      <c r="X676" s="362" t="s">
        <v>802</v>
      </c>
      <c r="Y676" s="342">
        <v>2427400</v>
      </c>
      <c r="Z676" s="371" t="s">
        <v>803</v>
      </c>
    </row>
    <row r="677" spans="1:26" s="358" customFormat="1" ht="12.75" customHeight="1" x14ac:dyDescent="0.2">
      <c r="A677" s="342" t="s">
        <v>799</v>
      </c>
      <c r="B677" s="342">
        <v>33</v>
      </c>
      <c r="C677" s="366" t="s">
        <v>836</v>
      </c>
      <c r="D677" s="366" t="s">
        <v>807</v>
      </c>
      <c r="E677" s="367"/>
      <c r="F677" s="367">
        <v>743594206</v>
      </c>
      <c r="G677" s="367"/>
      <c r="H677" s="354" t="s">
        <v>834</v>
      </c>
      <c r="I677" s="368" t="s">
        <v>827</v>
      </c>
      <c r="J677" s="363">
        <v>1</v>
      </c>
      <c r="K677" s="363">
        <v>2</v>
      </c>
      <c r="L677" s="363">
        <v>11</v>
      </c>
      <c r="M677" s="342">
        <v>1</v>
      </c>
      <c r="N677" s="343" t="s">
        <v>36</v>
      </c>
      <c r="O677" s="344" t="str">
        <f>IF(ISBLANK(N677),"",VLOOKUP(N677,[23]Parámetros!$G$2:$H$23,2,FALSE))</f>
        <v xml:space="preserve">Contratación directa (con ofertas) </v>
      </c>
      <c r="P677" s="369">
        <v>1</v>
      </c>
      <c r="Q677" s="346">
        <f t="shared" si="128"/>
        <v>743594206</v>
      </c>
      <c r="R677" s="346">
        <f t="shared" si="129"/>
        <v>743594206</v>
      </c>
      <c r="S677" s="370" t="s">
        <v>223</v>
      </c>
      <c r="T677" s="343">
        <v>0</v>
      </c>
      <c r="U677" s="348" t="str">
        <f t="shared" si="125"/>
        <v>SUBDIRECCION DE GESTION CONTRACTUAL</v>
      </c>
      <c r="V677" s="342" t="str">
        <f t="shared" si="126"/>
        <v>CO-DC</v>
      </c>
      <c r="W677" s="348" t="str">
        <f t="shared" si="127"/>
        <v>Distrito Capital de Bogotá</v>
      </c>
      <c r="X677" s="362" t="s">
        <v>802</v>
      </c>
      <c r="Y677" s="342">
        <v>2427400</v>
      </c>
      <c r="Z677" s="371" t="s">
        <v>803</v>
      </c>
    </row>
    <row r="678" spans="1:26" s="358" customFormat="1" ht="12.75" customHeight="1" x14ac:dyDescent="0.2">
      <c r="A678" s="342" t="s">
        <v>799</v>
      </c>
      <c r="B678" s="342">
        <v>34</v>
      </c>
      <c r="C678" s="366" t="s">
        <v>836</v>
      </c>
      <c r="D678" s="366" t="s">
        <v>808</v>
      </c>
      <c r="E678" s="367"/>
      <c r="F678" s="367">
        <v>495729478</v>
      </c>
      <c r="G678" s="367"/>
      <c r="H678" s="354" t="s">
        <v>834</v>
      </c>
      <c r="I678" s="368" t="s">
        <v>827</v>
      </c>
      <c r="J678" s="363">
        <v>1</v>
      </c>
      <c r="K678" s="363">
        <v>2</v>
      </c>
      <c r="L678" s="363">
        <v>11</v>
      </c>
      <c r="M678" s="342">
        <v>1</v>
      </c>
      <c r="N678" s="343" t="s">
        <v>36</v>
      </c>
      <c r="O678" s="344" t="str">
        <f>IF(ISBLANK(N678),"",VLOOKUP(N678,[23]Parámetros!$G$2:$H$23,2,FALSE))</f>
        <v xml:space="preserve">Contratación directa (con ofertas) </v>
      </c>
      <c r="P678" s="369">
        <v>1</v>
      </c>
      <c r="Q678" s="346">
        <f t="shared" si="128"/>
        <v>495729478</v>
      </c>
      <c r="R678" s="346">
        <f t="shared" si="129"/>
        <v>495729478</v>
      </c>
      <c r="S678" s="370" t="s">
        <v>223</v>
      </c>
      <c r="T678" s="343">
        <v>0</v>
      </c>
      <c r="U678" s="348" t="str">
        <f t="shared" si="125"/>
        <v>SUBDIRECCION DE GESTION CONTRACTUAL</v>
      </c>
      <c r="V678" s="342" t="str">
        <f t="shared" si="126"/>
        <v>CO-DC</v>
      </c>
      <c r="W678" s="348" t="str">
        <f t="shared" si="127"/>
        <v>Distrito Capital de Bogotá</v>
      </c>
      <c r="X678" s="362" t="s">
        <v>802</v>
      </c>
      <c r="Y678" s="342">
        <v>2427400</v>
      </c>
      <c r="Z678" s="371" t="s">
        <v>803</v>
      </c>
    </row>
    <row r="679" spans="1:26" s="358" customFormat="1" ht="12.75" customHeight="1" x14ac:dyDescent="0.2">
      <c r="A679" s="342" t="s">
        <v>799</v>
      </c>
      <c r="B679" s="342">
        <v>35</v>
      </c>
      <c r="C679" s="366" t="s">
        <v>836</v>
      </c>
      <c r="D679" s="366" t="s">
        <v>809</v>
      </c>
      <c r="E679" s="367"/>
      <c r="F679" s="367">
        <v>743594207</v>
      </c>
      <c r="G679" s="367"/>
      <c r="H679" s="354" t="s">
        <v>834</v>
      </c>
      <c r="I679" s="368" t="s">
        <v>827</v>
      </c>
      <c r="J679" s="363">
        <v>1</v>
      </c>
      <c r="K679" s="363">
        <v>2</v>
      </c>
      <c r="L679" s="363">
        <v>11</v>
      </c>
      <c r="M679" s="342">
        <v>1</v>
      </c>
      <c r="N679" s="343" t="s">
        <v>36</v>
      </c>
      <c r="O679" s="344" t="str">
        <f>IF(ISBLANK(N679),"",VLOOKUP(N679,[23]Parámetros!$G$2:$H$23,2,FALSE))</f>
        <v xml:space="preserve">Contratación directa (con ofertas) </v>
      </c>
      <c r="P679" s="369">
        <v>1</v>
      </c>
      <c r="Q679" s="346">
        <f t="shared" si="128"/>
        <v>743594207</v>
      </c>
      <c r="R679" s="346">
        <f t="shared" si="129"/>
        <v>743594207</v>
      </c>
      <c r="S679" s="370" t="s">
        <v>223</v>
      </c>
      <c r="T679" s="343">
        <v>0</v>
      </c>
      <c r="U679" s="348" t="str">
        <f t="shared" si="125"/>
        <v>SUBDIRECCION DE GESTION CONTRACTUAL</v>
      </c>
      <c r="V679" s="342" t="str">
        <f t="shared" si="126"/>
        <v>CO-DC</v>
      </c>
      <c r="W679" s="348" t="str">
        <f t="shared" si="127"/>
        <v>Distrito Capital de Bogotá</v>
      </c>
      <c r="X679" s="362" t="s">
        <v>802</v>
      </c>
      <c r="Y679" s="342">
        <v>2427400</v>
      </c>
      <c r="Z679" s="371" t="s">
        <v>803</v>
      </c>
    </row>
    <row r="680" spans="1:26" s="358" customFormat="1" ht="12.75" customHeight="1" x14ac:dyDescent="0.2">
      <c r="A680" s="342" t="s">
        <v>799</v>
      </c>
      <c r="B680" s="342">
        <v>36</v>
      </c>
      <c r="C680" s="366" t="s">
        <v>836</v>
      </c>
      <c r="D680" s="366" t="s">
        <v>810</v>
      </c>
      <c r="E680" s="367"/>
      <c r="F680" s="367">
        <v>495729478</v>
      </c>
      <c r="G680" s="367"/>
      <c r="H680" s="354" t="s">
        <v>834</v>
      </c>
      <c r="I680" s="368" t="s">
        <v>827</v>
      </c>
      <c r="J680" s="363">
        <v>1</v>
      </c>
      <c r="K680" s="363">
        <v>2</v>
      </c>
      <c r="L680" s="363">
        <v>11</v>
      </c>
      <c r="M680" s="342">
        <v>1</v>
      </c>
      <c r="N680" s="343" t="s">
        <v>36</v>
      </c>
      <c r="O680" s="344" t="str">
        <f>IF(ISBLANK(N680),"",VLOOKUP(N680,[23]Parámetros!$G$2:$H$23,2,FALSE))</f>
        <v xml:space="preserve">Contratación directa (con ofertas) </v>
      </c>
      <c r="P680" s="369">
        <v>1</v>
      </c>
      <c r="Q680" s="346">
        <f t="shared" si="128"/>
        <v>495729478</v>
      </c>
      <c r="R680" s="346">
        <f t="shared" si="129"/>
        <v>495729478</v>
      </c>
      <c r="S680" s="370" t="s">
        <v>223</v>
      </c>
      <c r="T680" s="343">
        <v>0</v>
      </c>
      <c r="U680" s="348" t="str">
        <f t="shared" si="125"/>
        <v>SUBDIRECCION DE GESTION CONTRACTUAL</v>
      </c>
      <c r="V680" s="342" t="str">
        <f t="shared" si="126"/>
        <v>CO-DC</v>
      </c>
      <c r="W680" s="348" t="str">
        <f t="shared" si="127"/>
        <v>Distrito Capital de Bogotá</v>
      </c>
      <c r="X680" s="362" t="s">
        <v>802</v>
      </c>
      <c r="Y680" s="342">
        <v>2427400</v>
      </c>
      <c r="Z680" s="371" t="s">
        <v>803</v>
      </c>
    </row>
    <row r="681" spans="1:26" s="358" customFormat="1" ht="12.75" customHeight="1" x14ac:dyDescent="0.2">
      <c r="A681" s="342" t="s">
        <v>799</v>
      </c>
      <c r="B681" s="342">
        <v>37</v>
      </c>
      <c r="C681" s="366" t="s">
        <v>838</v>
      </c>
      <c r="D681" s="366" t="s">
        <v>811</v>
      </c>
      <c r="E681" s="367"/>
      <c r="F681" s="367">
        <v>162218545</v>
      </c>
      <c r="G681" s="367"/>
      <c r="H681" s="354" t="s">
        <v>834</v>
      </c>
      <c r="I681" s="368" t="s">
        <v>827</v>
      </c>
      <c r="J681" s="363">
        <v>1</v>
      </c>
      <c r="K681" s="363">
        <v>2</v>
      </c>
      <c r="L681" s="363">
        <v>11</v>
      </c>
      <c r="M681" s="342">
        <v>1</v>
      </c>
      <c r="N681" s="343" t="s">
        <v>36</v>
      </c>
      <c r="O681" s="344" t="str">
        <f>IF(ISBLANK(N681),"",VLOOKUP(N681,[23]Parámetros!$G$2:$H$23,2,FALSE))</f>
        <v xml:space="preserve">Contratación directa (con ofertas) </v>
      </c>
      <c r="P681" s="369">
        <v>1</v>
      </c>
      <c r="Q681" s="346">
        <f t="shared" si="128"/>
        <v>162218545</v>
      </c>
      <c r="R681" s="346">
        <f t="shared" si="129"/>
        <v>162218545</v>
      </c>
      <c r="S681" s="370" t="s">
        <v>223</v>
      </c>
      <c r="T681" s="343">
        <v>0</v>
      </c>
      <c r="U681" s="348" t="str">
        <f t="shared" si="125"/>
        <v>SUBDIRECCION DE GESTION CONTRACTUAL</v>
      </c>
      <c r="V681" s="342" t="str">
        <f t="shared" si="126"/>
        <v>CO-DC</v>
      </c>
      <c r="W681" s="348" t="str">
        <f t="shared" si="127"/>
        <v>Distrito Capital de Bogotá</v>
      </c>
      <c r="X681" s="362" t="s">
        <v>802</v>
      </c>
      <c r="Y681" s="342">
        <v>2427400</v>
      </c>
      <c r="Z681" s="371" t="s">
        <v>803</v>
      </c>
    </row>
    <row r="682" spans="1:26" s="358" customFormat="1" ht="12.75" customHeight="1" x14ac:dyDescent="0.2">
      <c r="A682" s="342" t="s">
        <v>799</v>
      </c>
      <c r="B682" s="342">
        <v>38</v>
      </c>
      <c r="C682" s="366" t="s">
        <v>838</v>
      </c>
      <c r="D682" s="366" t="s">
        <v>828</v>
      </c>
      <c r="E682" s="367"/>
      <c r="F682" s="367">
        <v>311310809</v>
      </c>
      <c r="G682" s="367"/>
      <c r="H682" s="354" t="s">
        <v>834</v>
      </c>
      <c r="I682" s="368" t="s">
        <v>827</v>
      </c>
      <c r="J682" s="363">
        <v>1</v>
      </c>
      <c r="K682" s="363">
        <v>2</v>
      </c>
      <c r="L682" s="363">
        <v>11</v>
      </c>
      <c r="M682" s="342">
        <v>1</v>
      </c>
      <c r="N682" s="343" t="s">
        <v>36</v>
      </c>
      <c r="O682" s="344" t="str">
        <f>IF(ISBLANK(N682),"",VLOOKUP(N682,[23]Parámetros!$G$2:$H$23,2,FALSE))</f>
        <v xml:space="preserve">Contratación directa (con ofertas) </v>
      </c>
      <c r="P682" s="369">
        <v>1</v>
      </c>
      <c r="Q682" s="346">
        <f t="shared" si="128"/>
        <v>311310809</v>
      </c>
      <c r="R682" s="346">
        <f t="shared" si="129"/>
        <v>311310809</v>
      </c>
      <c r="S682" s="370" t="s">
        <v>223</v>
      </c>
      <c r="T682" s="343">
        <v>0</v>
      </c>
      <c r="U682" s="348" t="str">
        <f t="shared" si="125"/>
        <v>SUBDIRECCION DE GESTION CONTRACTUAL</v>
      </c>
      <c r="V682" s="342" t="str">
        <f t="shared" si="126"/>
        <v>CO-DC</v>
      </c>
      <c r="W682" s="348" t="str">
        <f t="shared" si="127"/>
        <v>Distrito Capital de Bogotá</v>
      </c>
      <c r="X682" s="362" t="s">
        <v>802</v>
      </c>
      <c r="Y682" s="342">
        <v>2427400</v>
      </c>
      <c r="Z682" s="371" t="s">
        <v>803</v>
      </c>
    </row>
    <row r="683" spans="1:26" s="358" customFormat="1" ht="12.75" customHeight="1" x14ac:dyDescent="0.2">
      <c r="A683" s="342" t="s">
        <v>799</v>
      </c>
      <c r="B683" s="342">
        <v>39</v>
      </c>
      <c r="C683" s="366" t="s">
        <v>838</v>
      </c>
      <c r="D683" s="366" t="s">
        <v>812</v>
      </c>
      <c r="E683" s="367"/>
      <c r="F683" s="367">
        <v>108145701</v>
      </c>
      <c r="G683" s="367"/>
      <c r="H683" s="354" t="s">
        <v>834</v>
      </c>
      <c r="I683" s="368" t="s">
        <v>827</v>
      </c>
      <c r="J683" s="363">
        <v>1</v>
      </c>
      <c r="K683" s="363">
        <v>2</v>
      </c>
      <c r="L683" s="363">
        <v>11</v>
      </c>
      <c r="M683" s="342">
        <v>1</v>
      </c>
      <c r="N683" s="343" t="s">
        <v>36</v>
      </c>
      <c r="O683" s="344" t="str">
        <f>IF(ISBLANK(N683),"",VLOOKUP(N683,[23]Parámetros!$G$2:$H$23,2,FALSE))</f>
        <v xml:space="preserve">Contratación directa (con ofertas) </v>
      </c>
      <c r="P683" s="369">
        <v>1</v>
      </c>
      <c r="Q683" s="346">
        <f t="shared" si="128"/>
        <v>108145701</v>
      </c>
      <c r="R683" s="346">
        <f t="shared" si="129"/>
        <v>108145701</v>
      </c>
      <c r="S683" s="370" t="s">
        <v>223</v>
      </c>
      <c r="T683" s="343">
        <v>0</v>
      </c>
      <c r="U683" s="348" t="str">
        <f t="shared" si="125"/>
        <v>SUBDIRECCION DE GESTION CONTRACTUAL</v>
      </c>
      <c r="V683" s="342" t="str">
        <f t="shared" si="126"/>
        <v>CO-DC</v>
      </c>
      <c r="W683" s="348" t="str">
        <f t="shared" si="127"/>
        <v>Distrito Capital de Bogotá</v>
      </c>
      <c r="X683" s="362" t="s">
        <v>802</v>
      </c>
      <c r="Y683" s="342">
        <v>2427400</v>
      </c>
      <c r="Z683" s="371" t="s">
        <v>803</v>
      </c>
    </row>
    <row r="684" spans="1:26" s="358" customFormat="1" ht="12.75" customHeight="1" x14ac:dyDescent="0.2">
      <c r="A684" s="342" t="s">
        <v>799</v>
      </c>
      <c r="B684" s="342">
        <v>40</v>
      </c>
      <c r="C684" s="366" t="s">
        <v>838</v>
      </c>
      <c r="D684" s="366" t="s">
        <v>829</v>
      </c>
      <c r="E684" s="367"/>
      <c r="F684" s="367">
        <v>207540539</v>
      </c>
      <c r="G684" s="367"/>
      <c r="H684" s="354" t="s">
        <v>834</v>
      </c>
      <c r="I684" s="368" t="s">
        <v>827</v>
      </c>
      <c r="J684" s="363">
        <v>1</v>
      </c>
      <c r="K684" s="363">
        <v>2</v>
      </c>
      <c r="L684" s="363">
        <v>11</v>
      </c>
      <c r="M684" s="342">
        <v>1</v>
      </c>
      <c r="N684" s="343" t="s">
        <v>36</v>
      </c>
      <c r="O684" s="344" t="str">
        <f>IF(ISBLANK(N684),"",VLOOKUP(N684,[23]Parámetros!$G$2:$H$23,2,FALSE))</f>
        <v xml:space="preserve">Contratación directa (con ofertas) </v>
      </c>
      <c r="P684" s="369">
        <v>1</v>
      </c>
      <c r="Q684" s="346">
        <f t="shared" si="128"/>
        <v>207540539</v>
      </c>
      <c r="R684" s="346">
        <f t="shared" si="129"/>
        <v>207540539</v>
      </c>
      <c r="S684" s="370" t="s">
        <v>223</v>
      </c>
      <c r="T684" s="343">
        <v>0</v>
      </c>
      <c r="U684" s="348" t="str">
        <f t="shared" si="125"/>
        <v>SUBDIRECCION DE GESTION CONTRACTUAL</v>
      </c>
      <c r="V684" s="342" t="str">
        <f t="shared" si="126"/>
        <v>CO-DC</v>
      </c>
      <c r="W684" s="348" t="str">
        <f t="shared" si="127"/>
        <v>Distrito Capital de Bogotá</v>
      </c>
      <c r="X684" s="362" t="s">
        <v>802</v>
      </c>
      <c r="Y684" s="342">
        <v>2427400</v>
      </c>
      <c r="Z684" s="371" t="s">
        <v>803</v>
      </c>
    </row>
    <row r="685" spans="1:26" s="358" customFormat="1" ht="12.75" customHeight="1" x14ac:dyDescent="0.2">
      <c r="A685" s="342" t="s">
        <v>799</v>
      </c>
      <c r="B685" s="342">
        <v>41</v>
      </c>
      <c r="C685" s="366" t="s">
        <v>838</v>
      </c>
      <c r="D685" s="366" t="s">
        <v>813</v>
      </c>
      <c r="E685" s="367"/>
      <c r="F685" s="367">
        <v>162218545</v>
      </c>
      <c r="G685" s="367"/>
      <c r="H685" s="354" t="s">
        <v>834</v>
      </c>
      <c r="I685" s="368" t="s">
        <v>827</v>
      </c>
      <c r="J685" s="363">
        <v>1</v>
      </c>
      <c r="K685" s="363">
        <v>2</v>
      </c>
      <c r="L685" s="363">
        <v>11</v>
      </c>
      <c r="M685" s="342">
        <v>1</v>
      </c>
      <c r="N685" s="343" t="s">
        <v>36</v>
      </c>
      <c r="O685" s="344" t="str">
        <f>IF(ISBLANK(N685),"",VLOOKUP(N685,[23]Parámetros!$G$2:$H$23,2,FALSE))</f>
        <v xml:space="preserve">Contratación directa (con ofertas) </v>
      </c>
      <c r="P685" s="369">
        <v>1</v>
      </c>
      <c r="Q685" s="346">
        <f t="shared" si="128"/>
        <v>162218545</v>
      </c>
      <c r="R685" s="346">
        <f t="shared" si="129"/>
        <v>162218545</v>
      </c>
      <c r="S685" s="370" t="s">
        <v>223</v>
      </c>
      <c r="T685" s="343">
        <v>0</v>
      </c>
      <c r="U685" s="348" t="str">
        <f t="shared" si="125"/>
        <v>SUBDIRECCION DE GESTION CONTRACTUAL</v>
      </c>
      <c r="V685" s="342" t="str">
        <f t="shared" si="126"/>
        <v>CO-DC</v>
      </c>
      <c r="W685" s="348" t="str">
        <f t="shared" si="127"/>
        <v>Distrito Capital de Bogotá</v>
      </c>
      <c r="X685" s="362" t="s">
        <v>802</v>
      </c>
      <c r="Y685" s="342">
        <v>2427400</v>
      </c>
      <c r="Z685" s="371" t="s">
        <v>803</v>
      </c>
    </row>
    <row r="686" spans="1:26" s="358" customFormat="1" ht="12.75" customHeight="1" x14ac:dyDescent="0.2">
      <c r="A686" s="342" t="s">
        <v>799</v>
      </c>
      <c r="B686" s="342">
        <v>42</v>
      </c>
      <c r="C686" s="366" t="s">
        <v>838</v>
      </c>
      <c r="D686" s="366" t="s">
        <v>830</v>
      </c>
      <c r="E686" s="367"/>
      <c r="F686" s="367">
        <v>311310809</v>
      </c>
      <c r="G686" s="367"/>
      <c r="H686" s="354" t="s">
        <v>834</v>
      </c>
      <c r="I686" s="368" t="s">
        <v>827</v>
      </c>
      <c r="J686" s="363">
        <v>1</v>
      </c>
      <c r="K686" s="363">
        <v>2</v>
      </c>
      <c r="L686" s="363">
        <v>11</v>
      </c>
      <c r="M686" s="342">
        <v>1</v>
      </c>
      <c r="N686" s="343" t="s">
        <v>36</v>
      </c>
      <c r="O686" s="344" t="str">
        <f>IF(ISBLANK(N686),"",VLOOKUP(N686,[23]Parámetros!$G$2:$H$23,2,FALSE))</f>
        <v xml:space="preserve">Contratación directa (con ofertas) </v>
      </c>
      <c r="P686" s="369">
        <v>1</v>
      </c>
      <c r="Q686" s="346">
        <f t="shared" si="128"/>
        <v>311310809</v>
      </c>
      <c r="R686" s="346">
        <f t="shared" si="129"/>
        <v>311310809</v>
      </c>
      <c r="S686" s="370" t="s">
        <v>223</v>
      </c>
      <c r="T686" s="343">
        <v>0</v>
      </c>
      <c r="U686" s="348" t="str">
        <f t="shared" si="125"/>
        <v>SUBDIRECCION DE GESTION CONTRACTUAL</v>
      </c>
      <c r="V686" s="342" t="str">
        <f t="shared" si="126"/>
        <v>CO-DC</v>
      </c>
      <c r="W686" s="348" t="str">
        <f t="shared" si="127"/>
        <v>Distrito Capital de Bogotá</v>
      </c>
      <c r="X686" s="362" t="s">
        <v>802</v>
      </c>
      <c r="Y686" s="342">
        <v>2427400</v>
      </c>
      <c r="Z686" s="371" t="s">
        <v>803</v>
      </c>
    </row>
    <row r="687" spans="1:26" s="358" customFormat="1" ht="12.75" customHeight="1" x14ac:dyDescent="0.2">
      <c r="A687" s="342" t="s">
        <v>799</v>
      </c>
      <c r="B687" s="342">
        <v>43</v>
      </c>
      <c r="C687" s="366" t="s">
        <v>838</v>
      </c>
      <c r="D687" s="366" t="s">
        <v>814</v>
      </c>
      <c r="E687" s="367"/>
      <c r="F687" s="367">
        <v>108145701</v>
      </c>
      <c r="G687" s="367"/>
      <c r="H687" s="354" t="s">
        <v>834</v>
      </c>
      <c r="I687" s="368" t="s">
        <v>827</v>
      </c>
      <c r="J687" s="363">
        <v>1</v>
      </c>
      <c r="K687" s="363">
        <v>2</v>
      </c>
      <c r="L687" s="363">
        <v>11</v>
      </c>
      <c r="M687" s="342">
        <v>1</v>
      </c>
      <c r="N687" s="343" t="s">
        <v>36</v>
      </c>
      <c r="O687" s="344" t="str">
        <f>IF(ISBLANK(N687),"",VLOOKUP(N687,[23]Parámetros!$G$2:$H$23,2,FALSE))</f>
        <v xml:space="preserve">Contratación directa (con ofertas) </v>
      </c>
      <c r="P687" s="369">
        <v>1</v>
      </c>
      <c r="Q687" s="346">
        <f t="shared" si="128"/>
        <v>108145701</v>
      </c>
      <c r="R687" s="346">
        <f t="shared" si="129"/>
        <v>108145701</v>
      </c>
      <c r="S687" s="370" t="s">
        <v>223</v>
      </c>
      <c r="T687" s="343">
        <v>0</v>
      </c>
      <c r="U687" s="348" t="str">
        <f t="shared" si="125"/>
        <v>SUBDIRECCION DE GESTION CONTRACTUAL</v>
      </c>
      <c r="V687" s="342" t="str">
        <f t="shared" si="126"/>
        <v>CO-DC</v>
      </c>
      <c r="W687" s="348" t="str">
        <f t="shared" si="127"/>
        <v>Distrito Capital de Bogotá</v>
      </c>
      <c r="X687" s="362" t="s">
        <v>802</v>
      </c>
      <c r="Y687" s="342">
        <v>2427400</v>
      </c>
      <c r="Z687" s="371" t="s">
        <v>803</v>
      </c>
    </row>
    <row r="688" spans="1:26" s="358" customFormat="1" ht="12.75" customHeight="1" x14ac:dyDescent="0.2">
      <c r="A688" s="342" t="s">
        <v>799</v>
      </c>
      <c r="B688" s="342">
        <v>44</v>
      </c>
      <c r="C688" s="366" t="s">
        <v>838</v>
      </c>
      <c r="D688" s="366" t="s">
        <v>831</v>
      </c>
      <c r="E688" s="367"/>
      <c r="F688" s="367">
        <v>207540539</v>
      </c>
      <c r="G688" s="367"/>
      <c r="H688" s="354" t="s">
        <v>834</v>
      </c>
      <c r="I688" s="368" t="s">
        <v>827</v>
      </c>
      <c r="J688" s="363">
        <v>1</v>
      </c>
      <c r="K688" s="363">
        <v>2</v>
      </c>
      <c r="L688" s="363">
        <v>11</v>
      </c>
      <c r="M688" s="342">
        <v>1</v>
      </c>
      <c r="N688" s="343" t="s">
        <v>36</v>
      </c>
      <c r="O688" s="344" t="str">
        <f>IF(ISBLANK(N688),"",VLOOKUP(N688,[23]Parámetros!$G$2:$H$23,2,FALSE))</f>
        <v xml:space="preserve">Contratación directa (con ofertas) </v>
      </c>
      <c r="P688" s="369">
        <v>1</v>
      </c>
      <c r="Q688" s="346">
        <f t="shared" si="128"/>
        <v>207540539</v>
      </c>
      <c r="R688" s="346">
        <f t="shared" si="129"/>
        <v>207540539</v>
      </c>
      <c r="S688" s="370" t="s">
        <v>223</v>
      </c>
      <c r="T688" s="343">
        <v>0</v>
      </c>
      <c r="U688" s="348" t="str">
        <f t="shared" si="125"/>
        <v>SUBDIRECCION DE GESTION CONTRACTUAL</v>
      </c>
      <c r="V688" s="342" t="str">
        <f t="shared" si="126"/>
        <v>CO-DC</v>
      </c>
      <c r="W688" s="348" t="str">
        <f t="shared" si="127"/>
        <v>Distrito Capital de Bogotá</v>
      </c>
      <c r="X688" s="362" t="s">
        <v>802</v>
      </c>
      <c r="Y688" s="342">
        <v>2427400</v>
      </c>
      <c r="Z688" s="371" t="s">
        <v>803</v>
      </c>
    </row>
    <row r="689" spans="1:26" s="358" customFormat="1" ht="12.75" customHeight="1" x14ac:dyDescent="0.2">
      <c r="A689" s="342" t="s">
        <v>799</v>
      </c>
      <c r="B689" s="342">
        <v>45</v>
      </c>
      <c r="C689" s="366" t="s">
        <v>839</v>
      </c>
      <c r="D689" s="366" t="s">
        <v>815</v>
      </c>
      <c r="E689" s="367"/>
      <c r="F689" s="367">
        <v>70462610</v>
      </c>
      <c r="G689" s="367"/>
      <c r="H689" s="354" t="s">
        <v>834</v>
      </c>
      <c r="I689" s="368" t="s">
        <v>827</v>
      </c>
      <c r="J689" s="363">
        <v>1</v>
      </c>
      <c r="K689" s="363">
        <v>2</v>
      </c>
      <c r="L689" s="363">
        <v>11</v>
      </c>
      <c r="M689" s="342">
        <v>11</v>
      </c>
      <c r="N689" s="343" t="s">
        <v>36</v>
      </c>
      <c r="O689" s="344" t="str">
        <f>IF(ISBLANK(N689),"",VLOOKUP(N689,[23]Parámetros!$G$2:$H$23,2,FALSE))</f>
        <v xml:space="preserve">Contratación directa (con ofertas) </v>
      </c>
      <c r="P689" s="369">
        <v>1</v>
      </c>
      <c r="Q689" s="346">
        <f t="shared" si="128"/>
        <v>70462610</v>
      </c>
      <c r="R689" s="346">
        <f t="shared" si="129"/>
        <v>70462610</v>
      </c>
      <c r="S689" s="370" t="s">
        <v>223</v>
      </c>
      <c r="T689" s="343">
        <v>0</v>
      </c>
      <c r="U689" s="348" t="str">
        <f t="shared" si="125"/>
        <v>SUBDIRECCION DE GESTION CONTRACTUAL</v>
      </c>
      <c r="V689" s="342" t="str">
        <f t="shared" si="126"/>
        <v>CO-DC</v>
      </c>
      <c r="W689" s="348" t="str">
        <f t="shared" si="127"/>
        <v>Distrito Capital de Bogotá</v>
      </c>
      <c r="X689" s="362" t="s">
        <v>832</v>
      </c>
      <c r="Y689" s="342">
        <v>2427400</v>
      </c>
      <c r="Z689" s="371" t="s">
        <v>803</v>
      </c>
    </row>
    <row r="690" spans="1:26" s="358" customFormat="1" ht="12.75" customHeight="1" x14ac:dyDescent="0.2">
      <c r="A690" s="342" t="s">
        <v>799</v>
      </c>
      <c r="B690" s="342">
        <v>46</v>
      </c>
      <c r="C690" s="366" t="s">
        <v>839</v>
      </c>
      <c r="D690" s="366" t="s">
        <v>816</v>
      </c>
      <c r="E690" s="367"/>
      <c r="F690" s="367">
        <v>234045807</v>
      </c>
      <c r="G690" s="367"/>
      <c r="H690" s="354" t="s">
        <v>834</v>
      </c>
      <c r="I690" s="368" t="s">
        <v>827</v>
      </c>
      <c r="J690" s="363">
        <v>1</v>
      </c>
      <c r="K690" s="363">
        <v>2</v>
      </c>
      <c r="L690" s="363">
        <v>11</v>
      </c>
      <c r="M690" s="342">
        <v>1</v>
      </c>
      <c r="N690" s="343" t="s">
        <v>36</v>
      </c>
      <c r="O690" s="344" t="str">
        <f>IF(ISBLANK(N690),"",VLOOKUP(N690,[23]Parámetros!$G$2:$H$23,2,FALSE))</f>
        <v xml:space="preserve">Contratación directa (con ofertas) </v>
      </c>
      <c r="P690" s="369">
        <v>1</v>
      </c>
      <c r="Q690" s="346">
        <f t="shared" si="128"/>
        <v>234045807</v>
      </c>
      <c r="R690" s="346">
        <f t="shared" si="129"/>
        <v>234045807</v>
      </c>
      <c r="S690" s="370" t="s">
        <v>223</v>
      </c>
      <c r="T690" s="343">
        <v>0</v>
      </c>
      <c r="U690" s="348" t="str">
        <f t="shared" si="125"/>
        <v>SUBDIRECCION DE GESTION CONTRACTUAL</v>
      </c>
      <c r="V690" s="342" t="str">
        <f t="shared" si="126"/>
        <v>CO-DC</v>
      </c>
      <c r="W690" s="348" t="str">
        <f t="shared" si="127"/>
        <v>Distrito Capital de Bogotá</v>
      </c>
      <c r="X690" s="362" t="s">
        <v>832</v>
      </c>
      <c r="Y690" s="342">
        <v>2427400</v>
      </c>
      <c r="Z690" s="371" t="s">
        <v>803</v>
      </c>
    </row>
    <row r="691" spans="1:26" s="358" customFormat="1" ht="12.75" customHeight="1" x14ac:dyDescent="0.2">
      <c r="A691" s="342" t="s">
        <v>799</v>
      </c>
      <c r="B691" s="342">
        <v>47</v>
      </c>
      <c r="C691" s="366" t="s">
        <v>839</v>
      </c>
      <c r="D691" s="366" t="s">
        <v>817</v>
      </c>
      <c r="E691" s="367"/>
      <c r="F691" s="367">
        <v>285386564</v>
      </c>
      <c r="G691" s="367"/>
      <c r="H691" s="354" t="s">
        <v>834</v>
      </c>
      <c r="I691" s="368" t="s">
        <v>827</v>
      </c>
      <c r="J691" s="363">
        <v>1</v>
      </c>
      <c r="K691" s="363">
        <v>2</v>
      </c>
      <c r="L691" s="363">
        <v>11</v>
      </c>
      <c r="M691" s="342">
        <v>1</v>
      </c>
      <c r="N691" s="343" t="s">
        <v>36</v>
      </c>
      <c r="O691" s="344" t="str">
        <f>IF(ISBLANK(N691),"",VLOOKUP(N691,[23]Parámetros!$G$2:$H$23,2,FALSE))</f>
        <v xml:space="preserve">Contratación directa (con ofertas) </v>
      </c>
      <c r="P691" s="369">
        <v>1</v>
      </c>
      <c r="Q691" s="346">
        <f t="shared" si="128"/>
        <v>285386564</v>
      </c>
      <c r="R691" s="346">
        <f t="shared" si="129"/>
        <v>285386564</v>
      </c>
      <c r="S691" s="370" t="s">
        <v>223</v>
      </c>
      <c r="T691" s="343">
        <v>0</v>
      </c>
      <c r="U691" s="348" t="str">
        <f t="shared" si="125"/>
        <v>SUBDIRECCION DE GESTION CONTRACTUAL</v>
      </c>
      <c r="V691" s="342" t="str">
        <f t="shared" si="126"/>
        <v>CO-DC</v>
      </c>
      <c r="W691" s="348" t="str">
        <f t="shared" si="127"/>
        <v>Distrito Capital de Bogotá</v>
      </c>
      <c r="X691" s="362" t="s">
        <v>832</v>
      </c>
      <c r="Y691" s="342">
        <v>2427400</v>
      </c>
      <c r="Z691" s="371" t="s">
        <v>803</v>
      </c>
    </row>
    <row r="692" spans="1:26" s="358" customFormat="1" ht="12.75" customHeight="1" x14ac:dyDescent="0.2">
      <c r="A692" s="342" t="s">
        <v>799</v>
      </c>
      <c r="B692" s="342">
        <v>48</v>
      </c>
      <c r="C692" s="366" t="s">
        <v>839</v>
      </c>
      <c r="D692" s="366" t="s">
        <v>818</v>
      </c>
      <c r="E692" s="367"/>
      <c r="F692" s="367">
        <v>46975071</v>
      </c>
      <c r="G692" s="367"/>
      <c r="H692" s="354" t="s">
        <v>834</v>
      </c>
      <c r="I692" s="368" t="s">
        <v>827</v>
      </c>
      <c r="J692" s="363">
        <v>1</v>
      </c>
      <c r="K692" s="363">
        <v>2</v>
      </c>
      <c r="L692" s="363">
        <v>11</v>
      </c>
      <c r="M692" s="342">
        <v>1</v>
      </c>
      <c r="N692" s="343" t="s">
        <v>36</v>
      </c>
      <c r="O692" s="344" t="str">
        <f>IF(ISBLANK(N692),"",VLOOKUP(N692,[23]Parámetros!$G$2:$H$23,2,FALSE))</f>
        <v xml:space="preserve">Contratación directa (con ofertas) </v>
      </c>
      <c r="P692" s="369">
        <v>1</v>
      </c>
      <c r="Q692" s="346">
        <f t="shared" si="128"/>
        <v>46975071</v>
      </c>
      <c r="R692" s="346">
        <f t="shared" si="129"/>
        <v>46975071</v>
      </c>
      <c r="S692" s="370" t="s">
        <v>223</v>
      </c>
      <c r="T692" s="343">
        <v>0</v>
      </c>
      <c r="U692" s="348" t="str">
        <f t="shared" si="125"/>
        <v>SUBDIRECCION DE GESTION CONTRACTUAL</v>
      </c>
      <c r="V692" s="342" t="str">
        <f t="shared" si="126"/>
        <v>CO-DC</v>
      </c>
      <c r="W692" s="348" t="str">
        <f t="shared" si="127"/>
        <v>Distrito Capital de Bogotá</v>
      </c>
      <c r="X692" s="362" t="s">
        <v>832</v>
      </c>
      <c r="Y692" s="342">
        <v>2427400</v>
      </c>
      <c r="Z692" s="371" t="s">
        <v>803</v>
      </c>
    </row>
    <row r="693" spans="1:26" s="358" customFormat="1" ht="12.75" customHeight="1" x14ac:dyDescent="0.2">
      <c r="A693" s="342" t="s">
        <v>799</v>
      </c>
      <c r="B693" s="342">
        <v>49</v>
      </c>
      <c r="C693" s="366" t="s">
        <v>839</v>
      </c>
      <c r="D693" s="366" t="s">
        <v>819</v>
      </c>
      <c r="E693" s="367"/>
      <c r="F693" s="367">
        <v>156030538</v>
      </c>
      <c r="G693" s="367"/>
      <c r="H693" s="354" t="s">
        <v>834</v>
      </c>
      <c r="I693" s="368" t="s">
        <v>827</v>
      </c>
      <c r="J693" s="363">
        <v>1</v>
      </c>
      <c r="K693" s="363">
        <v>2</v>
      </c>
      <c r="L693" s="363">
        <v>11</v>
      </c>
      <c r="M693" s="342">
        <v>1</v>
      </c>
      <c r="N693" s="343" t="s">
        <v>36</v>
      </c>
      <c r="O693" s="344" t="str">
        <f>IF(ISBLANK(N693),"",VLOOKUP(N693,[23]Parámetros!$G$2:$H$23,2,FALSE))</f>
        <v xml:space="preserve">Contratación directa (con ofertas) </v>
      </c>
      <c r="P693" s="369">
        <v>1</v>
      </c>
      <c r="Q693" s="346">
        <f t="shared" si="128"/>
        <v>156030538</v>
      </c>
      <c r="R693" s="346">
        <f t="shared" si="129"/>
        <v>156030538</v>
      </c>
      <c r="S693" s="370" t="s">
        <v>223</v>
      </c>
      <c r="T693" s="343">
        <v>0</v>
      </c>
      <c r="U693" s="348" t="str">
        <f t="shared" si="125"/>
        <v>SUBDIRECCION DE GESTION CONTRACTUAL</v>
      </c>
      <c r="V693" s="342" t="str">
        <f t="shared" si="126"/>
        <v>CO-DC</v>
      </c>
      <c r="W693" s="348" t="str">
        <f t="shared" si="127"/>
        <v>Distrito Capital de Bogotá</v>
      </c>
      <c r="X693" s="362" t="s">
        <v>832</v>
      </c>
      <c r="Y693" s="342">
        <v>2427400</v>
      </c>
      <c r="Z693" s="371" t="s">
        <v>803</v>
      </c>
    </row>
    <row r="694" spans="1:26" s="358" customFormat="1" ht="12.75" customHeight="1" x14ac:dyDescent="0.2">
      <c r="A694" s="342" t="s">
        <v>799</v>
      </c>
      <c r="B694" s="342">
        <v>50</v>
      </c>
      <c r="C694" s="366" t="s">
        <v>839</v>
      </c>
      <c r="D694" s="366" t="s">
        <v>820</v>
      </c>
      <c r="E694" s="367"/>
      <c r="F694" s="367">
        <v>190257716</v>
      </c>
      <c r="G694" s="367"/>
      <c r="H694" s="354" t="s">
        <v>834</v>
      </c>
      <c r="I694" s="368" t="s">
        <v>827</v>
      </c>
      <c r="J694" s="363">
        <v>1</v>
      </c>
      <c r="K694" s="363">
        <v>2</v>
      </c>
      <c r="L694" s="363">
        <v>11</v>
      </c>
      <c r="M694" s="342">
        <v>1</v>
      </c>
      <c r="N694" s="343" t="s">
        <v>36</v>
      </c>
      <c r="O694" s="344" t="str">
        <f>IF(ISBLANK(N694),"",VLOOKUP(N694,[23]Parámetros!$G$2:$H$23,2,FALSE))</f>
        <v xml:space="preserve">Contratación directa (con ofertas) </v>
      </c>
      <c r="P694" s="369">
        <v>1</v>
      </c>
      <c r="Q694" s="346">
        <f t="shared" si="128"/>
        <v>190257716</v>
      </c>
      <c r="R694" s="346">
        <f t="shared" si="129"/>
        <v>190257716</v>
      </c>
      <c r="S694" s="370" t="s">
        <v>223</v>
      </c>
      <c r="T694" s="343">
        <v>0</v>
      </c>
      <c r="U694" s="348" t="str">
        <f t="shared" si="125"/>
        <v>SUBDIRECCION DE GESTION CONTRACTUAL</v>
      </c>
      <c r="V694" s="342" t="str">
        <f t="shared" si="126"/>
        <v>CO-DC</v>
      </c>
      <c r="W694" s="348" t="str">
        <f t="shared" si="127"/>
        <v>Distrito Capital de Bogotá</v>
      </c>
      <c r="X694" s="362" t="s">
        <v>832</v>
      </c>
      <c r="Y694" s="342">
        <v>2427400</v>
      </c>
      <c r="Z694" s="371" t="s">
        <v>803</v>
      </c>
    </row>
    <row r="695" spans="1:26" s="358" customFormat="1" ht="12.75" customHeight="1" x14ac:dyDescent="0.2">
      <c r="A695" s="342" t="s">
        <v>799</v>
      </c>
      <c r="B695" s="342">
        <v>51</v>
      </c>
      <c r="C695" s="366" t="s">
        <v>839</v>
      </c>
      <c r="D695" s="366" t="s">
        <v>821</v>
      </c>
      <c r="E695" s="367"/>
      <c r="F695" s="367">
        <v>70462610</v>
      </c>
      <c r="G695" s="367"/>
      <c r="H695" s="354" t="s">
        <v>834</v>
      </c>
      <c r="I695" s="368" t="s">
        <v>827</v>
      </c>
      <c r="J695" s="363">
        <v>1</v>
      </c>
      <c r="K695" s="363">
        <v>2</v>
      </c>
      <c r="L695" s="363">
        <v>11</v>
      </c>
      <c r="M695" s="342">
        <v>1</v>
      </c>
      <c r="N695" s="343" t="s">
        <v>36</v>
      </c>
      <c r="O695" s="344" t="str">
        <f>IF(ISBLANK(N695),"",VLOOKUP(N695,[23]Parámetros!$G$2:$H$23,2,FALSE))</f>
        <v xml:space="preserve">Contratación directa (con ofertas) </v>
      </c>
      <c r="P695" s="369">
        <v>1</v>
      </c>
      <c r="Q695" s="346">
        <f t="shared" si="128"/>
        <v>70462610</v>
      </c>
      <c r="R695" s="346">
        <f t="shared" si="129"/>
        <v>70462610</v>
      </c>
      <c r="S695" s="370" t="s">
        <v>223</v>
      </c>
      <c r="T695" s="343">
        <v>0</v>
      </c>
      <c r="U695" s="348" t="str">
        <f t="shared" si="125"/>
        <v>SUBDIRECCION DE GESTION CONTRACTUAL</v>
      </c>
      <c r="V695" s="342" t="str">
        <f t="shared" si="126"/>
        <v>CO-DC</v>
      </c>
      <c r="W695" s="348" t="str">
        <f t="shared" si="127"/>
        <v>Distrito Capital de Bogotá</v>
      </c>
      <c r="X695" s="362" t="s">
        <v>832</v>
      </c>
      <c r="Y695" s="342">
        <v>2427400</v>
      </c>
      <c r="Z695" s="371" t="s">
        <v>803</v>
      </c>
    </row>
    <row r="696" spans="1:26" s="358" customFormat="1" ht="12.75" customHeight="1" x14ac:dyDescent="0.2">
      <c r="A696" s="342" t="s">
        <v>799</v>
      </c>
      <c r="B696" s="342">
        <v>52</v>
      </c>
      <c r="C696" s="366" t="s">
        <v>839</v>
      </c>
      <c r="D696" s="366" t="s">
        <v>822</v>
      </c>
      <c r="E696" s="367"/>
      <c r="F696" s="367">
        <v>234045810</v>
      </c>
      <c r="G696" s="367"/>
      <c r="H696" s="354" t="s">
        <v>834</v>
      </c>
      <c r="I696" s="368" t="s">
        <v>827</v>
      </c>
      <c r="J696" s="363">
        <v>1</v>
      </c>
      <c r="K696" s="363">
        <v>2</v>
      </c>
      <c r="L696" s="363">
        <v>11</v>
      </c>
      <c r="M696" s="342">
        <v>1</v>
      </c>
      <c r="N696" s="343" t="s">
        <v>36</v>
      </c>
      <c r="O696" s="344" t="str">
        <f>IF(ISBLANK(N696),"",VLOOKUP(N696,[23]Parámetros!$G$2:$H$23,2,FALSE))</f>
        <v xml:space="preserve">Contratación directa (con ofertas) </v>
      </c>
      <c r="P696" s="369">
        <v>1</v>
      </c>
      <c r="Q696" s="346">
        <f t="shared" si="128"/>
        <v>234045810</v>
      </c>
      <c r="R696" s="346">
        <f t="shared" si="129"/>
        <v>234045810</v>
      </c>
      <c r="S696" s="370" t="s">
        <v>223</v>
      </c>
      <c r="T696" s="343">
        <v>0</v>
      </c>
      <c r="U696" s="348" t="str">
        <f t="shared" si="125"/>
        <v>SUBDIRECCION DE GESTION CONTRACTUAL</v>
      </c>
      <c r="V696" s="342" t="str">
        <f t="shared" si="126"/>
        <v>CO-DC</v>
      </c>
      <c r="W696" s="348" t="str">
        <f t="shared" si="127"/>
        <v>Distrito Capital de Bogotá</v>
      </c>
      <c r="X696" s="362" t="s">
        <v>832</v>
      </c>
      <c r="Y696" s="342">
        <v>2427400</v>
      </c>
      <c r="Z696" s="371" t="s">
        <v>803</v>
      </c>
    </row>
    <row r="697" spans="1:26" s="358" customFormat="1" ht="12.75" customHeight="1" x14ac:dyDescent="0.2">
      <c r="A697" s="342" t="s">
        <v>799</v>
      </c>
      <c r="B697" s="342">
        <v>53</v>
      </c>
      <c r="C697" s="366" t="s">
        <v>839</v>
      </c>
      <c r="D697" s="366" t="s">
        <v>823</v>
      </c>
      <c r="E697" s="367"/>
      <c r="F697" s="367">
        <v>285386566</v>
      </c>
      <c r="G697" s="367"/>
      <c r="H697" s="354" t="s">
        <v>834</v>
      </c>
      <c r="I697" s="368" t="s">
        <v>827</v>
      </c>
      <c r="J697" s="363">
        <v>1</v>
      </c>
      <c r="K697" s="363">
        <v>2</v>
      </c>
      <c r="L697" s="363">
        <v>11</v>
      </c>
      <c r="M697" s="342">
        <v>1</v>
      </c>
      <c r="N697" s="343" t="s">
        <v>36</v>
      </c>
      <c r="O697" s="344" t="str">
        <f>IF(ISBLANK(N697),"",VLOOKUP(N697,[23]Parámetros!$G$2:$H$23,2,FALSE))</f>
        <v xml:space="preserve">Contratación directa (con ofertas) </v>
      </c>
      <c r="P697" s="369">
        <v>1</v>
      </c>
      <c r="Q697" s="346">
        <f t="shared" si="128"/>
        <v>285386566</v>
      </c>
      <c r="R697" s="346">
        <f t="shared" si="129"/>
        <v>285386566</v>
      </c>
      <c r="S697" s="370" t="s">
        <v>223</v>
      </c>
      <c r="T697" s="343">
        <v>0</v>
      </c>
      <c r="U697" s="348" t="str">
        <f t="shared" si="125"/>
        <v>SUBDIRECCION DE GESTION CONTRACTUAL</v>
      </c>
      <c r="V697" s="342" t="str">
        <f t="shared" si="126"/>
        <v>CO-DC</v>
      </c>
      <c r="W697" s="348" t="str">
        <f t="shared" si="127"/>
        <v>Distrito Capital de Bogotá</v>
      </c>
      <c r="X697" s="362" t="s">
        <v>832</v>
      </c>
      <c r="Y697" s="342">
        <v>2427400</v>
      </c>
      <c r="Z697" s="371" t="s">
        <v>803</v>
      </c>
    </row>
    <row r="698" spans="1:26" s="358" customFormat="1" ht="12.75" customHeight="1" x14ac:dyDescent="0.2">
      <c r="A698" s="342" t="s">
        <v>799</v>
      </c>
      <c r="B698" s="342">
        <v>54</v>
      </c>
      <c r="C698" s="366" t="s">
        <v>839</v>
      </c>
      <c r="D698" s="366" t="s">
        <v>824</v>
      </c>
      <c r="E698" s="367"/>
      <c r="F698" s="367">
        <v>46975071</v>
      </c>
      <c r="G698" s="367"/>
      <c r="H698" s="354" t="s">
        <v>834</v>
      </c>
      <c r="I698" s="368" t="s">
        <v>827</v>
      </c>
      <c r="J698" s="363">
        <v>1</v>
      </c>
      <c r="K698" s="363">
        <v>2</v>
      </c>
      <c r="L698" s="363">
        <v>11</v>
      </c>
      <c r="M698" s="342">
        <v>1</v>
      </c>
      <c r="N698" s="343" t="s">
        <v>36</v>
      </c>
      <c r="O698" s="344" t="str">
        <f>IF(ISBLANK(N698),"",VLOOKUP(N698,[23]Parámetros!$G$2:$H$23,2,FALSE))</f>
        <v xml:space="preserve">Contratación directa (con ofertas) </v>
      </c>
      <c r="P698" s="369">
        <v>1</v>
      </c>
      <c r="Q698" s="346">
        <f t="shared" si="128"/>
        <v>46975071</v>
      </c>
      <c r="R698" s="346">
        <f t="shared" si="129"/>
        <v>46975071</v>
      </c>
      <c r="S698" s="370" t="s">
        <v>223</v>
      </c>
      <c r="T698" s="343">
        <v>0</v>
      </c>
      <c r="U698" s="348" t="str">
        <f t="shared" si="125"/>
        <v>SUBDIRECCION DE GESTION CONTRACTUAL</v>
      </c>
      <c r="V698" s="342" t="str">
        <f t="shared" si="126"/>
        <v>CO-DC</v>
      </c>
      <c r="W698" s="348" t="str">
        <f t="shared" si="127"/>
        <v>Distrito Capital de Bogotá</v>
      </c>
      <c r="X698" s="362" t="s">
        <v>832</v>
      </c>
      <c r="Y698" s="342">
        <v>2427400</v>
      </c>
      <c r="Z698" s="371" t="s">
        <v>803</v>
      </c>
    </row>
    <row r="699" spans="1:26" s="358" customFormat="1" ht="12.75" customHeight="1" x14ac:dyDescent="0.2">
      <c r="A699" s="342" t="s">
        <v>799</v>
      </c>
      <c r="B699" s="342">
        <v>55</v>
      </c>
      <c r="C699" s="366" t="s">
        <v>839</v>
      </c>
      <c r="D699" s="366" t="s">
        <v>825</v>
      </c>
      <c r="E699" s="367"/>
      <c r="F699" s="367">
        <v>156030538</v>
      </c>
      <c r="G699" s="367"/>
      <c r="H699" s="354" t="s">
        <v>834</v>
      </c>
      <c r="I699" s="368" t="s">
        <v>827</v>
      </c>
      <c r="J699" s="363">
        <v>1</v>
      </c>
      <c r="K699" s="363">
        <v>2</v>
      </c>
      <c r="L699" s="363">
        <v>11</v>
      </c>
      <c r="M699" s="342">
        <v>1</v>
      </c>
      <c r="N699" s="343" t="s">
        <v>36</v>
      </c>
      <c r="O699" s="344" t="str">
        <f>IF(ISBLANK(N699),"",VLOOKUP(N699,[23]Parámetros!$G$2:$H$23,2,FALSE))</f>
        <v xml:space="preserve">Contratación directa (con ofertas) </v>
      </c>
      <c r="P699" s="369">
        <v>1</v>
      </c>
      <c r="Q699" s="346">
        <f t="shared" si="128"/>
        <v>156030538</v>
      </c>
      <c r="R699" s="346">
        <f t="shared" si="129"/>
        <v>156030538</v>
      </c>
      <c r="S699" s="370" t="s">
        <v>223</v>
      </c>
      <c r="T699" s="343">
        <v>0</v>
      </c>
      <c r="U699" s="348" t="str">
        <f t="shared" si="125"/>
        <v>SUBDIRECCION DE GESTION CONTRACTUAL</v>
      </c>
      <c r="V699" s="342" t="str">
        <f t="shared" si="126"/>
        <v>CO-DC</v>
      </c>
      <c r="W699" s="348" t="str">
        <f t="shared" si="127"/>
        <v>Distrito Capital de Bogotá</v>
      </c>
      <c r="X699" s="362" t="s">
        <v>832</v>
      </c>
      <c r="Y699" s="342">
        <v>2427400</v>
      </c>
      <c r="Z699" s="371" t="s">
        <v>803</v>
      </c>
    </row>
    <row r="700" spans="1:26" s="358" customFormat="1" ht="12.75" customHeight="1" x14ac:dyDescent="0.2">
      <c r="A700" s="342" t="s">
        <v>799</v>
      </c>
      <c r="B700" s="342">
        <v>56</v>
      </c>
      <c r="C700" s="366" t="s">
        <v>839</v>
      </c>
      <c r="D700" s="366" t="s">
        <v>826</v>
      </c>
      <c r="E700" s="367"/>
      <c r="F700" s="367">
        <v>190257716</v>
      </c>
      <c r="G700" s="367"/>
      <c r="H700" s="354" t="s">
        <v>834</v>
      </c>
      <c r="I700" s="368" t="s">
        <v>827</v>
      </c>
      <c r="J700" s="363">
        <v>1</v>
      </c>
      <c r="K700" s="363">
        <v>2</v>
      </c>
      <c r="L700" s="363">
        <v>11</v>
      </c>
      <c r="M700" s="342">
        <v>1</v>
      </c>
      <c r="N700" s="343" t="s">
        <v>36</v>
      </c>
      <c r="O700" s="344" t="str">
        <f>IF(ISBLANK(N700),"",VLOOKUP(N700,[23]Parámetros!$G$2:$H$23,2,FALSE))</f>
        <v xml:space="preserve">Contratación directa (con ofertas) </v>
      </c>
      <c r="P700" s="369">
        <v>1</v>
      </c>
      <c r="Q700" s="346">
        <f t="shared" si="128"/>
        <v>190257716</v>
      </c>
      <c r="R700" s="346">
        <f t="shared" si="129"/>
        <v>190257716</v>
      </c>
      <c r="S700" s="370" t="s">
        <v>223</v>
      </c>
      <c r="T700" s="343">
        <v>0</v>
      </c>
      <c r="U700" s="348" t="str">
        <f t="shared" si="125"/>
        <v>SUBDIRECCION DE GESTION CONTRACTUAL</v>
      </c>
      <c r="V700" s="342" t="str">
        <f t="shared" si="126"/>
        <v>CO-DC</v>
      </c>
      <c r="W700" s="348" t="str">
        <f t="shared" si="127"/>
        <v>Distrito Capital de Bogotá</v>
      </c>
      <c r="X700" s="362" t="s">
        <v>832</v>
      </c>
      <c r="Y700" s="342">
        <v>2427400</v>
      </c>
      <c r="Z700" s="371" t="s">
        <v>803</v>
      </c>
    </row>
    <row r="701" spans="1:26" s="358" customFormat="1" ht="12.75" customHeight="1" x14ac:dyDescent="0.2">
      <c r="A701" s="342" t="s">
        <v>799</v>
      </c>
      <c r="B701" s="342">
        <v>57</v>
      </c>
      <c r="C701" s="366" t="s">
        <v>840</v>
      </c>
      <c r="D701" s="366" t="s">
        <v>816</v>
      </c>
      <c r="E701" s="367"/>
      <c r="F701" s="367">
        <v>327166403</v>
      </c>
      <c r="G701" s="367"/>
      <c r="H701" s="354" t="s">
        <v>834</v>
      </c>
      <c r="I701" s="368" t="s">
        <v>827</v>
      </c>
      <c r="J701" s="363">
        <v>1</v>
      </c>
      <c r="K701" s="363">
        <v>2</v>
      </c>
      <c r="L701" s="363">
        <v>11</v>
      </c>
      <c r="M701" s="342">
        <v>1</v>
      </c>
      <c r="N701" s="343" t="s">
        <v>36</v>
      </c>
      <c r="O701" s="344" t="str">
        <f>IF(ISBLANK(N701),"",VLOOKUP(N701,[23]Parámetros!$G$2:$H$23,2,FALSE))</f>
        <v xml:space="preserve">Contratación directa (con ofertas) </v>
      </c>
      <c r="P701" s="369">
        <v>1</v>
      </c>
      <c r="Q701" s="346">
        <f t="shared" si="128"/>
        <v>327166403</v>
      </c>
      <c r="R701" s="346">
        <f t="shared" si="129"/>
        <v>327166403</v>
      </c>
      <c r="S701" s="370" t="s">
        <v>223</v>
      </c>
      <c r="T701" s="343">
        <v>0</v>
      </c>
      <c r="U701" s="348" t="str">
        <f t="shared" si="125"/>
        <v>SUBDIRECCION DE GESTION CONTRACTUAL</v>
      </c>
      <c r="V701" s="342" t="str">
        <f t="shared" si="126"/>
        <v>CO-DC</v>
      </c>
      <c r="W701" s="348" t="str">
        <f t="shared" si="127"/>
        <v>Distrito Capital de Bogotá</v>
      </c>
      <c r="X701" s="362" t="s">
        <v>832</v>
      </c>
      <c r="Y701" s="342">
        <v>2427400</v>
      </c>
      <c r="Z701" s="371" t="s">
        <v>803</v>
      </c>
    </row>
    <row r="702" spans="1:26" s="358" customFormat="1" ht="12.75" customHeight="1" x14ac:dyDescent="0.2">
      <c r="A702" s="342" t="s">
        <v>799</v>
      </c>
      <c r="B702" s="342">
        <v>58</v>
      </c>
      <c r="C702" s="366" t="s">
        <v>840</v>
      </c>
      <c r="D702" s="366" t="s">
        <v>819</v>
      </c>
      <c r="E702" s="367"/>
      <c r="F702" s="367">
        <v>218110938</v>
      </c>
      <c r="G702" s="367"/>
      <c r="H702" s="354" t="s">
        <v>834</v>
      </c>
      <c r="I702" s="368" t="s">
        <v>827</v>
      </c>
      <c r="J702" s="363">
        <v>1</v>
      </c>
      <c r="K702" s="363">
        <v>2</v>
      </c>
      <c r="L702" s="363">
        <v>11</v>
      </c>
      <c r="M702" s="342">
        <v>1</v>
      </c>
      <c r="N702" s="343" t="s">
        <v>36</v>
      </c>
      <c r="O702" s="344" t="str">
        <f>IF(ISBLANK(N702),"",VLOOKUP(N702,[23]Parámetros!$G$2:$H$23,2,FALSE))</f>
        <v xml:space="preserve">Contratación directa (con ofertas) </v>
      </c>
      <c r="P702" s="369">
        <v>1</v>
      </c>
      <c r="Q702" s="346">
        <f t="shared" si="128"/>
        <v>218110938</v>
      </c>
      <c r="R702" s="346">
        <f t="shared" si="129"/>
        <v>218110938</v>
      </c>
      <c r="S702" s="370" t="s">
        <v>223</v>
      </c>
      <c r="T702" s="343">
        <v>0</v>
      </c>
      <c r="U702" s="348" t="str">
        <f t="shared" si="125"/>
        <v>SUBDIRECCION DE GESTION CONTRACTUAL</v>
      </c>
      <c r="V702" s="342" t="str">
        <f t="shared" si="126"/>
        <v>CO-DC</v>
      </c>
      <c r="W702" s="348" t="str">
        <f t="shared" si="127"/>
        <v>Distrito Capital de Bogotá</v>
      </c>
      <c r="X702" s="362" t="s">
        <v>832</v>
      </c>
      <c r="Y702" s="342">
        <v>2427400</v>
      </c>
      <c r="Z702" s="371" t="s">
        <v>803</v>
      </c>
    </row>
    <row r="703" spans="1:26" s="358" customFormat="1" ht="12.75" customHeight="1" x14ac:dyDescent="0.2">
      <c r="A703" s="342" t="s">
        <v>799</v>
      </c>
      <c r="B703" s="342">
        <v>59</v>
      </c>
      <c r="C703" s="366" t="s">
        <v>840</v>
      </c>
      <c r="D703" s="366" t="s">
        <v>822</v>
      </c>
      <c r="E703" s="367"/>
      <c r="F703" s="367">
        <v>327166404</v>
      </c>
      <c r="G703" s="367"/>
      <c r="H703" s="354" t="s">
        <v>834</v>
      </c>
      <c r="I703" s="368" t="s">
        <v>827</v>
      </c>
      <c r="J703" s="363">
        <v>1</v>
      </c>
      <c r="K703" s="363">
        <v>2</v>
      </c>
      <c r="L703" s="363">
        <v>11</v>
      </c>
      <c r="M703" s="342">
        <v>1</v>
      </c>
      <c r="N703" s="343" t="s">
        <v>36</v>
      </c>
      <c r="O703" s="344" t="str">
        <f>IF(ISBLANK(N703),"",VLOOKUP(N703,[23]Parámetros!$G$2:$H$23,2,FALSE))</f>
        <v xml:space="preserve">Contratación directa (con ofertas) </v>
      </c>
      <c r="P703" s="369">
        <v>1</v>
      </c>
      <c r="Q703" s="346">
        <f t="shared" si="128"/>
        <v>327166404</v>
      </c>
      <c r="R703" s="346">
        <f t="shared" si="129"/>
        <v>327166404</v>
      </c>
      <c r="S703" s="370" t="s">
        <v>223</v>
      </c>
      <c r="T703" s="343">
        <v>0</v>
      </c>
      <c r="U703" s="348" t="str">
        <f t="shared" si="125"/>
        <v>SUBDIRECCION DE GESTION CONTRACTUAL</v>
      </c>
      <c r="V703" s="342" t="str">
        <f t="shared" si="126"/>
        <v>CO-DC</v>
      </c>
      <c r="W703" s="348" t="str">
        <f t="shared" si="127"/>
        <v>Distrito Capital de Bogotá</v>
      </c>
      <c r="X703" s="362" t="s">
        <v>832</v>
      </c>
      <c r="Y703" s="342">
        <v>2427400</v>
      </c>
      <c r="Z703" s="371" t="s">
        <v>803</v>
      </c>
    </row>
    <row r="704" spans="1:26" s="358" customFormat="1" ht="12.75" customHeight="1" x14ac:dyDescent="0.2">
      <c r="A704" s="342" t="s">
        <v>799</v>
      </c>
      <c r="B704" s="342">
        <v>60</v>
      </c>
      <c r="C704" s="366" t="s">
        <v>840</v>
      </c>
      <c r="D704" s="366" t="s">
        <v>825</v>
      </c>
      <c r="E704" s="367"/>
      <c r="F704" s="367">
        <v>218110938</v>
      </c>
      <c r="G704" s="367"/>
      <c r="H704" s="354" t="s">
        <v>834</v>
      </c>
      <c r="I704" s="368" t="s">
        <v>827</v>
      </c>
      <c r="J704" s="363">
        <v>1</v>
      </c>
      <c r="K704" s="363">
        <v>2</v>
      </c>
      <c r="L704" s="363">
        <v>11</v>
      </c>
      <c r="M704" s="342">
        <v>1</v>
      </c>
      <c r="N704" s="343" t="s">
        <v>36</v>
      </c>
      <c r="O704" s="344" t="str">
        <f>IF(ISBLANK(N704),"",VLOOKUP(N704,[23]Parámetros!$G$2:$H$23,2,FALSE))</f>
        <v xml:space="preserve">Contratación directa (con ofertas) </v>
      </c>
      <c r="P704" s="369">
        <v>1</v>
      </c>
      <c r="Q704" s="346">
        <f t="shared" si="128"/>
        <v>218110938</v>
      </c>
      <c r="R704" s="346">
        <f t="shared" si="129"/>
        <v>218110938</v>
      </c>
      <c r="S704" s="370" t="s">
        <v>223</v>
      </c>
      <c r="T704" s="343">
        <v>0</v>
      </c>
      <c r="U704" s="348" t="str">
        <f t="shared" si="125"/>
        <v>SUBDIRECCION DE GESTION CONTRACTUAL</v>
      </c>
      <c r="V704" s="342" t="str">
        <f t="shared" si="126"/>
        <v>CO-DC</v>
      </c>
      <c r="W704" s="348" t="str">
        <f t="shared" si="127"/>
        <v>Distrito Capital de Bogotá</v>
      </c>
      <c r="X704" s="362" t="s">
        <v>832</v>
      </c>
      <c r="Y704" s="342">
        <v>2427400</v>
      </c>
      <c r="Z704" s="371" t="s">
        <v>803</v>
      </c>
    </row>
    <row r="707" spans="4:9" ht="15" customHeight="1" x14ac:dyDescent="0.2">
      <c r="D707" s="127"/>
    </row>
    <row r="713" spans="4:9" ht="15" customHeight="1" x14ac:dyDescent="0.2">
      <c r="I713" s="287"/>
    </row>
  </sheetData>
  <sheetProtection insertRows="0" selectLockedCells="1"/>
  <autoFilter ref="A6:CG704" xr:uid="{00000000-0009-0000-0000-000001000000}"/>
  <sortState xmlns:xlrd2="http://schemas.microsoft.com/office/spreadsheetml/2017/richdata2" ref="A7:Z643">
    <sortCondition ref="A7:A643"/>
    <sortCondition ref="B7:B643"/>
  </sortState>
  <mergeCells count="24">
    <mergeCell ref="Z5:Z6"/>
    <mergeCell ref="O5:O6"/>
    <mergeCell ref="P5:P6"/>
    <mergeCell ref="Q5:Q6"/>
    <mergeCell ref="R5:R6"/>
    <mergeCell ref="S5:S6"/>
    <mergeCell ref="T5:T6"/>
    <mergeCell ref="U5:U6"/>
    <mergeCell ref="V5:V6"/>
    <mergeCell ref="W5:W6"/>
    <mergeCell ref="X5:X6"/>
    <mergeCell ref="Y5:Y6"/>
    <mergeCell ref="N5:N6"/>
    <mergeCell ref="A5:A6"/>
    <mergeCell ref="B5:B6"/>
    <mergeCell ref="C5:C6"/>
    <mergeCell ref="D5:D6"/>
    <mergeCell ref="E5:G5"/>
    <mergeCell ref="H5:H6"/>
    <mergeCell ref="I5:I6"/>
    <mergeCell ref="J5:J6"/>
    <mergeCell ref="K5:K6"/>
    <mergeCell ref="L5:L6"/>
    <mergeCell ref="M5:M6"/>
  </mergeCells>
  <dataValidations count="5">
    <dataValidation allowBlank="1" showErrorMessage="1" sqref="V509:V1048576 V7:V496" xr:uid="{00000000-0002-0000-0100-000000000000}"/>
    <dataValidation type="whole" operator="greaterThanOrEqual" allowBlank="1" showInputMessage="1" showErrorMessage="1" sqref="F45:G51 H33 E52:G84 E341:G496 F158:F213 F216:F227 G158:G227 E158:E227 E98:G157 G316 E228:G315 E320:E340 E38:E51 G645:G704 F322:F327 E510:G644 F43 E44:G44 E7:E36 E673:E704 F645:F672 G320:G340 F329:F340 G7:G43 F7:F41 E87:G96 E317:G319 Q318:R319" xr:uid="{00000000-0002-0000-0100-000001000000}">
      <formula1>0</formula1>
    </dataValidation>
    <dataValidation type="whole" allowBlank="1" showInputMessage="1" showErrorMessage="1" sqref="L129:L152 L300:L309 L247:L255 L633:L641 L214:L215 L392:L451 L330:L390 L154:L212 L16:L21 L98:L102 L36:L94 L509:L603 L243:L245 L228:L241 L263:L268 L104:L127 L270:L274 L276:L280 L288:L296 L282:L286 L32:L34 L298 L453:L469 L480:L487 L471:L478 M645:M704 L257:L261 L23:L30 L489:L496 L643:L704 L7:L14 L605:L631 L311:L328" xr:uid="{00000000-0002-0000-0100-000002000000}">
      <formula1>1</formula1>
      <formula2>24</formula2>
    </dataValidation>
    <dataValidation type="whole" allowBlank="1" showDropDown="1" showInputMessage="1" showErrorMessage="1" sqref="J392:K451 J298:K309 J247:K255 J633:K641 J214:K215 J489:K496 J330:K390 J154:K212 J16:K21 J98:K102 J36:K94 J509:K603 J243:K245 J228:K241 J263:K268 J104:K127 J270:K274 J276:K280 J282:K286 J129:K152 J288:K296 J453:K469 J480:K487 J471:K478 J7:K14 J257:K261 J23:K30 J32:K34 J643:K704 J605:K631 J311:K328" xr:uid="{00000000-0002-0000-0100-000003000000}">
      <formula1>1</formula1>
      <formula2>12</formula2>
    </dataValidation>
    <dataValidation type="list" allowBlank="1" showInputMessage="1" showErrorMessage="1" sqref="D707" xr:uid="{00000000-0002-0000-0100-000004000000}">
      <formula1>"Programa,Proyecto"</formula1>
    </dataValidation>
  </dataValidations>
  <hyperlinks>
    <hyperlink ref="Z52" r:id="rId1" xr:uid="{00000000-0004-0000-0100-000000000000}"/>
    <hyperlink ref="Z53" r:id="rId2" xr:uid="{00000000-0004-0000-0100-000001000000}"/>
    <hyperlink ref="Z54" r:id="rId3" xr:uid="{00000000-0004-0000-0100-000002000000}"/>
    <hyperlink ref="Z56" r:id="rId4" xr:uid="{00000000-0004-0000-0100-000003000000}"/>
    <hyperlink ref="Z57" r:id="rId5" xr:uid="{00000000-0004-0000-0100-000004000000}"/>
    <hyperlink ref="Z58" r:id="rId6" xr:uid="{00000000-0004-0000-0100-000005000000}"/>
    <hyperlink ref="Z59" r:id="rId7" xr:uid="{00000000-0004-0000-0100-000006000000}"/>
    <hyperlink ref="Z60" r:id="rId8" xr:uid="{00000000-0004-0000-0100-000007000000}"/>
    <hyperlink ref="Z61" r:id="rId9" xr:uid="{00000000-0004-0000-0100-000008000000}"/>
    <hyperlink ref="Z62" r:id="rId10" xr:uid="{00000000-0004-0000-0100-000009000000}"/>
    <hyperlink ref="Z63" r:id="rId11" xr:uid="{00000000-0004-0000-0100-00000A000000}"/>
    <hyperlink ref="Z64" r:id="rId12" xr:uid="{00000000-0004-0000-0100-00000B000000}"/>
    <hyperlink ref="Z65" r:id="rId13" xr:uid="{00000000-0004-0000-0100-00000C000000}"/>
    <hyperlink ref="Z66" r:id="rId14" xr:uid="{00000000-0004-0000-0100-00000D000000}"/>
    <hyperlink ref="Z67" r:id="rId15" xr:uid="{00000000-0004-0000-0100-00000E000000}"/>
    <hyperlink ref="Z68" r:id="rId16" xr:uid="{00000000-0004-0000-0100-00000F000000}"/>
    <hyperlink ref="Z69" r:id="rId17" xr:uid="{00000000-0004-0000-0100-000010000000}"/>
    <hyperlink ref="Z70" r:id="rId18" xr:uid="{00000000-0004-0000-0100-000011000000}"/>
    <hyperlink ref="Z71" r:id="rId19" xr:uid="{00000000-0004-0000-0100-000012000000}"/>
    <hyperlink ref="Z72" r:id="rId20" xr:uid="{00000000-0004-0000-0100-000013000000}"/>
    <hyperlink ref="Z73" r:id="rId21" xr:uid="{00000000-0004-0000-0100-000014000000}"/>
    <hyperlink ref="Z74" r:id="rId22" xr:uid="{00000000-0004-0000-0100-000015000000}"/>
    <hyperlink ref="Z75" r:id="rId23" xr:uid="{00000000-0004-0000-0100-000016000000}"/>
    <hyperlink ref="Z76" r:id="rId24" xr:uid="{00000000-0004-0000-0100-000017000000}"/>
    <hyperlink ref="Z77" r:id="rId25" xr:uid="{00000000-0004-0000-0100-000018000000}"/>
    <hyperlink ref="Z78" r:id="rId26" xr:uid="{00000000-0004-0000-0100-000019000000}"/>
    <hyperlink ref="Z79" r:id="rId27" xr:uid="{00000000-0004-0000-0100-00001A000000}"/>
    <hyperlink ref="Z80" r:id="rId28" xr:uid="{00000000-0004-0000-0100-00001B000000}"/>
    <hyperlink ref="Z81" r:id="rId29" xr:uid="{00000000-0004-0000-0100-00001C000000}"/>
    <hyperlink ref="Z82" r:id="rId30" xr:uid="{00000000-0004-0000-0100-00001D000000}"/>
    <hyperlink ref="Z83" r:id="rId31" xr:uid="{00000000-0004-0000-0100-00001E000000}"/>
    <hyperlink ref="Z84" r:id="rId32" xr:uid="{00000000-0004-0000-0100-00001F000000}"/>
    <hyperlink ref="Z85" r:id="rId33" xr:uid="{00000000-0004-0000-0100-000020000000}"/>
    <hyperlink ref="Z86" r:id="rId34" xr:uid="{00000000-0004-0000-0100-000021000000}"/>
    <hyperlink ref="Z87" r:id="rId35" xr:uid="{00000000-0004-0000-0100-000022000000}"/>
    <hyperlink ref="Z88" r:id="rId36" xr:uid="{00000000-0004-0000-0100-000023000000}"/>
    <hyperlink ref="Z89" r:id="rId37" xr:uid="{00000000-0004-0000-0100-000024000000}"/>
    <hyperlink ref="Z94" r:id="rId38" xr:uid="{00000000-0004-0000-0100-000025000000}"/>
    <hyperlink ref="Z91" r:id="rId39" xr:uid="{00000000-0004-0000-0100-000026000000}"/>
    <hyperlink ref="Z90" r:id="rId40" xr:uid="{00000000-0004-0000-0100-000027000000}"/>
    <hyperlink ref="Z92" r:id="rId41" xr:uid="{00000000-0004-0000-0100-000028000000}"/>
    <hyperlink ref="Z55" r:id="rId42" xr:uid="{00000000-0004-0000-0100-000029000000}"/>
    <hyperlink ref="Z95" r:id="rId43" xr:uid="{00000000-0004-0000-0100-00002A000000}"/>
    <hyperlink ref="Z98" r:id="rId44" xr:uid="{00000000-0004-0000-0100-00002B000000}"/>
    <hyperlink ref="Z161" r:id="rId45" xr:uid="{00000000-0004-0000-0100-00002C000000}"/>
    <hyperlink ref="Z162" r:id="rId46" xr:uid="{00000000-0004-0000-0100-00002D000000}"/>
    <hyperlink ref="Z163" r:id="rId47" xr:uid="{00000000-0004-0000-0100-00002E000000}"/>
    <hyperlink ref="Z175" r:id="rId48" xr:uid="{00000000-0004-0000-0100-00002F000000}"/>
    <hyperlink ref="Z181" r:id="rId49" xr:uid="{00000000-0004-0000-0100-000030000000}"/>
    <hyperlink ref="Z187" r:id="rId50" xr:uid="{00000000-0004-0000-0100-000031000000}"/>
    <hyperlink ref="Z188" r:id="rId51" xr:uid="{00000000-0004-0000-0100-000032000000}"/>
    <hyperlink ref="Z193" r:id="rId52" xr:uid="{00000000-0004-0000-0100-000033000000}"/>
    <hyperlink ref="Z205" r:id="rId53" xr:uid="{00000000-0004-0000-0100-000034000000}"/>
    <hyperlink ref="Z206" r:id="rId54" xr:uid="{00000000-0004-0000-0100-000035000000}"/>
    <hyperlink ref="Z164" r:id="rId55" xr:uid="{00000000-0004-0000-0100-000036000000}"/>
    <hyperlink ref="Z165:Z166" r:id="rId56" display="diana.vivas@mininterior.gov.co" xr:uid="{00000000-0004-0000-0100-000037000000}"/>
    <hyperlink ref="Z174" r:id="rId57" xr:uid="{00000000-0004-0000-0100-000038000000}"/>
    <hyperlink ref="Z180" r:id="rId58" xr:uid="{00000000-0004-0000-0100-000039000000}"/>
    <hyperlink ref="Z185:Z186" r:id="rId59" display="diana.vivas@mininterior.gov.co" xr:uid="{00000000-0004-0000-0100-00003A000000}"/>
    <hyperlink ref="Z194" r:id="rId60" xr:uid="{00000000-0004-0000-0100-00003B000000}"/>
    <hyperlink ref="Z197:Z198" r:id="rId61" display="diana.vivas@mininterior.gov.co" xr:uid="{00000000-0004-0000-0100-00003C000000}"/>
    <hyperlink ref="Z210:Z212" r:id="rId62" display="diana.vivas@mininterior.gov.co" xr:uid="{00000000-0004-0000-0100-00003D000000}"/>
    <hyperlink ref="Z320" r:id="rId63" xr:uid="{00000000-0004-0000-0100-00003E000000}"/>
    <hyperlink ref="Z321:Z325" r:id="rId64" display="yuly.manosalva@mininterior.gov.co" xr:uid="{00000000-0004-0000-0100-00003F000000}"/>
    <hyperlink ref="Z327" r:id="rId65" xr:uid="{00000000-0004-0000-0100-000040000000}"/>
    <hyperlink ref="Z328" r:id="rId66" xr:uid="{00000000-0004-0000-0100-000041000000}"/>
    <hyperlink ref="Z331" r:id="rId67" xr:uid="{00000000-0004-0000-0100-000042000000}"/>
    <hyperlink ref="Z332" r:id="rId68" xr:uid="{00000000-0004-0000-0100-000043000000}"/>
    <hyperlink ref="Z333" r:id="rId69" xr:uid="{00000000-0004-0000-0100-000044000000}"/>
    <hyperlink ref="Z334" r:id="rId70" xr:uid="{00000000-0004-0000-0100-000045000000}"/>
    <hyperlink ref="Z335" r:id="rId71" xr:uid="{00000000-0004-0000-0100-000046000000}"/>
    <hyperlink ref="Z337" r:id="rId72" xr:uid="{00000000-0004-0000-0100-000047000000}"/>
    <hyperlink ref="Z338" r:id="rId73" xr:uid="{00000000-0004-0000-0100-000048000000}"/>
    <hyperlink ref="Z348" r:id="rId74" xr:uid="{00000000-0004-0000-0100-000049000000}"/>
    <hyperlink ref="Z455" r:id="rId75" xr:uid="{00000000-0004-0000-0100-00004A000000}"/>
    <hyperlink ref="Z510" r:id="rId76" xr:uid="{00000000-0004-0000-0100-00004B000000}"/>
    <hyperlink ref="Z511" r:id="rId77" xr:uid="{00000000-0004-0000-0100-00004C000000}"/>
    <hyperlink ref="Z512" r:id="rId78" xr:uid="{00000000-0004-0000-0100-00004D000000}"/>
    <hyperlink ref="Z513" r:id="rId79" xr:uid="{00000000-0004-0000-0100-00004E000000}"/>
    <hyperlink ref="Z514" r:id="rId80" xr:uid="{00000000-0004-0000-0100-00004F000000}"/>
    <hyperlink ref="Z515" r:id="rId81" xr:uid="{00000000-0004-0000-0100-000050000000}"/>
    <hyperlink ref="Z516" r:id="rId82" xr:uid="{00000000-0004-0000-0100-000051000000}"/>
    <hyperlink ref="Z517" r:id="rId83" xr:uid="{00000000-0004-0000-0100-000052000000}"/>
    <hyperlink ref="Z518" r:id="rId84" xr:uid="{00000000-0004-0000-0100-000053000000}"/>
    <hyperlink ref="Z519" r:id="rId85" xr:uid="{00000000-0004-0000-0100-000054000000}"/>
    <hyperlink ref="Z520" r:id="rId86" xr:uid="{00000000-0004-0000-0100-000055000000}"/>
    <hyperlink ref="Z521" r:id="rId87" xr:uid="{00000000-0004-0000-0100-000056000000}"/>
    <hyperlink ref="Z522" r:id="rId88" xr:uid="{00000000-0004-0000-0100-000057000000}"/>
    <hyperlink ref="Z523" r:id="rId89" xr:uid="{00000000-0004-0000-0100-000058000000}"/>
    <hyperlink ref="Z524" r:id="rId90" xr:uid="{00000000-0004-0000-0100-000059000000}"/>
    <hyperlink ref="Z525" r:id="rId91" xr:uid="{00000000-0004-0000-0100-00005A000000}"/>
    <hyperlink ref="Z526" r:id="rId92" xr:uid="{00000000-0004-0000-0100-00005B000000}"/>
    <hyperlink ref="Z527" r:id="rId93" xr:uid="{00000000-0004-0000-0100-00005C000000}"/>
    <hyperlink ref="Z528" r:id="rId94" xr:uid="{00000000-0004-0000-0100-00005D000000}"/>
    <hyperlink ref="Z529" r:id="rId95" xr:uid="{00000000-0004-0000-0100-00005E000000}"/>
    <hyperlink ref="Z530" r:id="rId96" xr:uid="{00000000-0004-0000-0100-00005F000000}"/>
    <hyperlink ref="Z531" r:id="rId97" xr:uid="{00000000-0004-0000-0100-000060000000}"/>
    <hyperlink ref="Z532" r:id="rId98" xr:uid="{00000000-0004-0000-0100-000061000000}"/>
    <hyperlink ref="Z533" r:id="rId99" xr:uid="{00000000-0004-0000-0100-000062000000}"/>
    <hyperlink ref="Z534" r:id="rId100" xr:uid="{00000000-0004-0000-0100-000063000000}"/>
    <hyperlink ref="Z535" r:id="rId101" xr:uid="{00000000-0004-0000-0100-000064000000}"/>
    <hyperlink ref="Z536" r:id="rId102" xr:uid="{00000000-0004-0000-0100-000065000000}"/>
    <hyperlink ref="Z537" r:id="rId103" xr:uid="{00000000-0004-0000-0100-000066000000}"/>
    <hyperlink ref="Z538" r:id="rId104" xr:uid="{00000000-0004-0000-0100-000067000000}"/>
    <hyperlink ref="Z539" r:id="rId105" xr:uid="{00000000-0004-0000-0100-000068000000}"/>
    <hyperlink ref="Z540" r:id="rId106" xr:uid="{00000000-0004-0000-0100-000069000000}"/>
    <hyperlink ref="Z541" r:id="rId107" xr:uid="{00000000-0004-0000-0100-00006A000000}"/>
    <hyperlink ref="Z542" r:id="rId108" xr:uid="{00000000-0004-0000-0100-00006B000000}"/>
    <hyperlink ref="Z543" r:id="rId109" xr:uid="{00000000-0004-0000-0100-00006C000000}"/>
    <hyperlink ref="Z544" r:id="rId110" xr:uid="{00000000-0004-0000-0100-00006D000000}"/>
    <hyperlink ref="Z545" r:id="rId111" xr:uid="{00000000-0004-0000-0100-00006E000000}"/>
    <hyperlink ref="Z546" r:id="rId112" xr:uid="{00000000-0004-0000-0100-00006F000000}"/>
    <hyperlink ref="Z547" r:id="rId113" xr:uid="{00000000-0004-0000-0100-000070000000}"/>
    <hyperlink ref="Z548" r:id="rId114" xr:uid="{00000000-0004-0000-0100-000071000000}"/>
    <hyperlink ref="Z549" r:id="rId115" xr:uid="{00000000-0004-0000-0100-000072000000}"/>
    <hyperlink ref="Z550" r:id="rId116" xr:uid="{00000000-0004-0000-0100-000073000000}"/>
    <hyperlink ref="Z551" r:id="rId117" xr:uid="{00000000-0004-0000-0100-000074000000}"/>
    <hyperlink ref="Z552" r:id="rId118" xr:uid="{00000000-0004-0000-0100-000075000000}"/>
    <hyperlink ref="Z553" r:id="rId119" xr:uid="{00000000-0004-0000-0100-000076000000}"/>
    <hyperlink ref="Z554" r:id="rId120" xr:uid="{00000000-0004-0000-0100-000077000000}"/>
    <hyperlink ref="Z555" r:id="rId121" xr:uid="{00000000-0004-0000-0100-000078000000}"/>
    <hyperlink ref="Z556" r:id="rId122" xr:uid="{00000000-0004-0000-0100-000079000000}"/>
    <hyperlink ref="Z557" r:id="rId123" xr:uid="{00000000-0004-0000-0100-00007A000000}"/>
    <hyperlink ref="Z558" r:id="rId124" xr:uid="{00000000-0004-0000-0100-00007B000000}"/>
    <hyperlink ref="Z559" r:id="rId125" xr:uid="{00000000-0004-0000-0100-00007C000000}"/>
    <hyperlink ref="Z560" r:id="rId126" xr:uid="{00000000-0004-0000-0100-00007D000000}"/>
    <hyperlink ref="Z561" r:id="rId127" xr:uid="{00000000-0004-0000-0100-00007E000000}"/>
    <hyperlink ref="Z562" r:id="rId128" xr:uid="{00000000-0004-0000-0100-00007F000000}"/>
    <hyperlink ref="Z563" r:id="rId129" xr:uid="{00000000-0004-0000-0100-000080000000}"/>
    <hyperlink ref="Z564" r:id="rId130" xr:uid="{00000000-0004-0000-0100-000081000000}"/>
    <hyperlink ref="Z565" r:id="rId131" xr:uid="{00000000-0004-0000-0100-000082000000}"/>
    <hyperlink ref="Z566" r:id="rId132" xr:uid="{00000000-0004-0000-0100-000083000000}"/>
    <hyperlink ref="Z567" r:id="rId133" xr:uid="{00000000-0004-0000-0100-000084000000}"/>
    <hyperlink ref="Z568" r:id="rId134" xr:uid="{00000000-0004-0000-0100-000085000000}"/>
    <hyperlink ref="Z569" r:id="rId135" xr:uid="{00000000-0004-0000-0100-000086000000}"/>
    <hyperlink ref="Z570" r:id="rId136" xr:uid="{00000000-0004-0000-0100-000087000000}"/>
    <hyperlink ref="Z571" r:id="rId137" xr:uid="{00000000-0004-0000-0100-000088000000}"/>
    <hyperlink ref="Z572" r:id="rId138" xr:uid="{00000000-0004-0000-0100-000089000000}"/>
    <hyperlink ref="Z573" r:id="rId139" xr:uid="{00000000-0004-0000-0100-00008A000000}"/>
    <hyperlink ref="Z574" r:id="rId140" xr:uid="{00000000-0004-0000-0100-00008B000000}"/>
    <hyperlink ref="Z575" r:id="rId141" xr:uid="{00000000-0004-0000-0100-00008C000000}"/>
    <hyperlink ref="Z576" r:id="rId142" xr:uid="{00000000-0004-0000-0100-00008D000000}"/>
    <hyperlink ref="Z577" r:id="rId143" xr:uid="{00000000-0004-0000-0100-00008E000000}"/>
    <hyperlink ref="Z578" r:id="rId144" xr:uid="{00000000-0004-0000-0100-00008F000000}"/>
    <hyperlink ref="Z579" r:id="rId145" xr:uid="{00000000-0004-0000-0100-000090000000}"/>
    <hyperlink ref="Z580" r:id="rId146" xr:uid="{00000000-0004-0000-0100-000091000000}"/>
    <hyperlink ref="Z581" r:id="rId147" xr:uid="{00000000-0004-0000-0100-000092000000}"/>
    <hyperlink ref="Z582" r:id="rId148" xr:uid="{00000000-0004-0000-0100-000093000000}"/>
    <hyperlink ref="Z583" r:id="rId149" xr:uid="{00000000-0004-0000-0100-000094000000}"/>
    <hyperlink ref="Z584" r:id="rId150" xr:uid="{00000000-0004-0000-0100-000095000000}"/>
    <hyperlink ref="Z585" r:id="rId151" xr:uid="{00000000-0004-0000-0100-000096000000}"/>
    <hyperlink ref="Z586" r:id="rId152" xr:uid="{00000000-0004-0000-0100-000097000000}"/>
    <hyperlink ref="Z587" r:id="rId153" xr:uid="{00000000-0004-0000-0100-000098000000}"/>
    <hyperlink ref="Z588" r:id="rId154" xr:uid="{00000000-0004-0000-0100-000099000000}"/>
    <hyperlink ref="Z589" r:id="rId155" xr:uid="{00000000-0004-0000-0100-00009A000000}"/>
    <hyperlink ref="Z590" r:id="rId156" xr:uid="{00000000-0004-0000-0100-00009B000000}"/>
    <hyperlink ref="Z591" r:id="rId157" xr:uid="{00000000-0004-0000-0100-00009C000000}"/>
    <hyperlink ref="Z592" r:id="rId158" xr:uid="{00000000-0004-0000-0100-00009D000000}"/>
    <hyperlink ref="Z593" r:id="rId159" xr:uid="{00000000-0004-0000-0100-00009E000000}"/>
    <hyperlink ref="Z594" r:id="rId160" xr:uid="{00000000-0004-0000-0100-00009F000000}"/>
    <hyperlink ref="Z595" r:id="rId161" xr:uid="{00000000-0004-0000-0100-0000A0000000}"/>
    <hyperlink ref="Z596" r:id="rId162" xr:uid="{00000000-0004-0000-0100-0000A1000000}"/>
    <hyperlink ref="Z597" r:id="rId163" xr:uid="{00000000-0004-0000-0100-0000A2000000}"/>
    <hyperlink ref="Z598" r:id="rId164" xr:uid="{00000000-0004-0000-0100-0000A3000000}"/>
    <hyperlink ref="Z599" r:id="rId165" xr:uid="{00000000-0004-0000-0100-0000A4000000}"/>
    <hyperlink ref="Z600" r:id="rId166" xr:uid="{00000000-0004-0000-0100-0000A5000000}"/>
    <hyperlink ref="Z601" r:id="rId167" xr:uid="{00000000-0004-0000-0100-0000A6000000}"/>
    <hyperlink ref="Z626" r:id="rId168" xr:uid="{00000000-0004-0000-0100-0000A7000000}"/>
    <hyperlink ref="Z627" r:id="rId169" xr:uid="{00000000-0004-0000-0100-0000A8000000}"/>
    <hyperlink ref="Z628" r:id="rId170" xr:uid="{00000000-0004-0000-0100-0000A9000000}"/>
    <hyperlink ref="Z629" r:id="rId171" xr:uid="{00000000-0004-0000-0100-0000AA000000}"/>
    <hyperlink ref="Z606" r:id="rId172" xr:uid="{00000000-0004-0000-0100-0000AB000000}"/>
    <hyperlink ref="Z607" r:id="rId173" xr:uid="{00000000-0004-0000-0100-0000AC000000}"/>
    <hyperlink ref="Z608" r:id="rId174" xr:uid="{00000000-0004-0000-0100-0000AD000000}"/>
    <hyperlink ref="Z609" r:id="rId175" xr:uid="{00000000-0004-0000-0100-0000AE000000}"/>
    <hyperlink ref="Z610" r:id="rId176" xr:uid="{00000000-0004-0000-0100-0000AF000000}"/>
    <hyperlink ref="Z611" r:id="rId177" xr:uid="{00000000-0004-0000-0100-0000B0000000}"/>
    <hyperlink ref="Z612" r:id="rId178" xr:uid="{00000000-0004-0000-0100-0000B1000000}"/>
    <hyperlink ref="Z613" r:id="rId179" xr:uid="{00000000-0004-0000-0100-0000B2000000}"/>
    <hyperlink ref="Z614" r:id="rId180" xr:uid="{00000000-0004-0000-0100-0000B3000000}"/>
    <hyperlink ref="Z615" r:id="rId181" xr:uid="{00000000-0004-0000-0100-0000B4000000}"/>
    <hyperlink ref="Z616" r:id="rId182" xr:uid="{00000000-0004-0000-0100-0000B5000000}"/>
    <hyperlink ref="Z617" r:id="rId183" xr:uid="{00000000-0004-0000-0100-0000B6000000}"/>
    <hyperlink ref="Z618" r:id="rId184" xr:uid="{00000000-0004-0000-0100-0000B7000000}"/>
    <hyperlink ref="Z619" r:id="rId185" xr:uid="{00000000-0004-0000-0100-0000B8000000}"/>
    <hyperlink ref="Z620" r:id="rId186" xr:uid="{00000000-0004-0000-0100-0000B9000000}"/>
    <hyperlink ref="Z621" r:id="rId187" xr:uid="{00000000-0004-0000-0100-0000BA000000}"/>
    <hyperlink ref="Z622" r:id="rId188" xr:uid="{00000000-0004-0000-0100-0000BB000000}"/>
    <hyperlink ref="Z623" r:id="rId189" xr:uid="{00000000-0004-0000-0100-0000BC000000}"/>
    <hyperlink ref="Z624" r:id="rId190" xr:uid="{00000000-0004-0000-0100-0000BD000000}"/>
    <hyperlink ref="Z625" r:id="rId191" xr:uid="{00000000-0004-0000-0100-0000BE000000}"/>
    <hyperlink ref="Z602" r:id="rId192" xr:uid="{00000000-0004-0000-0100-0000BF000000}"/>
    <hyperlink ref="Z630" r:id="rId193" xr:uid="{00000000-0004-0000-0100-0000C0000000}"/>
    <hyperlink ref="Z603" r:id="rId194" xr:uid="{00000000-0004-0000-0100-0000C1000000}"/>
    <hyperlink ref="Z604" r:id="rId195" xr:uid="{00000000-0004-0000-0100-0000C2000000}"/>
    <hyperlink ref="Z605" r:id="rId196" xr:uid="{00000000-0004-0000-0100-0000C3000000}"/>
    <hyperlink ref="Z473" r:id="rId197" display="mailto:sonia.bernal@mininterior.gov.co" xr:uid="{00000000-0004-0000-0100-0000C4000000}"/>
    <hyperlink ref="Z155" r:id="rId198" xr:uid="{00000000-0004-0000-0100-0000C5000000}"/>
    <hyperlink ref="Z290" r:id="rId199" xr:uid="{00000000-0004-0000-0100-0000C6000000}"/>
    <hyperlink ref="Z326" r:id="rId200" xr:uid="{00000000-0004-0000-0100-0000C7000000}"/>
    <hyperlink ref="Z346" r:id="rId201" xr:uid="{00000000-0004-0000-0100-0000C8000000}"/>
    <hyperlink ref="Z373" r:id="rId202" xr:uid="{00000000-0004-0000-0100-0000C9000000}"/>
    <hyperlink ref="Z30" r:id="rId203" xr:uid="{00000000-0004-0000-0100-0000CA000000}"/>
    <hyperlink ref="Z137" r:id="rId204" xr:uid="{00000000-0004-0000-0100-0000CB000000}"/>
    <hyperlink ref="Z154" r:id="rId205" xr:uid="{00000000-0004-0000-0100-0000CC000000}"/>
    <hyperlink ref="Z216" r:id="rId206" xr:uid="{00000000-0004-0000-0100-0000CD000000}"/>
    <hyperlink ref="Z325" r:id="rId207" xr:uid="{00000000-0004-0000-0100-0000CE000000}"/>
    <hyperlink ref="Z349" r:id="rId208" xr:uid="{00000000-0004-0000-0100-0000CF000000}"/>
    <hyperlink ref="Z375" r:id="rId209" xr:uid="{00000000-0004-0000-0100-0000D0000000}"/>
    <hyperlink ref="Z495" r:id="rId210" xr:uid="{00000000-0004-0000-0100-0000D1000000}"/>
    <hyperlink ref="Z643" r:id="rId211" xr:uid="{00000000-0004-0000-0100-0000D2000000}"/>
    <hyperlink ref="Z474" r:id="rId212" xr:uid="{00000000-0004-0000-0100-0000D3000000}"/>
    <hyperlink ref="Z645" r:id="rId213" xr:uid="{00000000-0004-0000-0100-0000D4000000}"/>
    <hyperlink ref="Z673" r:id="rId214" xr:uid="{00000000-0004-0000-0100-0000D5000000}"/>
    <hyperlink ref="Z646" r:id="rId215" xr:uid="{00000000-0004-0000-0100-0000D6000000}"/>
    <hyperlink ref="Z647" r:id="rId216" xr:uid="{00000000-0004-0000-0100-0000D7000000}"/>
    <hyperlink ref="Z648" r:id="rId217" xr:uid="{00000000-0004-0000-0100-0000D8000000}"/>
    <hyperlink ref="Z649" r:id="rId218" xr:uid="{00000000-0004-0000-0100-0000D9000000}"/>
    <hyperlink ref="Z650" r:id="rId219" xr:uid="{00000000-0004-0000-0100-0000DA000000}"/>
    <hyperlink ref="Z651" r:id="rId220" xr:uid="{00000000-0004-0000-0100-0000DB000000}"/>
    <hyperlink ref="Z652" r:id="rId221" xr:uid="{00000000-0004-0000-0100-0000DC000000}"/>
    <hyperlink ref="Z653" r:id="rId222" xr:uid="{00000000-0004-0000-0100-0000DD000000}"/>
    <hyperlink ref="Z654" r:id="rId223" xr:uid="{00000000-0004-0000-0100-0000DE000000}"/>
    <hyperlink ref="Z655" r:id="rId224" xr:uid="{00000000-0004-0000-0100-0000DF000000}"/>
    <hyperlink ref="Z656" r:id="rId225" xr:uid="{00000000-0004-0000-0100-0000E0000000}"/>
    <hyperlink ref="Z657" r:id="rId226" xr:uid="{00000000-0004-0000-0100-0000E1000000}"/>
    <hyperlink ref="Z658" r:id="rId227" xr:uid="{00000000-0004-0000-0100-0000E2000000}"/>
    <hyperlink ref="Z659" r:id="rId228" xr:uid="{00000000-0004-0000-0100-0000E3000000}"/>
    <hyperlink ref="Z660" r:id="rId229" xr:uid="{00000000-0004-0000-0100-0000E4000000}"/>
    <hyperlink ref="Z661" r:id="rId230" xr:uid="{00000000-0004-0000-0100-0000E5000000}"/>
    <hyperlink ref="Z662" r:id="rId231" xr:uid="{00000000-0004-0000-0100-0000E6000000}"/>
    <hyperlink ref="Z663" r:id="rId232" xr:uid="{00000000-0004-0000-0100-0000E7000000}"/>
    <hyperlink ref="Z664" r:id="rId233" xr:uid="{00000000-0004-0000-0100-0000E8000000}"/>
    <hyperlink ref="Z665" r:id="rId234" xr:uid="{00000000-0004-0000-0100-0000E9000000}"/>
    <hyperlink ref="Z666" r:id="rId235" xr:uid="{00000000-0004-0000-0100-0000EA000000}"/>
    <hyperlink ref="Z667" r:id="rId236" xr:uid="{00000000-0004-0000-0100-0000EB000000}"/>
    <hyperlink ref="Z668" r:id="rId237" xr:uid="{00000000-0004-0000-0100-0000EC000000}"/>
    <hyperlink ref="Z669" r:id="rId238" xr:uid="{00000000-0004-0000-0100-0000ED000000}"/>
    <hyperlink ref="Z670" r:id="rId239" xr:uid="{00000000-0004-0000-0100-0000EE000000}"/>
    <hyperlink ref="Z671" r:id="rId240" xr:uid="{00000000-0004-0000-0100-0000EF000000}"/>
    <hyperlink ref="Z672" r:id="rId241" xr:uid="{00000000-0004-0000-0100-0000F0000000}"/>
    <hyperlink ref="Z674" r:id="rId242" xr:uid="{00000000-0004-0000-0100-0000F1000000}"/>
    <hyperlink ref="Z675" r:id="rId243" xr:uid="{00000000-0004-0000-0100-0000F2000000}"/>
    <hyperlink ref="Z676" r:id="rId244" xr:uid="{00000000-0004-0000-0100-0000F3000000}"/>
    <hyperlink ref="Z677" r:id="rId245" xr:uid="{00000000-0004-0000-0100-0000F4000000}"/>
    <hyperlink ref="Z678" r:id="rId246" xr:uid="{00000000-0004-0000-0100-0000F5000000}"/>
    <hyperlink ref="Z679" r:id="rId247" xr:uid="{00000000-0004-0000-0100-0000F6000000}"/>
    <hyperlink ref="Z680" r:id="rId248" xr:uid="{00000000-0004-0000-0100-0000F7000000}"/>
    <hyperlink ref="Z681" r:id="rId249" xr:uid="{00000000-0004-0000-0100-0000F8000000}"/>
    <hyperlink ref="Z682" r:id="rId250" xr:uid="{00000000-0004-0000-0100-0000F9000000}"/>
    <hyperlink ref="Z683" r:id="rId251" xr:uid="{00000000-0004-0000-0100-0000FA000000}"/>
    <hyperlink ref="Z684" r:id="rId252" xr:uid="{00000000-0004-0000-0100-0000FB000000}"/>
    <hyperlink ref="Z685" r:id="rId253" xr:uid="{00000000-0004-0000-0100-0000FC000000}"/>
    <hyperlink ref="Z686" r:id="rId254" xr:uid="{00000000-0004-0000-0100-0000FD000000}"/>
    <hyperlink ref="Z687" r:id="rId255" xr:uid="{00000000-0004-0000-0100-0000FE000000}"/>
    <hyperlink ref="Z688" r:id="rId256" xr:uid="{00000000-0004-0000-0100-0000FF000000}"/>
    <hyperlink ref="Z689" r:id="rId257" xr:uid="{00000000-0004-0000-0100-000000010000}"/>
    <hyperlink ref="Z690" r:id="rId258" xr:uid="{00000000-0004-0000-0100-000001010000}"/>
    <hyperlink ref="Z691" r:id="rId259" xr:uid="{00000000-0004-0000-0100-000002010000}"/>
    <hyperlink ref="Z692" r:id="rId260" xr:uid="{00000000-0004-0000-0100-000003010000}"/>
    <hyperlink ref="Z693" r:id="rId261" xr:uid="{00000000-0004-0000-0100-000004010000}"/>
    <hyperlink ref="Z694" r:id="rId262" xr:uid="{00000000-0004-0000-0100-000005010000}"/>
    <hyperlink ref="Z695" r:id="rId263" xr:uid="{00000000-0004-0000-0100-000006010000}"/>
    <hyperlink ref="Z696" r:id="rId264" xr:uid="{00000000-0004-0000-0100-000007010000}"/>
    <hyperlink ref="Z697" r:id="rId265" xr:uid="{00000000-0004-0000-0100-000008010000}"/>
    <hyperlink ref="Z698" r:id="rId266" xr:uid="{00000000-0004-0000-0100-000009010000}"/>
    <hyperlink ref="Z699" r:id="rId267" xr:uid="{00000000-0004-0000-0100-00000A010000}"/>
    <hyperlink ref="Z700" r:id="rId268" xr:uid="{00000000-0004-0000-0100-00000B010000}"/>
    <hyperlink ref="Z701" r:id="rId269" xr:uid="{00000000-0004-0000-0100-00000C010000}"/>
    <hyperlink ref="Z702" r:id="rId270" xr:uid="{00000000-0004-0000-0100-00000D010000}"/>
    <hyperlink ref="Z703" r:id="rId271" xr:uid="{00000000-0004-0000-0100-00000E010000}"/>
    <hyperlink ref="Z704" r:id="rId272" xr:uid="{00000000-0004-0000-0100-00000F010000}"/>
    <hyperlink ref="Z340" r:id="rId273" xr:uid="{00000000-0004-0000-0100-000010010000}"/>
    <hyperlink ref="Z339" r:id="rId274" xr:uid="{00000000-0004-0000-0100-000011010000}"/>
    <hyperlink ref="Z631" r:id="rId275" xr:uid="{00000000-0004-0000-0100-000012010000}"/>
    <hyperlink ref="Z632" r:id="rId276" xr:uid="{00000000-0004-0000-0100-000013010000}"/>
    <hyperlink ref="Z157" r:id="rId277" xr:uid="{00000000-0004-0000-0100-000014010000}"/>
    <hyperlink ref="Z644" r:id="rId278" xr:uid="{00000000-0004-0000-0100-000015010000}"/>
    <hyperlink ref="Z40" r:id="rId279" xr:uid="{00000000-0004-0000-0100-000016010000}"/>
    <hyperlink ref="Z633" r:id="rId280" xr:uid="{00000000-0004-0000-0100-000017010000}"/>
    <hyperlink ref="Z24" r:id="rId281" xr:uid="{00000000-0004-0000-0100-000018010000}"/>
    <hyperlink ref="Z97" r:id="rId282" xr:uid="{2BBACB85-847E-46A0-995A-C836D493A3AE}"/>
    <hyperlink ref="Z230" r:id="rId283" xr:uid="{B3578A18-84B3-4D6C-8ED5-DD1C8B182DAC}"/>
    <hyperlink ref="Z299" r:id="rId284" xr:uid="{01553748-031C-47C3-8814-F8067A297D00}"/>
    <hyperlink ref="Z318" r:id="rId285" xr:uid="{9D260E4D-6084-4FD0-84A5-55AFDF113708}"/>
    <hyperlink ref="Z51" r:id="rId286" xr:uid="{E6B8183A-CCC3-4BB4-82A0-DEB23A3D2DFC}"/>
  </hyperlinks>
  <pageMargins left="0.70866141732283472" right="0.70866141732283472" top="0.74803149606299213" bottom="0.74803149606299213" header="0" footer="0"/>
  <pageSetup orientation="landscape" r:id="rId287"/>
  <ignoredErrors>
    <ignoredError sqref="F416 F450:F453 F476:F482 T634:T643 T320:T338 F602 T341:T630 T127:T156 F641 Q7:R50 T7:T50 F370 F425 F431:F436 E445:E447 F455:F461 T52:T96 Q52:R96 F632 T98:T123 T158:T317 F466 F473 Q51:R51 Q158:R317 Q98:R156 Q633:R704 Q320:R630 Q97:R97 Q631:R632 Q705:R705 Q157:R157 Q318:R319 P126" unlockedFormula="1"/>
    <ignoredError sqref="O347 O106 O88 O141 O199 O337 O473 O603 O37 O267:O285 O295 O236 O233:O235 O237:O258 O296 O286:O294 O332:O336 O322 O631 O41 O55 O260:O266 O230" formula="1"/>
    <ignoredError sqref="S677:S688 S690:S704 K34 S320:S644 K31 S7:S50 S52:S96 S98:S317 S318:S319 S51" numberStoredAsText="1"/>
    <ignoredError sqref="T339 T340 T124:T126 T51" numberStoredAsText="1" unlockedFormula="1"/>
  </ignoredErrors>
  <drawing r:id="rId28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20</v>
      </c>
      <c r="B6" s="32" t="s">
        <v>183</v>
      </c>
      <c r="C6" s="32" t="s">
        <v>184</v>
      </c>
      <c r="D6" s="325" t="s">
        <v>185</v>
      </c>
      <c r="E6" s="326"/>
      <c r="F6" s="327"/>
      <c r="G6" s="62" t="s">
        <v>186</v>
      </c>
      <c r="H6" s="33" t="s">
        <v>187</v>
      </c>
      <c r="I6" s="62" t="s">
        <v>21</v>
      </c>
      <c r="J6" s="62" t="s">
        <v>22</v>
      </c>
      <c r="K6" s="62" t="s">
        <v>23</v>
      </c>
      <c r="L6" s="62" t="s">
        <v>24</v>
      </c>
      <c r="M6" s="62" t="s">
        <v>188</v>
      </c>
      <c r="N6" s="62" t="s">
        <v>25</v>
      </c>
      <c r="O6" s="62" t="s">
        <v>26</v>
      </c>
      <c r="P6" s="62" t="s">
        <v>189</v>
      </c>
      <c r="Q6" s="62" t="s">
        <v>190</v>
      </c>
      <c r="R6" s="62" t="s">
        <v>27</v>
      </c>
      <c r="S6" s="62" t="s">
        <v>28</v>
      </c>
      <c r="T6" s="62" t="s">
        <v>191</v>
      </c>
      <c r="U6" s="62" t="s">
        <v>192</v>
      </c>
      <c r="V6" s="62" t="s">
        <v>193</v>
      </c>
      <c r="W6" s="62" t="s">
        <v>194</v>
      </c>
      <c r="X6" s="62" t="s">
        <v>195</v>
      </c>
      <c r="Y6" s="69" t="s">
        <v>196</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29</v>
      </c>
      <c r="E7" s="36" t="s">
        <v>30</v>
      </c>
      <c r="F7" s="36" t="s">
        <v>31</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46</v>
      </c>
      <c r="C8" s="82" t="s">
        <v>58</v>
      </c>
      <c r="D8" s="83">
        <v>0</v>
      </c>
      <c r="E8" s="84">
        <v>322694453</v>
      </c>
      <c r="F8" s="83">
        <v>0</v>
      </c>
      <c r="G8" s="82">
        <v>80111600</v>
      </c>
      <c r="H8" s="82" t="s">
        <v>35</v>
      </c>
      <c r="I8" s="85">
        <v>1</v>
      </c>
      <c r="J8" s="85">
        <v>1</v>
      </c>
      <c r="K8" s="85">
        <v>11</v>
      </c>
      <c r="L8" s="85">
        <v>1</v>
      </c>
      <c r="M8" s="85" t="s">
        <v>36</v>
      </c>
      <c r="N8" s="85" t="str">
        <f>IF(M8&gt;1,VLOOKUP(M8,'[24]Archivo datos'!$G$1:$H$14,2,FALSE),"")</f>
        <v>Contratación directa</v>
      </c>
      <c r="O8" s="82">
        <v>1</v>
      </c>
      <c r="P8" s="86">
        <f>+E8</f>
        <v>322694453</v>
      </c>
      <c r="Q8" s="86">
        <f>+E8</f>
        <v>322694453</v>
      </c>
      <c r="R8" s="82">
        <v>0</v>
      </c>
      <c r="S8" s="82">
        <v>0</v>
      </c>
      <c r="T8" s="82" t="s">
        <v>37</v>
      </c>
      <c r="U8" s="82" t="s">
        <v>95</v>
      </c>
      <c r="V8" s="23" t="str">
        <f>IF(U8&gt;1,VLOOKUP(U8,'[24]Archivo datos'!$D$1:$E$1153,2,FALSE),"")</f>
        <v>CO-DC-11001</v>
      </c>
      <c r="W8" s="82" t="s">
        <v>181</v>
      </c>
      <c r="X8" s="82">
        <v>2427400</v>
      </c>
      <c r="Y8" s="87" t="s">
        <v>182</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197</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198</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199</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331" t="s">
        <v>200</v>
      </c>
      <c r="C18" s="331"/>
      <c r="D18" s="331"/>
      <c r="E18" s="331"/>
      <c r="F18" s="331"/>
      <c r="G18" s="331"/>
      <c r="H18" s="331"/>
      <c r="I18" s="331"/>
      <c r="J18" s="331"/>
      <c r="K18" s="331"/>
      <c r="L18" s="331"/>
      <c r="M18" s="331"/>
      <c r="N18" s="331"/>
      <c r="O18" s="331"/>
      <c r="P18" s="331"/>
      <c r="Q18" s="331"/>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328" t="s">
        <v>201</v>
      </c>
      <c r="B20" s="328"/>
      <c r="C20" s="328"/>
      <c r="D20" s="328"/>
      <c r="E20" s="328"/>
      <c r="F20" s="328"/>
      <c r="G20" s="328"/>
      <c r="H20" s="328"/>
      <c r="I20" s="328"/>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202</v>
      </c>
      <c r="C21" s="13"/>
      <c r="D21" s="13"/>
      <c r="E21" s="13"/>
      <c r="F21" s="13"/>
      <c r="G21" s="54" t="s">
        <v>203</v>
      </c>
      <c r="H21" s="13"/>
      <c r="I21" s="13"/>
      <c r="J21" s="13"/>
      <c r="K21" s="13" t="s">
        <v>203</v>
      </c>
      <c r="L21" s="13"/>
      <c r="M21" s="13"/>
      <c r="N21" s="13"/>
      <c r="O21" s="13"/>
      <c r="P21" s="11" t="s">
        <v>204</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332"/>
      <c r="C22" s="332"/>
      <c r="D22" s="332"/>
      <c r="E22" s="332"/>
      <c r="F22" s="41"/>
      <c r="G22" s="59" t="s">
        <v>205</v>
      </c>
      <c r="H22" s="15"/>
      <c r="I22" s="15"/>
      <c r="J22" s="41"/>
      <c r="K22" s="15" t="s">
        <v>206</v>
      </c>
      <c r="L22" s="15"/>
      <c r="M22" s="15"/>
      <c r="N22" s="41"/>
      <c r="O22" s="41"/>
      <c r="P22" s="15" t="s">
        <v>207</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333" t="s">
        <v>208</v>
      </c>
      <c r="H23" s="333"/>
      <c r="I23" s="41"/>
      <c r="J23" s="41"/>
      <c r="K23" s="41" t="s">
        <v>209</v>
      </c>
      <c r="L23" s="41"/>
      <c r="M23" s="41"/>
      <c r="N23" s="41"/>
      <c r="O23" s="41"/>
      <c r="P23" s="41" t="s">
        <v>210</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328"/>
      <c r="B24" s="41"/>
      <c r="C24" s="329"/>
      <c r="D24" s="329"/>
      <c r="E24" s="329"/>
      <c r="F24" s="329"/>
      <c r="G24" s="330" t="s">
        <v>211</v>
      </c>
      <c r="H24" s="330"/>
      <c r="I24" s="330"/>
      <c r="J24" s="330"/>
      <c r="K24" s="336"/>
      <c r="L24" s="336"/>
      <c r="M24" s="336"/>
      <c r="N24" s="336"/>
      <c r="O24" s="329"/>
      <c r="P24" s="334"/>
      <c r="Q24" s="334"/>
      <c r="R24" s="334"/>
      <c r="S24" s="334"/>
      <c r="T24" s="335"/>
      <c r="U24" s="335"/>
      <c r="V24" s="335"/>
      <c r="W24" s="335"/>
      <c r="X24" s="335"/>
      <c r="Y24" s="335"/>
      <c r="Z24" s="335"/>
      <c r="AA24" s="335"/>
      <c r="AB24" s="335"/>
      <c r="AC24" s="335"/>
      <c r="AD24" s="335"/>
      <c r="AE24" s="335"/>
      <c r="AF24" s="335"/>
      <c r="AG24" s="335"/>
      <c r="AH24" s="335"/>
      <c r="AI24" s="335"/>
      <c r="AJ24" s="335"/>
      <c r="AK24" s="335"/>
      <c r="AL24" s="335"/>
      <c r="AM24" s="335"/>
      <c r="AN24" s="335"/>
      <c r="AO24" s="335"/>
      <c r="AP24" s="335"/>
      <c r="AQ24" s="335"/>
      <c r="AR24" s="335"/>
      <c r="AS24" s="335"/>
      <c r="AT24" s="335"/>
      <c r="AU24" s="335"/>
      <c r="AV24" s="335"/>
      <c r="AW24" s="335"/>
      <c r="AX24" s="335"/>
      <c r="AY24" s="335"/>
      <c r="AZ24" s="335"/>
      <c r="BA24" s="335"/>
      <c r="BB24" s="335"/>
      <c r="BC24" s="335"/>
      <c r="BD24" s="335"/>
      <c r="BE24" s="335"/>
      <c r="BF24" s="335"/>
      <c r="BG24" s="335"/>
      <c r="BH24" s="335"/>
      <c r="BI24" s="335"/>
      <c r="BJ24" s="335"/>
      <c r="BK24" s="335"/>
      <c r="BL24" s="335"/>
      <c r="BM24" s="335"/>
      <c r="BN24" s="335"/>
      <c r="BO24" s="335"/>
      <c r="BP24" s="335"/>
      <c r="BQ24" s="335"/>
      <c r="BR24" s="335"/>
      <c r="BS24" s="335"/>
      <c r="BT24" s="335"/>
      <c r="BU24" s="335"/>
      <c r="BV24" s="335"/>
      <c r="BW24" s="335"/>
      <c r="BX24" s="335"/>
      <c r="BY24" s="335"/>
      <c r="BZ24" s="335"/>
      <c r="CA24" s="335"/>
      <c r="CB24" s="335"/>
      <c r="CC24" s="335"/>
      <c r="CD24" s="335"/>
      <c r="CE24" s="335"/>
      <c r="CF24" s="335"/>
      <c r="CG24" s="335"/>
      <c r="CH24" s="335"/>
      <c r="CI24" s="335"/>
      <c r="CJ24" s="335"/>
      <c r="CK24" s="335"/>
      <c r="CL24" s="335"/>
      <c r="CM24" s="335"/>
      <c r="CN24" s="335"/>
      <c r="CO24" s="335"/>
      <c r="CP24" s="335"/>
      <c r="CQ24" s="335"/>
      <c r="CR24" s="335"/>
      <c r="CS24" s="335"/>
      <c r="CT24" s="335"/>
      <c r="CU24" s="335"/>
      <c r="CV24" s="335"/>
      <c r="CW24" s="335"/>
      <c r="CX24" s="335"/>
      <c r="CY24" s="335"/>
      <c r="CZ24" s="335"/>
      <c r="DA24" s="335"/>
      <c r="DB24" s="335"/>
      <c r="DC24" s="335"/>
      <c r="DD24" s="335"/>
      <c r="DE24" s="335"/>
      <c r="DF24" s="335"/>
      <c r="DG24" s="335"/>
      <c r="DH24" s="335"/>
      <c r="DI24" s="335"/>
      <c r="DJ24" s="335"/>
      <c r="DK24" s="335"/>
      <c r="DL24" s="335"/>
      <c r="DM24" s="335"/>
      <c r="DN24" s="335"/>
      <c r="DO24" s="335"/>
      <c r="DP24" s="335"/>
      <c r="DQ24" s="335"/>
      <c r="DR24" s="335"/>
      <c r="DS24" s="335"/>
      <c r="DT24" s="335"/>
      <c r="DU24" s="335"/>
      <c r="DV24" s="335"/>
      <c r="DW24" s="335"/>
      <c r="DX24" s="335"/>
      <c r="DY24" s="335"/>
      <c r="DZ24" s="335"/>
      <c r="EA24" s="335"/>
      <c r="EB24" s="335"/>
      <c r="EC24" s="335"/>
      <c r="ED24" s="335"/>
      <c r="EE24" s="335"/>
      <c r="EF24" s="335"/>
      <c r="EG24" s="335"/>
      <c r="EH24" s="335"/>
      <c r="EI24" s="335"/>
      <c r="EJ24" s="335"/>
      <c r="EK24" s="335"/>
      <c r="EL24" s="335"/>
      <c r="EM24" s="335"/>
      <c r="EN24" s="335"/>
      <c r="EO24" s="335"/>
      <c r="EP24" s="335"/>
      <c r="EQ24" s="335"/>
      <c r="ER24" s="335"/>
      <c r="ES24" s="335"/>
      <c r="ET24" s="335"/>
      <c r="EU24" s="335"/>
      <c r="EV24" s="335"/>
      <c r="EW24" s="335"/>
      <c r="EX24" s="335"/>
      <c r="EY24" s="335"/>
      <c r="EZ24" s="335"/>
      <c r="FA24" s="335"/>
      <c r="FB24" s="335"/>
      <c r="FC24" s="335"/>
      <c r="FD24" s="335"/>
      <c r="FE24" s="335"/>
      <c r="FF24" s="335"/>
      <c r="FG24" s="335"/>
      <c r="FH24" s="335"/>
      <c r="FI24" s="335"/>
      <c r="FJ24" s="335"/>
      <c r="FK24" s="335"/>
      <c r="FL24" s="335"/>
      <c r="FM24" s="335"/>
      <c r="FN24" s="335"/>
      <c r="FO24" s="335"/>
      <c r="FP24" s="335"/>
      <c r="FQ24" s="335"/>
      <c r="FR24" s="335"/>
      <c r="FS24" s="335"/>
      <c r="FT24" s="335"/>
      <c r="FU24" s="335"/>
      <c r="FV24" s="335"/>
      <c r="FW24" s="335"/>
      <c r="FX24" s="335"/>
      <c r="FY24" s="335"/>
      <c r="FZ24" s="335"/>
      <c r="GA24" s="335"/>
      <c r="GB24" s="335"/>
      <c r="GC24" s="335"/>
      <c r="GD24" s="335"/>
      <c r="GE24" s="335"/>
      <c r="GF24" s="335"/>
      <c r="GG24" s="335"/>
      <c r="GH24" s="335"/>
      <c r="GI24" s="335"/>
      <c r="GJ24" s="335"/>
      <c r="GK24" s="335"/>
      <c r="GL24" s="335"/>
      <c r="GM24" s="335"/>
      <c r="GN24" s="335"/>
      <c r="GO24" s="335"/>
      <c r="GP24" s="335"/>
      <c r="GQ24" s="335"/>
      <c r="GR24" s="335"/>
      <c r="GS24" s="335"/>
      <c r="GT24" s="335"/>
      <c r="GU24" s="335"/>
      <c r="GV24" s="335"/>
      <c r="GW24" s="335"/>
      <c r="GX24" s="335"/>
      <c r="GY24" s="335"/>
      <c r="GZ24" s="335"/>
      <c r="HA24" s="335"/>
      <c r="HB24" s="335"/>
      <c r="HC24" s="335"/>
      <c r="HD24" s="335"/>
      <c r="HE24" s="335"/>
      <c r="HF24" s="335"/>
      <c r="HG24" s="335"/>
      <c r="HH24" s="12"/>
    </row>
    <row r="25" spans="1:256" s="48" customFormat="1" ht="20.100000000000001" customHeight="1" x14ac:dyDescent="0.25">
      <c r="A25" s="328"/>
      <c r="B25" s="41"/>
      <c r="C25" s="329"/>
      <c r="D25" s="329"/>
      <c r="E25" s="329"/>
      <c r="F25" s="329"/>
      <c r="G25" s="330" t="s">
        <v>212</v>
      </c>
      <c r="H25" s="330"/>
      <c r="I25" s="330"/>
      <c r="J25" s="330"/>
      <c r="K25" s="336"/>
      <c r="L25" s="336"/>
      <c r="M25" s="336"/>
      <c r="N25" s="336"/>
      <c r="O25" s="329"/>
      <c r="P25" s="334"/>
      <c r="Q25" s="334"/>
      <c r="R25" s="334"/>
      <c r="S25" s="334"/>
      <c r="T25" s="335"/>
      <c r="U25" s="335"/>
      <c r="V25" s="335"/>
      <c r="W25" s="335"/>
      <c r="X25" s="335"/>
      <c r="Y25" s="335"/>
      <c r="Z25" s="335"/>
      <c r="AA25" s="335"/>
      <c r="AB25" s="335"/>
      <c r="AC25" s="335"/>
      <c r="AD25" s="335"/>
      <c r="AE25" s="335"/>
      <c r="AF25" s="335"/>
      <c r="AG25" s="335"/>
      <c r="AH25" s="335"/>
      <c r="AI25" s="335"/>
      <c r="AJ25" s="335"/>
      <c r="AK25" s="335"/>
      <c r="AL25" s="335"/>
      <c r="AM25" s="335"/>
      <c r="AN25" s="335"/>
      <c r="AO25" s="335"/>
      <c r="AP25" s="335"/>
      <c r="AQ25" s="335"/>
      <c r="AR25" s="335"/>
      <c r="AS25" s="335"/>
      <c r="AT25" s="335"/>
      <c r="AU25" s="335"/>
      <c r="AV25" s="335"/>
      <c r="AW25" s="335"/>
      <c r="AX25" s="335"/>
      <c r="AY25" s="335"/>
      <c r="AZ25" s="335"/>
      <c r="BA25" s="335"/>
      <c r="BB25" s="335"/>
      <c r="BC25" s="335"/>
      <c r="BD25" s="335"/>
      <c r="BE25" s="335"/>
      <c r="BF25" s="335"/>
      <c r="BG25" s="335"/>
      <c r="BH25" s="335"/>
      <c r="BI25" s="335"/>
      <c r="BJ25" s="335"/>
      <c r="BK25" s="335"/>
      <c r="BL25" s="335"/>
      <c r="BM25" s="335"/>
      <c r="BN25" s="335"/>
      <c r="BO25" s="335"/>
      <c r="BP25" s="335"/>
      <c r="BQ25" s="335"/>
      <c r="BR25" s="335"/>
      <c r="BS25" s="335"/>
      <c r="BT25" s="335"/>
      <c r="BU25" s="335"/>
      <c r="BV25" s="335"/>
      <c r="BW25" s="335"/>
      <c r="BX25" s="335"/>
      <c r="BY25" s="335"/>
      <c r="BZ25" s="335"/>
      <c r="CA25" s="335"/>
      <c r="CB25" s="335"/>
      <c r="CC25" s="335"/>
      <c r="CD25" s="335"/>
      <c r="CE25" s="335"/>
      <c r="CF25" s="335"/>
      <c r="CG25" s="335"/>
      <c r="CH25" s="335"/>
      <c r="CI25" s="335"/>
      <c r="CJ25" s="335"/>
      <c r="CK25" s="335"/>
      <c r="CL25" s="335"/>
      <c r="CM25" s="335"/>
      <c r="CN25" s="335"/>
      <c r="CO25" s="335"/>
      <c r="CP25" s="335"/>
      <c r="CQ25" s="335"/>
      <c r="CR25" s="335"/>
      <c r="CS25" s="335"/>
      <c r="CT25" s="335"/>
      <c r="CU25" s="335"/>
      <c r="CV25" s="335"/>
      <c r="CW25" s="335"/>
      <c r="CX25" s="335"/>
      <c r="CY25" s="335"/>
      <c r="CZ25" s="335"/>
      <c r="DA25" s="335"/>
      <c r="DB25" s="335"/>
      <c r="DC25" s="335"/>
      <c r="DD25" s="335"/>
      <c r="DE25" s="335"/>
      <c r="DF25" s="335"/>
      <c r="DG25" s="335"/>
      <c r="DH25" s="335"/>
      <c r="DI25" s="335"/>
      <c r="DJ25" s="335"/>
      <c r="DK25" s="335"/>
      <c r="DL25" s="335"/>
      <c r="DM25" s="335"/>
      <c r="DN25" s="335"/>
      <c r="DO25" s="335"/>
      <c r="DP25" s="335"/>
      <c r="DQ25" s="335"/>
      <c r="DR25" s="335"/>
      <c r="DS25" s="335"/>
      <c r="DT25" s="335"/>
      <c r="DU25" s="335"/>
      <c r="DV25" s="335"/>
      <c r="DW25" s="335"/>
      <c r="DX25" s="335"/>
      <c r="DY25" s="335"/>
      <c r="DZ25" s="335"/>
      <c r="EA25" s="335"/>
      <c r="EB25" s="335"/>
      <c r="EC25" s="335"/>
      <c r="ED25" s="335"/>
      <c r="EE25" s="335"/>
      <c r="EF25" s="335"/>
      <c r="EG25" s="335"/>
      <c r="EH25" s="335"/>
      <c r="EI25" s="335"/>
      <c r="EJ25" s="335"/>
      <c r="EK25" s="335"/>
      <c r="EL25" s="335"/>
      <c r="EM25" s="335"/>
      <c r="EN25" s="335"/>
      <c r="EO25" s="335"/>
      <c r="EP25" s="335"/>
      <c r="EQ25" s="335"/>
      <c r="ER25" s="335"/>
      <c r="ES25" s="335"/>
      <c r="ET25" s="335"/>
      <c r="EU25" s="335"/>
      <c r="EV25" s="335"/>
      <c r="EW25" s="335"/>
      <c r="EX25" s="335"/>
      <c r="EY25" s="335"/>
      <c r="EZ25" s="335"/>
      <c r="FA25" s="335"/>
      <c r="FB25" s="335"/>
      <c r="FC25" s="335"/>
      <c r="FD25" s="335"/>
      <c r="FE25" s="335"/>
      <c r="FF25" s="335"/>
      <c r="FG25" s="335"/>
      <c r="FH25" s="335"/>
      <c r="FI25" s="335"/>
      <c r="FJ25" s="335"/>
      <c r="FK25" s="335"/>
      <c r="FL25" s="335"/>
      <c r="FM25" s="335"/>
      <c r="FN25" s="335"/>
      <c r="FO25" s="335"/>
      <c r="FP25" s="335"/>
      <c r="FQ25" s="335"/>
      <c r="FR25" s="335"/>
      <c r="FS25" s="335"/>
      <c r="FT25" s="335"/>
      <c r="FU25" s="335"/>
      <c r="FV25" s="335"/>
      <c r="FW25" s="335"/>
      <c r="FX25" s="335"/>
      <c r="FY25" s="335"/>
      <c r="FZ25" s="335"/>
      <c r="GA25" s="335"/>
      <c r="GB25" s="335"/>
      <c r="GC25" s="335"/>
      <c r="GD25" s="335"/>
      <c r="GE25" s="335"/>
      <c r="GF25" s="335"/>
      <c r="GG25" s="335"/>
      <c r="GH25" s="335"/>
      <c r="GI25" s="335"/>
      <c r="GJ25" s="335"/>
      <c r="GK25" s="335"/>
      <c r="GL25" s="335"/>
      <c r="GM25" s="335"/>
      <c r="GN25" s="335"/>
      <c r="GO25" s="335"/>
      <c r="GP25" s="335"/>
      <c r="GQ25" s="335"/>
      <c r="GR25" s="335"/>
      <c r="GS25" s="335"/>
      <c r="GT25" s="335"/>
      <c r="GU25" s="335"/>
      <c r="GV25" s="335"/>
      <c r="GW25" s="335"/>
      <c r="GX25" s="335"/>
      <c r="GY25" s="335"/>
      <c r="GZ25" s="335"/>
      <c r="HA25" s="335"/>
      <c r="HB25" s="335"/>
      <c r="HC25" s="335"/>
      <c r="HD25" s="335"/>
      <c r="HE25" s="335"/>
      <c r="HF25" s="335"/>
      <c r="HG25" s="335"/>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213</v>
      </c>
      <c r="C29" s="13"/>
      <c r="D29" s="13"/>
      <c r="E29" s="13"/>
      <c r="F29" s="13"/>
      <c r="G29" s="54" t="s">
        <v>214</v>
      </c>
      <c r="H29" s="13"/>
      <c r="I29" s="13"/>
      <c r="J29" s="13"/>
      <c r="K29" s="13" t="s">
        <v>214</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215</v>
      </c>
      <c r="H31" s="41"/>
      <c r="I31" s="41"/>
      <c r="J31" s="41"/>
      <c r="K31" s="41" t="s">
        <v>215</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00000000-0009-0000-0000-000002000000}">
    <filterColumn colId="3" showButton="0"/>
    <filterColumn colId="4" showButton="0"/>
  </autoFilter>
  <mergeCells count="217">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AC24:AC25"/>
    <mergeCell ref="AD24:AD25"/>
    <mergeCell ref="AE24:AE25"/>
    <mergeCell ref="AF24:AF25"/>
    <mergeCell ref="AG24:AG25"/>
    <mergeCell ref="AH24:AH25"/>
    <mergeCell ref="W24:W25"/>
    <mergeCell ref="X24:X25"/>
    <mergeCell ref="Y24:Y25"/>
    <mergeCell ref="Z24:Z25"/>
    <mergeCell ref="AA24:AA25"/>
    <mergeCell ref="AB24:AB25"/>
    <mergeCell ref="R24:R25"/>
    <mergeCell ref="S24:S25"/>
    <mergeCell ref="T24:T25"/>
    <mergeCell ref="U24:U25"/>
    <mergeCell ref="V24:V25"/>
    <mergeCell ref="K24:K25"/>
    <mergeCell ref="L24:L25"/>
    <mergeCell ref="M24:M25"/>
    <mergeCell ref="N24:N25"/>
    <mergeCell ref="O24:O25"/>
    <mergeCell ref="P24:P25"/>
    <mergeCell ref="D6:F6"/>
    <mergeCell ref="A24:A25"/>
    <mergeCell ref="C24:C25"/>
    <mergeCell ref="D24:D25"/>
    <mergeCell ref="E24:E25"/>
    <mergeCell ref="F24:F25"/>
    <mergeCell ref="G24:J24"/>
    <mergeCell ref="B18:Q18"/>
    <mergeCell ref="A20:I20"/>
    <mergeCell ref="B22:E22"/>
    <mergeCell ref="G23:H23"/>
    <mergeCell ref="Q24:Q25"/>
  </mergeCells>
  <hyperlinks>
    <hyperlink ref="Y8" r:id="rId1" xr:uid="{00000000-0004-0000-0200-000000000000}"/>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PAA</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2024-02-16T18:49:47Z</dcterms:modified>
  <cp:category/>
  <cp:contentStatus/>
</cp:coreProperties>
</file>