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E:\MININTEROR\PAA\PLAN ANUAL DE ADQUISICIONES\PAA 2024\PUBLICACIONES WEB\"/>
    </mc:Choice>
  </mc:AlternateContent>
  <xr:revisionPtr revIDLastSave="0" documentId="13_ncr:1_{1285A980-EE96-46B4-8B3E-A702820B0D7F}" xr6:coauthVersionLast="47" xr6:coauthVersionMax="47" xr10:uidLastSave="{00000000-0000-0000-0000-000000000000}"/>
  <bookViews>
    <workbookView xWindow="-120" yWindow="-120" windowWidth="20730" windowHeight="11160" tabRatio="1000" activeTab="1" xr2:uid="{00000000-000D-0000-FFFF-FFFF00000000}"/>
  </bookViews>
  <sheets>
    <sheet name="PRESENTACION " sheetId="3" r:id="rId1"/>
    <sheet name="PAA" sheetId="51" r:id="rId2"/>
    <sheet name="SECRETARIA G" sheetId="50"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xlnm._FilterDatabase" localSheetId="1" hidden="1">PAA!$A$6:$CG$747</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89" i="51" l="1"/>
  <c r="F705" i="51" l="1"/>
  <c r="W133" i="51" l="1"/>
  <c r="V133" i="51"/>
  <c r="U133" i="51"/>
  <c r="T133" i="51"/>
  <c r="R133" i="51"/>
  <c r="Q133" i="51"/>
  <c r="P133" i="51"/>
  <c r="O133" i="51"/>
  <c r="M133" i="51"/>
  <c r="F104" i="51"/>
  <c r="F110" i="51" l="1"/>
  <c r="F105" i="51"/>
  <c r="F32" i="51" l="1"/>
  <c r="M31" i="51"/>
  <c r="M32" i="51"/>
  <c r="F31" i="51"/>
  <c r="F29" i="51"/>
  <c r="F26" i="51"/>
  <c r="F25" i="51"/>
  <c r="F18" i="51"/>
  <c r="W54" i="51"/>
  <c r="V54" i="51"/>
  <c r="U54" i="51"/>
  <c r="T54" i="51"/>
  <c r="R54" i="51"/>
  <c r="Q54" i="51"/>
  <c r="P54" i="51"/>
  <c r="O54" i="51"/>
  <c r="M54" i="51"/>
  <c r="W53" i="51"/>
  <c r="V53" i="51"/>
  <c r="U53" i="51"/>
  <c r="T53" i="51"/>
  <c r="R53" i="51"/>
  <c r="Q53" i="51"/>
  <c r="P53" i="51"/>
  <c r="O53" i="51"/>
  <c r="M53" i="51"/>
  <c r="W52" i="51"/>
  <c r="V52" i="51"/>
  <c r="U52" i="51"/>
  <c r="T52" i="51"/>
  <c r="R52" i="51"/>
  <c r="Q52" i="51"/>
  <c r="P52" i="51"/>
  <c r="O52" i="51"/>
  <c r="M52" i="51"/>
  <c r="W132" i="51" l="1"/>
  <c r="V132" i="51"/>
  <c r="U132" i="51"/>
  <c r="T132" i="51"/>
  <c r="R132" i="51"/>
  <c r="Q132" i="51"/>
  <c r="P132" i="51"/>
  <c r="O132" i="51"/>
  <c r="M132" i="51"/>
  <c r="W650" i="51"/>
  <c r="V650" i="51"/>
  <c r="U650" i="51"/>
  <c r="T650" i="51"/>
  <c r="R650" i="51"/>
  <c r="Q650" i="51"/>
  <c r="P650" i="51"/>
  <c r="O650" i="51"/>
  <c r="M650" i="51"/>
  <c r="F412" i="51" l="1"/>
  <c r="F390" i="51"/>
  <c r="F504" i="51" l="1"/>
  <c r="F503" i="51"/>
  <c r="F502" i="51"/>
  <c r="F501" i="51"/>
  <c r="F495" i="51"/>
  <c r="F493" i="51"/>
  <c r="F488" i="51"/>
  <c r="F721" i="51" l="1"/>
  <c r="F720" i="51"/>
  <c r="F719" i="51"/>
  <c r="F718" i="51"/>
  <c r="F717" i="51"/>
  <c r="F716" i="51"/>
  <c r="F715" i="51"/>
  <c r="F714" i="51"/>
  <c r="F713" i="51"/>
  <c r="F712" i="51"/>
  <c r="F711" i="51"/>
  <c r="F710" i="51"/>
  <c r="F709" i="51"/>
  <c r="F708" i="51"/>
  <c r="F707" i="51"/>
  <c r="F706" i="51"/>
  <c r="F699" i="51"/>
  <c r="F697" i="51"/>
  <c r="F696" i="51"/>
  <c r="F695" i="51"/>
  <c r="F694" i="51"/>
  <c r="F693" i="51"/>
  <c r="F692" i="51"/>
  <c r="F691" i="51"/>
  <c r="F690" i="51"/>
  <c r="F686" i="51"/>
  <c r="F676" i="51"/>
  <c r="F675" i="51"/>
  <c r="F674" i="51"/>
  <c r="F666" i="51"/>
  <c r="F663" i="51"/>
  <c r="F662" i="51"/>
  <c r="W747" i="51"/>
  <c r="V747" i="51"/>
  <c r="U747" i="51"/>
  <c r="O747" i="51"/>
  <c r="W746" i="51"/>
  <c r="V746" i="51"/>
  <c r="U746" i="51"/>
  <c r="O746" i="51"/>
  <c r="W745" i="51"/>
  <c r="V745" i="51"/>
  <c r="U745" i="51"/>
  <c r="O745" i="51"/>
  <c r="W744" i="51"/>
  <c r="V744" i="51"/>
  <c r="U744" i="51"/>
  <c r="O744" i="51"/>
  <c r="W743" i="51"/>
  <c r="V743" i="51"/>
  <c r="U743" i="51"/>
  <c r="O743" i="51"/>
  <c r="W742" i="51"/>
  <c r="V742" i="51"/>
  <c r="U742" i="51"/>
  <c r="O742" i="51"/>
  <c r="W741" i="51"/>
  <c r="V741" i="51"/>
  <c r="U741" i="51"/>
  <c r="O741" i="51"/>
  <c r="W740" i="51"/>
  <c r="V740" i="51"/>
  <c r="U740" i="51"/>
  <c r="O740" i="51"/>
  <c r="W739" i="51"/>
  <c r="V739" i="51"/>
  <c r="U739" i="51"/>
  <c r="O739" i="51"/>
  <c r="W738" i="51"/>
  <c r="V738" i="51"/>
  <c r="U738" i="51"/>
  <c r="O738" i="51"/>
  <c r="W737" i="51"/>
  <c r="V737" i="51"/>
  <c r="U737" i="51"/>
  <c r="O737" i="51"/>
  <c r="W736" i="51"/>
  <c r="V736" i="51"/>
  <c r="U736" i="51"/>
  <c r="O736" i="51"/>
  <c r="W735" i="51"/>
  <c r="V735" i="51"/>
  <c r="U735" i="51"/>
  <c r="O735" i="51"/>
  <c r="W734" i="51"/>
  <c r="V734" i="51"/>
  <c r="U734" i="51"/>
  <c r="O734" i="51"/>
  <c r="W733" i="51"/>
  <c r="V733" i="51"/>
  <c r="U733" i="51"/>
  <c r="O733" i="51"/>
  <c r="W732" i="51"/>
  <c r="V732" i="51"/>
  <c r="U732" i="51"/>
  <c r="O732" i="51"/>
  <c r="W731" i="51"/>
  <c r="V731" i="51"/>
  <c r="U731" i="51"/>
  <c r="O731" i="51"/>
  <c r="W730" i="51"/>
  <c r="V730" i="51"/>
  <c r="U730" i="51"/>
  <c r="O730" i="51"/>
  <c r="W729" i="51"/>
  <c r="V729" i="51"/>
  <c r="U729" i="51"/>
  <c r="O729" i="51"/>
  <c r="W728" i="51"/>
  <c r="V728" i="51"/>
  <c r="U728" i="51"/>
  <c r="O728" i="51"/>
  <c r="W727" i="51"/>
  <c r="V727" i="51"/>
  <c r="U727" i="51"/>
  <c r="O727" i="51"/>
  <c r="W726" i="51"/>
  <c r="V726" i="51"/>
  <c r="U726" i="51"/>
  <c r="O726" i="51"/>
  <c r="W725" i="51"/>
  <c r="V725" i="51"/>
  <c r="U725" i="51"/>
  <c r="O725" i="51"/>
  <c r="W724" i="51"/>
  <c r="V724" i="51"/>
  <c r="U724" i="51"/>
  <c r="O724" i="51"/>
  <c r="W723" i="51"/>
  <c r="V723" i="51"/>
  <c r="U723" i="51"/>
  <c r="O723" i="51"/>
  <c r="W722" i="51"/>
  <c r="V722" i="51"/>
  <c r="U722" i="51"/>
  <c r="O722" i="51"/>
  <c r="F486" i="51" l="1"/>
  <c r="F485" i="51"/>
  <c r="F512" i="51"/>
  <c r="F507" i="51"/>
  <c r="W237" i="51" l="1"/>
  <c r="V237" i="51"/>
  <c r="U237" i="51"/>
  <c r="T237" i="51"/>
  <c r="R237" i="51"/>
  <c r="Q237" i="51"/>
  <c r="P237" i="51"/>
  <c r="O237" i="51"/>
  <c r="M237" i="51"/>
  <c r="W236" i="51"/>
  <c r="V236" i="51"/>
  <c r="U236" i="51"/>
  <c r="T236" i="51"/>
  <c r="R236" i="51"/>
  <c r="Q236" i="51"/>
  <c r="P236" i="51"/>
  <c r="O236" i="51"/>
  <c r="M236" i="51"/>
  <c r="F222" i="51"/>
  <c r="W165" i="51" l="1"/>
  <c r="V165" i="51"/>
  <c r="U165" i="51"/>
  <c r="T165" i="51"/>
  <c r="R165" i="51"/>
  <c r="Q165" i="51"/>
  <c r="P165" i="51"/>
  <c r="O165" i="51"/>
  <c r="M165" i="51"/>
  <c r="F154" i="51"/>
  <c r="U102" i="51" l="1"/>
  <c r="R102" i="51"/>
  <c r="Q102" i="51"/>
  <c r="O102" i="51"/>
  <c r="U101" i="51"/>
  <c r="R101" i="51"/>
  <c r="Q101" i="51"/>
  <c r="O101" i="51"/>
  <c r="F100" i="51"/>
  <c r="F99" i="51"/>
  <c r="F98" i="51"/>
  <c r="F90" i="51"/>
  <c r="F78" i="51" l="1"/>
  <c r="F75" i="51"/>
  <c r="F71" i="51"/>
  <c r="F65" i="51" l="1"/>
  <c r="O269" i="51" l="1"/>
  <c r="O240" i="51"/>
  <c r="F278" i="51"/>
  <c r="F213" i="51"/>
  <c r="T51" i="51" l="1"/>
  <c r="F196" i="51" l="1"/>
  <c r="F483" i="51" l="1"/>
  <c r="F476" i="51" l="1"/>
  <c r="W329" i="51"/>
  <c r="V329" i="51"/>
  <c r="U329" i="51"/>
  <c r="O329" i="51"/>
  <c r="W328" i="51"/>
  <c r="V328" i="51"/>
  <c r="U328" i="51"/>
  <c r="O328" i="51"/>
  <c r="F312" i="51"/>
  <c r="F311" i="51"/>
  <c r="F309" i="51"/>
  <c r="F300" i="51"/>
  <c r="F294" i="51"/>
  <c r="F287" i="51"/>
  <c r="F282" i="51"/>
  <c r="F269" i="51"/>
  <c r="M269" i="51"/>
  <c r="F263" i="51"/>
  <c r="W131" i="51" l="1"/>
  <c r="V131" i="51"/>
  <c r="U131" i="51"/>
  <c r="T131" i="51"/>
  <c r="R131" i="51"/>
  <c r="Q131" i="51"/>
  <c r="P131" i="51"/>
  <c r="O131" i="51"/>
  <c r="M131" i="51"/>
  <c r="W130" i="51"/>
  <c r="V130" i="51"/>
  <c r="U130" i="51"/>
  <c r="T130" i="51"/>
  <c r="R130" i="51"/>
  <c r="Q130" i="51"/>
  <c r="P130" i="51"/>
  <c r="O130" i="51"/>
  <c r="M130" i="51"/>
  <c r="W129" i="51"/>
  <c r="V129" i="51"/>
  <c r="U129" i="51"/>
  <c r="T129" i="51"/>
  <c r="R129" i="51"/>
  <c r="Q129" i="51"/>
  <c r="P129" i="51"/>
  <c r="O129" i="51"/>
  <c r="M129" i="51"/>
  <c r="F126" i="51"/>
  <c r="F648" i="51"/>
  <c r="U100" i="51" l="1"/>
  <c r="R100" i="51"/>
  <c r="Q100" i="51"/>
  <c r="O100" i="51"/>
  <c r="F136" i="51" l="1"/>
  <c r="F48" i="51" l="1"/>
  <c r="F46" i="51" l="1"/>
  <c r="W51" i="51"/>
  <c r="V51" i="51"/>
  <c r="U51" i="51"/>
  <c r="R51" i="51"/>
  <c r="Q51" i="51"/>
  <c r="P51" i="51"/>
  <c r="O51" i="51"/>
  <c r="M51" i="51"/>
  <c r="F50" i="51" l="1"/>
  <c r="F49" i="51"/>
  <c r="F36" i="51"/>
  <c r="F27" i="51"/>
  <c r="F24" i="51" l="1"/>
  <c r="F23" i="51"/>
  <c r="F22" i="51"/>
  <c r="F21" i="51"/>
  <c r="F20" i="51"/>
  <c r="F19" i="51"/>
  <c r="F16" i="51"/>
  <c r="F14" i="51"/>
  <c r="F225" i="51" l="1"/>
  <c r="F235" i="51"/>
  <c r="F223" i="51"/>
  <c r="F214" i="51"/>
  <c r="F234" i="51"/>
  <c r="F233" i="51"/>
  <c r="F201" i="51"/>
  <c r="F231" i="51"/>
  <c r="F230" i="51"/>
  <c r="F195" i="51"/>
  <c r="F229" i="51"/>
  <c r="F189" i="51"/>
  <c r="F227" i="51"/>
  <c r="F226" i="51"/>
  <c r="F228" i="51"/>
  <c r="F183" i="51"/>
  <c r="F171" i="51" l="1"/>
  <c r="F170" i="51"/>
  <c r="F169" i="51"/>
  <c r="F37" i="51" l="1"/>
  <c r="W649" i="51"/>
  <c r="V649" i="51"/>
  <c r="U649" i="51"/>
  <c r="T649" i="51"/>
  <c r="R649" i="51"/>
  <c r="Q649" i="51"/>
  <c r="P649" i="51"/>
  <c r="O649" i="51"/>
  <c r="M649" i="51"/>
  <c r="F445" i="51"/>
  <c r="F435" i="51"/>
  <c r="U50" i="51" l="1"/>
  <c r="U49" i="51"/>
  <c r="U48" i="51"/>
  <c r="U47" i="51"/>
  <c r="U46" i="51"/>
  <c r="W50" i="51"/>
  <c r="V50" i="51"/>
  <c r="T50" i="51"/>
  <c r="R50" i="51"/>
  <c r="Q50" i="51"/>
  <c r="P50" i="51"/>
  <c r="O50" i="51"/>
  <c r="W49" i="51"/>
  <c r="V49" i="51"/>
  <c r="T49" i="51"/>
  <c r="R49" i="51"/>
  <c r="Q49" i="51"/>
  <c r="P49" i="51"/>
  <c r="O49" i="51"/>
  <c r="W48" i="51"/>
  <c r="V48" i="51"/>
  <c r="T48" i="51"/>
  <c r="R48" i="51"/>
  <c r="Q48" i="51"/>
  <c r="P48" i="51"/>
  <c r="O48" i="51"/>
  <c r="W47" i="51"/>
  <c r="V47" i="51"/>
  <c r="T47" i="51"/>
  <c r="R47" i="51"/>
  <c r="Q47" i="51"/>
  <c r="P47" i="51"/>
  <c r="O47" i="51"/>
  <c r="W46" i="51"/>
  <c r="V46" i="51"/>
  <c r="T46" i="51"/>
  <c r="R46" i="51"/>
  <c r="Q46" i="51"/>
  <c r="P46" i="51"/>
  <c r="O46" i="51"/>
  <c r="M46" i="51"/>
  <c r="M47" i="51"/>
  <c r="M48" i="51"/>
  <c r="M49" i="51"/>
  <c r="M50" i="51"/>
  <c r="F43" i="51"/>
  <c r="F42" i="51"/>
  <c r="F41" i="51"/>
  <c r="F40" i="51"/>
  <c r="W661" i="51" l="1"/>
  <c r="V661" i="51"/>
  <c r="U661" i="51"/>
  <c r="R661" i="51"/>
  <c r="Q661" i="51"/>
  <c r="O661" i="51"/>
  <c r="F658" i="51"/>
  <c r="W164" i="51" l="1"/>
  <c r="V164" i="51"/>
  <c r="U164" i="51"/>
  <c r="T164" i="51"/>
  <c r="P164" i="51"/>
  <c r="O164" i="51"/>
  <c r="M164" i="51"/>
  <c r="F164" i="51"/>
  <c r="R164" i="51" s="1"/>
  <c r="F160" i="51"/>
  <c r="Q164" i="51" l="1"/>
  <c r="F618" i="51" l="1"/>
  <c r="W648" i="51"/>
  <c r="V648" i="51"/>
  <c r="U648" i="51"/>
  <c r="T648" i="51"/>
  <c r="R648" i="51"/>
  <c r="Q648" i="51"/>
  <c r="P648" i="51"/>
  <c r="O648" i="51"/>
  <c r="W647" i="51"/>
  <c r="V647" i="51"/>
  <c r="U647" i="51"/>
  <c r="T647" i="51"/>
  <c r="R647" i="51"/>
  <c r="Q647" i="51"/>
  <c r="P647" i="51"/>
  <c r="O647" i="51"/>
  <c r="F330" i="51" l="1"/>
  <c r="F348" i="51"/>
  <c r="F347" i="51"/>
  <c r="F346" i="51"/>
  <c r="F345" i="51"/>
  <c r="F344" i="51"/>
  <c r="F343" i="51"/>
  <c r="R349" i="51"/>
  <c r="Q349" i="51"/>
  <c r="W349" i="51"/>
  <c r="V349" i="51"/>
  <c r="U349" i="51"/>
  <c r="T349" i="51"/>
  <c r="P349" i="51"/>
  <c r="O349" i="51"/>
  <c r="M349" i="51"/>
  <c r="R350" i="51" l="1"/>
  <c r="Q350" i="51"/>
  <c r="W350" i="51"/>
  <c r="V350" i="51"/>
  <c r="U350" i="51"/>
  <c r="T350" i="51"/>
  <c r="P350" i="51"/>
  <c r="O350" i="51"/>
  <c r="M350" i="51"/>
  <c r="R721" i="51" l="1"/>
  <c r="R720" i="51"/>
  <c r="R719" i="51"/>
  <c r="R718" i="51"/>
  <c r="R717" i="51"/>
  <c r="R716" i="51"/>
  <c r="R715" i="51"/>
  <c r="R714" i="51"/>
  <c r="R713" i="51"/>
  <c r="R712" i="51"/>
  <c r="R711" i="51"/>
  <c r="R710" i="51"/>
  <c r="R709" i="51"/>
  <c r="R708" i="51"/>
  <c r="R707" i="51"/>
  <c r="R706" i="51"/>
  <c r="R705" i="51"/>
  <c r="R704" i="51"/>
  <c r="R703" i="51"/>
  <c r="R702" i="51"/>
  <c r="R701" i="51"/>
  <c r="R700" i="51"/>
  <c r="R699" i="51"/>
  <c r="R698" i="51"/>
  <c r="R697" i="51"/>
  <c r="R696" i="51"/>
  <c r="R695" i="51"/>
  <c r="R694" i="51"/>
  <c r="R693" i="51"/>
  <c r="R692" i="51"/>
  <c r="R691" i="51"/>
  <c r="R690" i="51"/>
  <c r="R689" i="51"/>
  <c r="R688" i="51"/>
  <c r="R687" i="51"/>
  <c r="R686" i="51"/>
  <c r="R685" i="51"/>
  <c r="R684" i="51"/>
  <c r="R683" i="51"/>
  <c r="R682" i="51"/>
  <c r="R681" i="51"/>
  <c r="R680" i="51"/>
  <c r="R679" i="51"/>
  <c r="R678" i="51"/>
  <c r="R677" i="51"/>
  <c r="R676" i="51"/>
  <c r="R675" i="51"/>
  <c r="R674" i="51"/>
  <c r="R673" i="51"/>
  <c r="R672" i="51"/>
  <c r="R671" i="51"/>
  <c r="R670" i="51"/>
  <c r="R669" i="51"/>
  <c r="R668" i="51"/>
  <c r="R667" i="51"/>
  <c r="R666" i="51"/>
  <c r="R665" i="51"/>
  <c r="R664" i="51"/>
  <c r="R663" i="51"/>
  <c r="R662" i="51"/>
  <c r="Q721" i="51"/>
  <c r="Q720" i="51"/>
  <c r="Q719" i="51"/>
  <c r="Q718" i="51"/>
  <c r="Q717" i="51"/>
  <c r="Q716" i="51"/>
  <c r="Q715" i="51"/>
  <c r="Q714" i="51"/>
  <c r="Q713" i="51"/>
  <c r="Q712" i="51"/>
  <c r="Q711" i="51"/>
  <c r="Q710" i="51"/>
  <c r="Q709" i="51"/>
  <c r="Q708" i="51"/>
  <c r="Q707" i="51"/>
  <c r="Q706" i="51"/>
  <c r="Q705" i="51"/>
  <c r="Q704" i="51"/>
  <c r="Q703" i="51"/>
  <c r="Q702" i="51"/>
  <c r="Q701" i="51"/>
  <c r="Q700" i="51"/>
  <c r="Q699" i="51"/>
  <c r="Q698" i="51"/>
  <c r="Q697" i="51"/>
  <c r="Q696" i="51"/>
  <c r="Q695" i="51"/>
  <c r="Q694" i="51"/>
  <c r="Q693" i="51"/>
  <c r="Q692" i="51"/>
  <c r="Q691" i="51"/>
  <c r="Q690" i="51"/>
  <c r="Q689" i="51"/>
  <c r="Q688" i="51"/>
  <c r="Q687" i="51"/>
  <c r="Q686" i="51"/>
  <c r="Q685" i="51"/>
  <c r="Q684" i="51"/>
  <c r="Q683" i="51"/>
  <c r="Q682" i="51"/>
  <c r="Q681" i="51"/>
  <c r="Q680" i="51"/>
  <c r="Q679" i="51"/>
  <c r="Q678" i="51"/>
  <c r="Q677" i="51"/>
  <c r="Q676" i="51"/>
  <c r="Q675" i="51"/>
  <c r="Q674" i="51"/>
  <c r="Q673" i="51"/>
  <c r="Q672" i="51"/>
  <c r="Q671" i="51"/>
  <c r="Q670" i="51"/>
  <c r="Q669" i="51"/>
  <c r="Q668" i="51"/>
  <c r="Q667" i="51"/>
  <c r="Q666" i="51"/>
  <c r="Q665" i="51"/>
  <c r="Q664" i="51"/>
  <c r="Q663" i="51"/>
  <c r="Q662" i="51"/>
  <c r="W721" i="51"/>
  <c r="V721" i="51"/>
  <c r="U721" i="51"/>
  <c r="O721" i="51"/>
  <c r="W720" i="51"/>
  <c r="V720" i="51"/>
  <c r="U720" i="51"/>
  <c r="O720" i="51"/>
  <c r="W719" i="51"/>
  <c r="V719" i="51"/>
  <c r="U719" i="51"/>
  <c r="O719" i="51"/>
  <c r="W718" i="51"/>
  <c r="V718" i="51"/>
  <c r="U718" i="51"/>
  <c r="O718" i="51"/>
  <c r="W717" i="51"/>
  <c r="V717" i="51"/>
  <c r="U717" i="51"/>
  <c r="O717" i="51"/>
  <c r="W716" i="51"/>
  <c r="V716" i="51"/>
  <c r="U716" i="51"/>
  <c r="O716" i="51"/>
  <c r="W715" i="51"/>
  <c r="V715" i="51"/>
  <c r="U715" i="51"/>
  <c r="O715" i="51"/>
  <c r="W714" i="51"/>
  <c r="V714" i="51"/>
  <c r="U714" i="51"/>
  <c r="O714" i="51"/>
  <c r="W713" i="51"/>
  <c r="V713" i="51"/>
  <c r="U713" i="51"/>
  <c r="O713" i="51"/>
  <c r="W712" i="51"/>
  <c r="V712" i="51"/>
  <c r="U712" i="51"/>
  <c r="O712" i="51"/>
  <c r="W711" i="51"/>
  <c r="V711" i="51"/>
  <c r="U711" i="51"/>
  <c r="O711" i="51"/>
  <c r="W710" i="51"/>
  <c r="V710" i="51"/>
  <c r="U710" i="51"/>
  <c r="O710" i="51"/>
  <c r="W709" i="51"/>
  <c r="V709" i="51"/>
  <c r="U709" i="51"/>
  <c r="O709" i="51"/>
  <c r="W708" i="51"/>
  <c r="V708" i="51"/>
  <c r="U708" i="51"/>
  <c r="O708" i="51"/>
  <c r="W707" i="51"/>
  <c r="V707" i="51"/>
  <c r="U707" i="51"/>
  <c r="O707" i="51"/>
  <c r="W706" i="51"/>
  <c r="V706" i="51"/>
  <c r="U706" i="51"/>
  <c r="O706" i="51"/>
  <c r="W705" i="51"/>
  <c r="V705" i="51"/>
  <c r="U705" i="51"/>
  <c r="O705" i="51"/>
  <c r="W704" i="51"/>
  <c r="V704" i="51"/>
  <c r="U704" i="51"/>
  <c r="O704" i="51"/>
  <c r="W703" i="51"/>
  <c r="V703" i="51"/>
  <c r="U703" i="51"/>
  <c r="O703" i="51"/>
  <c r="W702" i="51"/>
  <c r="V702" i="51"/>
  <c r="U702" i="51"/>
  <c r="O702" i="51"/>
  <c r="W701" i="51"/>
  <c r="V701" i="51"/>
  <c r="U701" i="51"/>
  <c r="O701" i="51"/>
  <c r="W700" i="51"/>
  <c r="V700" i="51"/>
  <c r="U700" i="51"/>
  <c r="O700" i="51"/>
  <c r="W699" i="51"/>
  <c r="V699" i="51"/>
  <c r="U699" i="51"/>
  <c r="O699" i="51"/>
  <c r="W698" i="51"/>
  <c r="V698" i="51"/>
  <c r="U698" i="51"/>
  <c r="O698" i="51"/>
  <c r="W697" i="51"/>
  <c r="V697" i="51"/>
  <c r="U697" i="51"/>
  <c r="O697" i="51"/>
  <c r="W696" i="51"/>
  <c r="V696" i="51"/>
  <c r="U696" i="51"/>
  <c r="O696" i="51"/>
  <c r="W695" i="51"/>
  <c r="V695" i="51"/>
  <c r="U695" i="51"/>
  <c r="O695" i="51"/>
  <c r="W694" i="51"/>
  <c r="V694" i="51"/>
  <c r="U694" i="51"/>
  <c r="O694" i="51"/>
  <c r="W693" i="51"/>
  <c r="V693" i="51"/>
  <c r="U693" i="51"/>
  <c r="O693" i="51"/>
  <c r="W692" i="51"/>
  <c r="V692" i="51"/>
  <c r="U692" i="51"/>
  <c r="O692" i="51"/>
  <c r="W691" i="51"/>
  <c r="V691" i="51"/>
  <c r="U691" i="51"/>
  <c r="O691" i="51"/>
  <c r="W690" i="51"/>
  <c r="V690" i="51"/>
  <c r="U690" i="51"/>
  <c r="O690" i="51"/>
  <c r="W689" i="51"/>
  <c r="V689" i="51"/>
  <c r="U689" i="51"/>
  <c r="O689" i="51"/>
  <c r="W688" i="51"/>
  <c r="V688" i="51"/>
  <c r="U688" i="51"/>
  <c r="O688" i="51"/>
  <c r="W687" i="51"/>
  <c r="V687" i="51"/>
  <c r="U687" i="51"/>
  <c r="O687" i="51"/>
  <c r="W686" i="51"/>
  <c r="V686" i="51"/>
  <c r="U686" i="51"/>
  <c r="O686" i="51"/>
  <c r="W685" i="51"/>
  <c r="V685" i="51"/>
  <c r="U685" i="51"/>
  <c r="O685" i="51"/>
  <c r="W684" i="51"/>
  <c r="V684" i="51"/>
  <c r="U684" i="51"/>
  <c r="O684" i="51"/>
  <c r="W683" i="51"/>
  <c r="V683" i="51"/>
  <c r="U683" i="51"/>
  <c r="O683" i="51"/>
  <c r="W682" i="51"/>
  <c r="V682" i="51"/>
  <c r="U682" i="51"/>
  <c r="O682" i="51"/>
  <c r="W681" i="51"/>
  <c r="V681" i="51"/>
  <c r="U681" i="51"/>
  <c r="O681" i="51"/>
  <c r="W680" i="51"/>
  <c r="V680" i="51"/>
  <c r="U680" i="51"/>
  <c r="O680" i="51"/>
  <c r="W679" i="51"/>
  <c r="V679" i="51"/>
  <c r="U679" i="51"/>
  <c r="O679" i="51"/>
  <c r="W678" i="51"/>
  <c r="V678" i="51"/>
  <c r="U678" i="51"/>
  <c r="O678" i="51"/>
  <c r="W677" i="51"/>
  <c r="V677" i="51"/>
  <c r="U677" i="51"/>
  <c r="O677" i="51"/>
  <c r="W676" i="51"/>
  <c r="V676" i="51"/>
  <c r="U676" i="51"/>
  <c r="O676" i="51"/>
  <c r="W675" i="51"/>
  <c r="V675" i="51"/>
  <c r="U675" i="51"/>
  <c r="O675" i="51"/>
  <c r="W674" i="51"/>
  <c r="V674" i="51"/>
  <c r="U674" i="51"/>
  <c r="O674" i="51"/>
  <c r="W673" i="51"/>
  <c r="V673" i="51"/>
  <c r="U673" i="51"/>
  <c r="O673" i="51"/>
  <c r="W672" i="51"/>
  <c r="V672" i="51"/>
  <c r="U672" i="51"/>
  <c r="O672" i="51"/>
  <c r="W671" i="51"/>
  <c r="V671" i="51"/>
  <c r="U671" i="51"/>
  <c r="O671" i="51"/>
  <c r="W670" i="51"/>
  <c r="V670" i="51"/>
  <c r="U670" i="51"/>
  <c r="O670" i="51"/>
  <c r="W669" i="51"/>
  <c r="V669" i="51"/>
  <c r="U669" i="51"/>
  <c r="O669" i="51"/>
  <c r="W668" i="51"/>
  <c r="V668" i="51"/>
  <c r="U668" i="51"/>
  <c r="O668" i="51"/>
  <c r="W667" i="51"/>
  <c r="V667" i="51"/>
  <c r="U667" i="51"/>
  <c r="O667" i="51"/>
  <c r="W666" i="51"/>
  <c r="V666" i="51"/>
  <c r="U666" i="51"/>
  <c r="O666" i="51"/>
  <c r="W665" i="51"/>
  <c r="V665" i="51"/>
  <c r="U665" i="51"/>
  <c r="O665" i="51"/>
  <c r="W664" i="51"/>
  <c r="V664" i="51"/>
  <c r="U664" i="51"/>
  <c r="O664" i="51"/>
  <c r="W663" i="51"/>
  <c r="V663" i="51"/>
  <c r="U663" i="51"/>
  <c r="O663" i="51"/>
  <c r="W662" i="51"/>
  <c r="V662" i="51"/>
  <c r="U662" i="51"/>
  <c r="O662" i="51"/>
  <c r="M660" i="51" l="1"/>
  <c r="M659" i="51"/>
  <c r="M658" i="51"/>
  <c r="M657" i="51"/>
  <c r="M656" i="51"/>
  <c r="M655" i="51"/>
  <c r="M654" i="51"/>
  <c r="M653" i="51"/>
  <c r="M652" i="51"/>
  <c r="M651"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38" i="51"/>
  <c r="M537" i="51"/>
  <c r="M536" i="51"/>
  <c r="M535" i="51"/>
  <c r="M534" i="51"/>
  <c r="M533" i="51"/>
  <c r="M532" i="51"/>
  <c r="M531" i="51"/>
  <c r="M530" i="51"/>
  <c r="M529" i="51"/>
  <c r="M528" i="51"/>
  <c r="M527" i="51"/>
  <c r="M526" i="51"/>
  <c r="M525" i="51"/>
  <c r="M524" i="51"/>
  <c r="M523" i="51"/>
  <c r="M522" i="51"/>
  <c r="M521" i="51"/>
  <c r="M520" i="51"/>
  <c r="M519" i="51"/>
  <c r="M518" i="51"/>
  <c r="M517" i="51"/>
  <c r="M516" i="51"/>
  <c r="M515" i="51"/>
  <c r="M514" i="51"/>
  <c r="M513" i="51"/>
  <c r="M506" i="51"/>
  <c r="M505" i="51"/>
  <c r="M504" i="51"/>
  <c r="M503" i="51"/>
  <c r="M502" i="51"/>
  <c r="M501" i="51"/>
  <c r="M500" i="51"/>
  <c r="M499" i="51"/>
  <c r="M498" i="51"/>
  <c r="M497" i="51"/>
  <c r="M496" i="51"/>
  <c r="M495" i="51"/>
  <c r="M494" i="51"/>
  <c r="M493" i="51"/>
  <c r="M492" i="51"/>
  <c r="M491" i="51"/>
  <c r="M490" i="51"/>
  <c r="M489" i="51"/>
  <c r="M488" i="51"/>
  <c r="M487" i="51"/>
  <c r="M486" i="51"/>
  <c r="M485" i="51"/>
  <c r="M484" i="51"/>
  <c r="M483"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7" i="51"/>
  <c r="M446" i="51"/>
  <c r="M445" i="51"/>
  <c r="M444" i="51"/>
  <c r="M443" i="51"/>
  <c r="M442" i="51"/>
  <c r="M441" i="51"/>
  <c r="M440" i="51"/>
  <c r="M439" i="51"/>
  <c r="M438" i="51"/>
  <c r="M437" i="51"/>
  <c r="M436" i="51"/>
  <c r="M435" i="51"/>
  <c r="M434" i="51"/>
  <c r="M433" i="51"/>
  <c r="M432" i="51"/>
  <c r="M431" i="51"/>
  <c r="M430" i="51"/>
  <c r="M429" i="51"/>
  <c r="M428" i="51"/>
  <c r="M427" i="51"/>
  <c r="M426" i="51"/>
  <c r="M425" i="51"/>
  <c r="M424"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6" i="51"/>
  <c r="M365" i="51"/>
  <c r="M364" i="51"/>
  <c r="M363" i="51"/>
  <c r="M362" i="51"/>
  <c r="M361" i="51"/>
  <c r="M360" i="51"/>
  <c r="M359" i="51"/>
  <c r="M358" i="51"/>
  <c r="M357" i="51"/>
  <c r="M356" i="51"/>
  <c r="M355" i="51"/>
  <c r="M354" i="51"/>
  <c r="M353" i="51"/>
  <c r="M352" i="51"/>
  <c r="M351" i="51"/>
  <c r="M348" i="51"/>
  <c r="M347" i="51"/>
  <c r="M346" i="51"/>
  <c r="M345" i="51"/>
  <c r="M344" i="51"/>
  <c r="M343" i="51"/>
  <c r="M342" i="51"/>
  <c r="M341" i="51"/>
  <c r="M340" i="51"/>
  <c r="M339" i="51"/>
  <c r="M338" i="51"/>
  <c r="M337" i="51"/>
  <c r="M336" i="51"/>
  <c r="M335" i="51"/>
  <c r="M334" i="51"/>
  <c r="M333" i="51"/>
  <c r="M332" i="51"/>
  <c r="M331" i="51"/>
  <c r="M330" i="51"/>
  <c r="M327" i="51"/>
  <c r="M326" i="51"/>
  <c r="M325" i="51"/>
  <c r="M324" i="51"/>
  <c r="M323" i="51"/>
  <c r="M322" i="51"/>
  <c r="M321" i="51"/>
  <c r="M320" i="51"/>
  <c r="M319"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90" i="51"/>
  <c r="M289" i="51"/>
  <c r="M288" i="51"/>
  <c r="M287" i="51"/>
  <c r="M286" i="51"/>
  <c r="M285" i="51"/>
  <c r="M284" i="51"/>
  <c r="M283" i="51"/>
  <c r="M282" i="51"/>
  <c r="M281" i="51"/>
  <c r="M280" i="51"/>
  <c r="M279" i="51"/>
  <c r="M278" i="51"/>
  <c r="M277" i="51"/>
  <c r="M276" i="51"/>
  <c r="M275" i="51"/>
  <c r="M274" i="51"/>
  <c r="M273" i="51"/>
  <c r="M272" i="51"/>
  <c r="M271" i="51"/>
  <c r="M270" i="51"/>
  <c r="M268" i="51"/>
  <c r="M267" i="51"/>
  <c r="M266" i="51"/>
  <c r="M265" i="51"/>
  <c r="M264" i="51"/>
  <c r="M263" i="51"/>
  <c r="M262" i="51"/>
  <c r="M261" i="51"/>
  <c r="M260" i="51"/>
  <c r="M259" i="51"/>
  <c r="M258" i="51"/>
  <c r="M257" i="51"/>
  <c r="M256" i="51"/>
  <c r="M255" i="51"/>
  <c r="M254" i="51"/>
  <c r="M253" i="51"/>
  <c r="M252" i="51"/>
  <c r="M251" i="51"/>
  <c r="M250" i="51"/>
  <c r="M249" i="51"/>
  <c r="M248" i="51"/>
  <c r="M247" i="51"/>
  <c r="M246" i="51"/>
  <c r="M245" i="51"/>
  <c r="M244" i="51"/>
  <c r="M243" i="51"/>
  <c r="M242" i="51"/>
  <c r="M241" i="51"/>
  <c r="M240" i="51"/>
  <c r="M239" i="51"/>
  <c r="M238"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81" i="51"/>
  <c r="M180" i="51"/>
  <c r="M179" i="51"/>
  <c r="M178" i="51"/>
  <c r="M177" i="51"/>
  <c r="M176" i="51"/>
  <c r="M175" i="51"/>
  <c r="M174" i="51"/>
  <c r="M173" i="51"/>
  <c r="M172" i="51"/>
  <c r="M171" i="51"/>
  <c r="M170" i="51"/>
  <c r="M169" i="51"/>
  <c r="M168" i="51"/>
  <c r="M167" i="51"/>
  <c r="M166" i="51"/>
  <c r="M163" i="51"/>
  <c r="M162" i="51"/>
  <c r="M161" i="51"/>
  <c r="M160" i="51"/>
  <c r="M159" i="51"/>
  <c r="M158" i="51"/>
  <c r="M157" i="51"/>
  <c r="M156" i="51"/>
  <c r="M155" i="51"/>
  <c r="M154" i="51"/>
  <c r="M153" i="51"/>
  <c r="M152" i="51"/>
  <c r="M151" i="51"/>
  <c r="M150" i="51"/>
  <c r="M149" i="51"/>
  <c r="M148" i="51"/>
  <c r="M147" i="51"/>
  <c r="M146" i="51"/>
  <c r="M145" i="51"/>
  <c r="M144" i="51"/>
  <c r="M143" i="51"/>
  <c r="M142" i="51"/>
  <c r="M141" i="51"/>
  <c r="M140" i="51"/>
  <c r="M139" i="51"/>
  <c r="M138" i="51"/>
  <c r="M137" i="51"/>
  <c r="M136" i="51"/>
  <c r="M135" i="51"/>
  <c r="M134" i="51"/>
  <c r="M128" i="51"/>
  <c r="M127" i="51"/>
  <c r="M126" i="51"/>
  <c r="M125" i="51"/>
  <c r="M124" i="51"/>
  <c r="M123" i="51"/>
  <c r="M122" i="51"/>
  <c r="M121" i="51"/>
  <c r="M120" i="51"/>
  <c r="M119" i="51"/>
  <c r="M118" i="51"/>
  <c r="M117" i="51"/>
  <c r="M116" i="51"/>
  <c r="M115" i="51"/>
  <c r="M114" i="51"/>
  <c r="M113" i="51"/>
  <c r="M112" i="51"/>
  <c r="M111" i="51"/>
  <c r="M110" i="51"/>
  <c r="M109" i="51"/>
  <c r="M108" i="51"/>
  <c r="M107" i="51"/>
  <c r="M106" i="51"/>
  <c r="M105" i="51"/>
  <c r="M104" i="51"/>
  <c r="M103"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9" i="51"/>
  <c r="Q10" i="51"/>
  <c r="Q11" i="51"/>
  <c r="Q12" i="51"/>
  <c r="Q13" i="51"/>
  <c r="Q14" i="51"/>
  <c r="Q15" i="51"/>
  <c r="Q16" i="51"/>
  <c r="Q17" i="51"/>
  <c r="Q18" i="51"/>
  <c r="Q19" i="51"/>
  <c r="Q20" i="51"/>
  <c r="Q21" i="51"/>
  <c r="Q22" i="51"/>
  <c r="Q23" i="51"/>
  <c r="Q24" i="51"/>
  <c r="Q25" i="51"/>
  <c r="Q26"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03" i="51"/>
  <c r="Q104" i="51"/>
  <c r="Q105" i="51"/>
  <c r="Q106" i="51"/>
  <c r="Q107" i="51"/>
  <c r="Q108" i="51"/>
  <c r="Q109" i="51"/>
  <c r="Q110" i="51"/>
  <c r="Q111" i="51"/>
  <c r="Q112" i="51"/>
  <c r="Q113" i="51"/>
  <c r="Q114" i="51"/>
  <c r="Q115" i="51"/>
  <c r="Q116" i="51"/>
  <c r="Q117" i="51"/>
  <c r="Q118" i="51"/>
  <c r="Q119" i="51"/>
  <c r="Q120" i="51"/>
  <c r="Q121" i="51"/>
  <c r="Q122" i="51"/>
  <c r="Q123" i="51"/>
  <c r="Q124" i="51"/>
  <c r="Q125" i="51"/>
  <c r="Q126" i="51"/>
  <c r="Q127" i="51"/>
  <c r="Q134" i="51"/>
  <c r="Q135" i="51"/>
  <c r="Q136" i="51"/>
  <c r="Q137" i="51"/>
  <c r="Q138" i="51"/>
  <c r="Q139" i="51"/>
  <c r="Q140" i="51"/>
  <c r="Q141" i="51"/>
  <c r="Q142" i="51"/>
  <c r="Q143" i="51"/>
  <c r="Q144" i="51"/>
  <c r="Q145" i="51"/>
  <c r="Q146" i="51"/>
  <c r="Q147" i="51"/>
  <c r="Q148" i="51"/>
  <c r="Q149" i="51"/>
  <c r="Q151" i="51"/>
  <c r="Q153" i="51"/>
  <c r="Q154" i="51"/>
  <c r="Q155" i="51"/>
  <c r="Q156" i="51"/>
  <c r="Q158" i="51"/>
  <c r="Q159" i="51"/>
  <c r="Q161" i="51"/>
  <c r="Q162" i="51"/>
  <c r="Q166" i="51"/>
  <c r="Q167" i="51"/>
  <c r="Q168" i="51"/>
  <c r="Q169" i="51"/>
  <c r="Q170" i="51"/>
  <c r="Q171" i="51"/>
  <c r="Q172" i="51"/>
  <c r="Q173" i="51"/>
  <c r="Q174" i="51"/>
  <c r="Q175" i="51"/>
  <c r="Q176" i="51"/>
  <c r="Q177" i="51"/>
  <c r="Q178" i="51"/>
  <c r="Q179" i="51"/>
  <c r="Q180" i="51"/>
  <c r="Q181"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4" i="51"/>
  <c r="Q215" i="51"/>
  <c r="Q216" i="51"/>
  <c r="Q217" i="51"/>
  <c r="Q218" i="51"/>
  <c r="Q219" i="51"/>
  <c r="Q220" i="51"/>
  <c r="Q221" i="51"/>
  <c r="Q222" i="51"/>
  <c r="Q223" i="51"/>
  <c r="Q224" i="51"/>
  <c r="Q225" i="51"/>
  <c r="Q226" i="51"/>
  <c r="Q227" i="51"/>
  <c r="Q228" i="51"/>
  <c r="Q229" i="51"/>
  <c r="Q230" i="51"/>
  <c r="Q231" i="51"/>
  <c r="Q232" i="51"/>
  <c r="Q233" i="51"/>
  <c r="Q234" i="51"/>
  <c r="Q235" i="51"/>
  <c r="Q238" i="51"/>
  <c r="Q239" i="51"/>
  <c r="Q240" i="51"/>
  <c r="Q241" i="51"/>
  <c r="Q242" i="51"/>
  <c r="Q243" i="51"/>
  <c r="Q244" i="51"/>
  <c r="Q245" i="51"/>
  <c r="Q246" i="51"/>
  <c r="Q247" i="51"/>
  <c r="Q248" i="51"/>
  <c r="Q249" i="51"/>
  <c r="Q250" i="51"/>
  <c r="Q251" i="51"/>
  <c r="Q252" i="51"/>
  <c r="Q253"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30" i="51"/>
  <c r="Q331" i="51"/>
  <c r="Q332" i="51"/>
  <c r="Q333" i="51"/>
  <c r="Q334" i="51"/>
  <c r="Q335" i="51"/>
  <c r="Q336" i="51"/>
  <c r="Q337" i="51"/>
  <c r="Q338" i="51"/>
  <c r="Q339" i="51"/>
  <c r="Q341" i="51"/>
  <c r="Q342" i="51"/>
  <c r="Q343" i="51"/>
  <c r="Q344" i="51"/>
  <c r="Q345" i="51"/>
  <c r="Q346" i="51"/>
  <c r="Q347" i="51"/>
  <c r="Q348" i="51"/>
  <c r="Q351" i="51"/>
  <c r="Q352" i="51"/>
  <c r="Q353" i="51"/>
  <c r="Q354" i="51"/>
  <c r="Q355" i="51"/>
  <c r="Q356" i="51"/>
  <c r="Q357" i="51"/>
  <c r="Q358" i="51"/>
  <c r="Q359" i="51"/>
  <c r="Q360" i="51"/>
  <c r="Q361" i="51"/>
  <c r="Q362" i="51"/>
  <c r="Q363" i="51"/>
  <c r="Q364" i="51"/>
  <c r="Q365" i="51"/>
  <c r="Q366" i="51"/>
  <c r="Q367" i="51"/>
  <c r="Q368" i="51"/>
  <c r="Q369" i="51"/>
  <c r="Q370" i="51"/>
  <c r="Q371" i="51"/>
  <c r="Q372" i="51"/>
  <c r="Q373" i="51"/>
  <c r="Q374" i="51"/>
  <c r="Q387" i="51"/>
  <c r="Q388" i="51"/>
  <c r="Q389" i="51"/>
  <c r="Q390" i="51"/>
  <c r="Q391" i="51"/>
  <c r="Q392" i="51"/>
  <c r="Q393" i="51"/>
  <c r="Q394" i="51"/>
  <c r="Q395" i="51"/>
  <c r="Q396" i="51"/>
  <c r="Q397" i="51"/>
  <c r="Q398" i="51"/>
  <c r="Q399" i="51"/>
  <c r="Q400" i="51"/>
  <c r="Q401" i="51"/>
  <c r="Q402" i="51"/>
  <c r="Q403" i="51"/>
  <c r="Q404" i="51"/>
  <c r="Q405" i="51"/>
  <c r="Q406" i="51"/>
  <c r="Q407" i="51"/>
  <c r="Q408" i="51"/>
  <c r="Q409" i="51"/>
  <c r="Q410" i="51"/>
  <c r="Q411" i="51"/>
  <c r="Q412" i="51"/>
  <c r="Q45" i="51"/>
  <c r="Q413" i="51"/>
  <c r="Q414" i="51"/>
  <c r="Q415" i="51"/>
  <c r="Q416" i="51"/>
  <c r="Q417" i="51"/>
  <c r="Q418" i="51"/>
  <c r="Q419" i="51"/>
  <c r="Q420" i="51"/>
  <c r="Q421" i="51"/>
  <c r="Q422" i="51"/>
  <c r="Q423" i="51"/>
  <c r="Q424" i="51"/>
  <c r="Q425" i="51"/>
  <c r="Q427" i="51"/>
  <c r="Q428" i="51"/>
  <c r="Q429" i="51"/>
  <c r="Q430" i="51"/>
  <c r="Q431" i="51"/>
  <c r="Q432" i="51"/>
  <c r="Q433" i="51"/>
  <c r="Q434" i="51"/>
  <c r="Q435" i="51"/>
  <c r="Q436" i="51"/>
  <c r="Q437" i="51"/>
  <c r="Q438" i="51"/>
  <c r="Q439" i="51"/>
  <c r="Q440" i="51"/>
  <c r="Q443" i="51"/>
  <c r="Q444" i="51"/>
  <c r="Q445" i="51"/>
  <c r="Q447" i="51"/>
  <c r="Q448" i="51"/>
  <c r="Q449" i="51"/>
  <c r="Q450" i="51"/>
  <c r="Q451" i="51"/>
  <c r="Q452" i="51"/>
  <c r="Q453" i="51"/>
  <c r="Q454" i="51"/>
  <c r="Q458" i="51"/>
  <c r="Q462" i="51"/>
  <c r="Q463" i="51"/>
  <c r="Q464" i="51"/>
  <c r="Q375" i="51"/>
  <c r="Q376" i="51"/>
  <c r="Q377" i="51"/>
  <c r="Q378" i="51"/>
  <c r="Q379" i="51"/>
  <c r="Q381" i="51"/>
  <c r="Q382" i="51"/>
  <c r="Q383" i="51"/>
  <c r="Q384" i="51"/>
  <c r="Q385" i="51"/>
  <c r="Q386" i="51"/>
  <c r="Q465" i="51"/>
  <c r="Q466" i="51"/>
  <c r="Q467" i="51"/>
  <c r="Q469" i="51"/>
  <c r="Q470" i="51"/>
  <c r="Q472" i="51"/>
  <c r="Q473" i="51"/>
  <c r="Q474" i="51"/>
  <c r="Q475" i="51"/>
  <c r="Q476" i="51"/>
  <c r="Q477" i="51"/>
  <c r="Q478" i="51"/>
  <c r="Q479" i="51"/>
  <c r="Q480" i="51"/>
  <c r="Q481" i="51"/>
  <c r="Q482" i="51"/>
  <c r="Q483" i="51"/>
  <c r="Q484" i="51"/>
  <c r="Q485" i="51"/>
  <c r="Q487" i="51"/>
  <c r="Q488" i="51"/>
  <c r="Q489" i="51"/>
  <c r="Q490" i="51"/>
  <c r="Q491" i="51"/>
  <c r="Q492" i="51"/>
  <c r="Q493" i="51"/>
  <c r="Q494" i="51"/>
  <c r="Q495" i="51"/>
  <c r="Q496" i="51"/>
  <c r="Q497" i="51"/>
  <c r="Q498" i="51"/>
  <c r="Q499" i="51"/>
  <c r="Q500" i="51"/>
  <c r="Q501" i="51"/>
  <c r="Q502" i="51"/>
  <c r="Q503" i="51"/>
  <c r="Q504" i="51"/>
  <c r="Q505" i="51"/>
  <c r="Q506" i="51"/>
  <c r="Q513" i="51"/>
  <c r="Q514" i="51"/>
  <c r="Q515" i="51"/>
  <c r="Q516" i="51"/>
  <c r="Q517" i="51"/>
  <c r="Q518" i="51"/>
  <c r="Q519" i="51"/>
  <c r="Q520" i="51"/>
  <c r="Q521" i="51"/>
  <c r="Q522" i="51"/>
  <c r="Q523" i="51"/>
  <c r="Q524" i="51"/>
  <c r="Q525" i="51"/>
  <c r="Q526" i="51"/>
  <c r="Q527" i="51"/>
  <c r="Q528" i="51"/>
  <c r="Q529" i="51"/>
  <c r="Q530" i="51"/>
  <c r="Q531" i="51"/>
  <c r="Q532" i="51"/>
  <c r="Q533" i="51"/>
  <c r="Q534" i="51"/>
  <c r="Q535" i="51"/>
  <c r="Q536" i="51"/>
  <c r="Q537" i="51"/>
  <c r="Q538"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51" i="51"/>
  <c r="Q652" i="51"/>
  <c r="Q653" i="51"/>
  <c r="Q654" i="51"/>
  <c r="Q655" i="51"/>
  <c r="Q656" i="51"/>
  <c r="Q657" i="51"/>
  <c r="Q658" i="51"/>
  <c r="Q659" i="51"/>
  <c r="Q660" i="51"/>
  <c r="Q459" i="51"/>
  <c r="Q7" i="51"/>
  <c r="Q8" i="51"/>
  <c r="Q44" i="51"/>
  <c r="R459" i="51"/>
  <c r="R7" i="51"/>
  <c r="R8" i="5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03" i="51"/>
  <c r="R104" i="51"/>
  <c r="R105" i="51"/>
  <c r="R106" i="51"/>
  <c r="R107" i="51"/>
  <c r="R108" i="51"/>
  <c r="R109" i="51"/>
  <c r="R110" i="51"/>
  <c r="R111" i="51"/>
  <c r="R112" i="51"/>
  <c r="R113" i="51"/>
  <c r="R114" i="51"/>
  <c r="R115" i="51"/>
  <c r="R116" i="51"/>
  <c r="R117" i="51"/>
  <c r="R118" i="51"/>
  <c r="R119" i="51"/>
  <c r="R120" i="51"/>
  <c r="R121" i="51"/>
  <c r="R122" i="51"/>
  <c r="R123" i="51"/>
  <c r="R124" i="51"/>
  <c r="R125" i="51"/>
  <c r="R126" i="51"/>
  <c r="R127" i="51"/>
  <c r="R134" i="51"/>
  <c r="R135" i="51"/>
  <c r="R136" i="51"/>
  <c r="R137" i="51"/>
  <c r="R138" i="51"/>
  <c r="R139" i="51"/>
  <c r="R140" i="51"/>
  <c r="R141" i="51"/>
  <c r="R142" i="51"/>
  <c r="R143" i="51"/>
  <c r="R144" i="51"/>
  <c r="R145" i="51"/>
  <c r="R146" i="51"/>
  <c r="R147" i="51"/>
  <c r="R148" i="51"/>
  <c r="R149" i="51"/>
  <c r="R151" i="51"/>
  <c r="R153" i="51"/>
  <c r="R154" i="51"/>
  <c r="R155" i="51"/>
  <c r="R156" i="51"/>
  <c r="R158" i="51"/>
  <c r="R159" i="51"/>
  <c r="R161" i="51"/>
  <c r="R162" i="51"/>
  <c r="R166" i="51"/>
  <c r="R167" i="51"/>
  <c r="R168" i="51"/>
  <c r="R169" i="51"/>
  <c r="R170" i="51"/>
  <c r="R171" i="51"/>
  <c r="R172" i="51"/>
  <c r="R173" i="51"/>
  <c r="R174" i="51"/>
  <c r="R175" i="51"/>
  <c r="R176" i="51"/>
  <c r="R177" i="51"/>
  <c r="R178" i="51"/>
  <c r="R179" i="51"/>
  <c r="R180" i="51"/>
  <c r="R181"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4" i="51"/>
  <c r="R215" i="51"/>
  <c r="R216" i="51"/>
  <c r="R217" i="51"/>
  <c r="R218" i="51"/>
  <c r="R219" i="51"/>
  <c r="R220" i="51"/>
  <c r="R221" i="51"/>
  <c r="R222" i="51"/>
  <c r="R223" i="51"/>
  <c r="R224" i="51"/>
  <c r="R225" i="51"/>
  <c r="R226" i="51"/>
  <c r="R227" i="51"/>
  <c r="R228" i="51"/>
  <c r="R229" i="51"/>
  <c r="R230" i="51"/>
  <c r="R231" i="51"/>
  <c r="R232" i="51"/>
  <c r="R233" i="51"/>
  <c r="R234" i="51"/>
  <c r="R235" i="51"/>
  <c r="R238" i="51"/>
  <c r="R239" i="51"/>
  <c r="R240" i="51"/>
  <c r="R241" i="51"/>
  <c r="R242" i="51"/>
  <c r="R243" i="51"/>
  <c r="R244" i="51"/>
  <c r="R245" i="51"/>
  <c r="R246" i="51"/>
  <c r="R247" i="51"/>
  <c r="R248" i="51"/>
  <c r="R249" i="51"/>
  <c r="R250" i="51"/>
  <c r="R251" i="51"/>
  <c r="R252" i="51"/>
  <c r="R253"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30" i="51"/>
  <c r="R331" i="51"/>
  <c r="R332" i="51"/>
  <c r="R333" i="51"/>
  <c r="R334" i="51"/>
  <c r="R335" i="51"/>
  <c r="R336" i="51"/>
  <c r="R337" i="51"/>
  <c r="R338" i="51"/>
  <c r="R339" i="51"/>
  <c r="R341" i="51"/>
  <c r="R342" i="51"/>
  <c r="R343" i="51"/>
  <c r="R344" i="51"/>
  <c r="R345" i="51"/>
  <c r="R346" i="51"/>
  <c r="R347" i="51"/>
  <c r="R348" i="51"/>
  <c r="R351" i="51"/>
  <c r="R352" i="51"/>
  <c r="R353" i="51"/>
  <c r="R354" i="51"/>
  <c r="R355" i="51"/>
  <c r="R356" i="51"/>
  <c r="R357" i="51"/>
  <c r="R358" i="51"/>
  <c r="R359" i="51"/>
  <c r="R360" i="51"/>
  <c r="R361" i="51"/>
  <c r="R362" i="51"/>
  <c r="R363" i="51"/>
  <c r="R364" i="51"/>
  <c r="R365" i="51"/>
  <c r="R366" i="51"/>
  <c r="R367" i="51"/>
  <c r="R368" i="51"/>
  <c r="R369" i="51"/>
  <c r="R370" i="51"/>
  <c r="R371" i="51"/>
  <c r="R372" i="51"/>
  <c r="R373" i="51"/>
  <c r="R374" i="51"/>
  <c r="R387" i="51"/>
  <c r="R388" i="51"/>
  <c r="R389" i="51"/>
  <c r="R390" i="51"/>
  <c r="R391" i="51"/>
  <c r="R392" i="51"/>
  <c r="R393" i="51"/>
  <c r="R394" i="51"/>
  <c r="R395" i="51"/>
  <c r="R396" i="51"/>
  <c r="R397" i="51"/>
  <c r="R398" i="51"/>
  <c r="R399" i="51"/>
  <c r="R400" i="51"/>
  <c r="R401" i="51"/>
  <c r="R402" i="51"/>
  <c r="R403" i="51"/>
  <c r="R404" i="51"/>
  <c r="R405" i="51"/>
  <c r="R406" i="51"/>
  <c r="R407" i="51"/>
  <c r="R408" i="51"/>
  <c r="R409" i="51"/>
  <c r="R410" i="51"/>
  <c r="R411" i="51"/>
  <c r="R412" i="51"/>
  <c r="R45" i="51"/>
  <c r="R413" i="51"/>
  <c r="R414" i="51"/>
  <c r="R415" i="51"/>
  <c r="R416" i="51"/>
  <c r="R417" i="51"/>
  <c r="R418" i="51"/>
  <c r="R419" i="51"/>
  <c r="R420" i="51"/>
  <c r="R421" i="51"/>
  <c r="R422" i="51"/>
  <c r="R423" i="51"/>
  <c r="R424" i="51"/>
  <c r="R425" i="51"/>
  <c r="R427" i="51"/>
  <c r="R428" i="51"/>
  <c r="R429" i="51"/>
  <c r="R430" i="51"/>
  <c r="R431" i="51"/>
  <c r="R432" i="51"/>
  <c r="R433" i="51"/>
  <c r="R434" i="51"/>
  <c r="R435" i="51"/>
  <c r="R436" i="51"/>
  <c r="R437" i="51"/>
  <c r="R438" i="51"/>
  <c r="R439" i="51"/>
  <c r="R440" i="51"/>
  <c r="R443" i="51"/>
  <c r="R444" i="51"/>
  <c r="R445" i="51"/>
  <c r="R447" i="51"/>
  <c r="R448" i="51"/>
  <c r="R449" i="51"/>
  <c r="R450" i="51"/>
  <c r="R451" i="51"/>
  <c r="R452" i="51"/>
  <c r="R453" i="51"/>
  <c r="R454" i="51"/>
  <c r="R455" i="51"/>
  <c r="R456" i="51"/>
  <c r="R457" i="51"/>
  <c r="R458" i="51"/>
  <c r="R462" i="51"/>
  <c r="R463" i="51"/>
  <c r="R464" i="51"/>
  <c r="R375" i="51"/>
  <c r="R376" i="51"/>
  <c r="R377" i="51"/>
  <c r="R378" i="51"/>
  <c r="R379" i="51"/>
  <c r="R381" i="51"/>
  <c r="R382" i="51"/>
  <c r="R383" i="51"/>
  <c r="R384" i="51"/>
  <c r="R385" i="51"/>
  <c r="R386" i="51"/>
  <c r="R465" i="51"/>
  <c r="R466" i="51"/>
  <c r="R467" i="51"/>
  <c r="R469" i="51"/>
  <c r="R470" i="51"/>
  <c r="R472" i="51"/>
  <c r="R473" i="51"/>
  <c r="R474" i="51"/>
  <c r="R475" i="51"/>
  <c r="R476" i="51"/>
  <c r="R477" i="51"/>
  <c r="R478" i="51"/>
  <c r="R479" i="51"/>
  <c r="R480" i="51"/>
  <c r="R481" i="51"/>
  <c r="R482" i="51"/>
  <c r="R483" i="51"/>
  <c r="R484" i="51"/>
  <c r="R485" i="51"/>
  <c r="R487" i="51"/>
  <c r="R488" i="51"/>
  <c r="R489" i="51"/>
  <c r="R490" i="51"/>
  <c r="R491" i="51"/>
  <c r="R492" i="51"/>
  <c r="R493" i="51"/>
  <c r="R494" i="51"/>
  <c r="R495" i="51"/>
  <c r="R496" i="51"/>
  <c r="R497" i="51"/>
  <c r="R498" i="51"/>
  <c r="R499" i="51"/>
  <c r="R500" i="51"/>
  <c r="R501" i="51"/>
  <c r="R502" i="51"/>
  <c r="R503" i="51"/>
  <c r="R504" i="51"/>
  <c r="R505" i="51"/>
  <c r="R506" i="51"/>
  <c r="R513" i="51"/>
  <c r="R514" i="51"/>
  <c r="R515" i="51"/>
  <c r="R516" i="51"/>
  <c r="R517" i="51"/>
  <c r="R518" i="51"/>
  <c r="R519" i="51"/>
  <c r="R520" i="51"/>
  <c r="R521" i="51"/>
  <c r="R522" i="51"/>
  <c r="R523" i="51"/>
  <c r="R524" i="51"/>
  <c r="R525" i="51"/>
  <c r="R526" i="51"/>
  <c r="R527" i="51"/>
  <c r="R528" i="51"/>
  <c r="R529" i="51"/>
  <c r="R530" i="51"/>
  <c r="R531" i="51"/>
  <c r="R532" i="51"/>
  <c r="R533" i="51"/>
  <c r="R534" i="51"/>
  <c r="R535" i="51"/>
  <c r="R536" i="51"/>
  <c r="R537" i="51"/>
  <c r="R538"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51" i="51"/>
  <c r="R652" i="51"/>
  <c r="R653" i="51"/>
  <c r="R654" i="51"/>
  <c r="R655" i="51"/>
  <c r="R656" i="51"/>
  <c r="R657" i="51"/>
  <c r="R658" i="51"/>
  <c r="R659" i="51"/>
  <c r="R660" i="51"/>
  <c r="R44" i="51"/>
  <c r="V506" i="51"/>
  <c r="U660" i="51"/>
  <c r="U659" i="51"/>
  <c r="U658" i="51"/>
  <c r="U657" i="51"/>
  <c r="U656" i="51"/>
  <c r="U655" i="51"/>
  <c r="U654" i="51"/>
  <c r="U653" i="51"/>
  <c r="U652" i="51"/>
  <c r="U651"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38" i="51"/>
  <c r="U537" i="51"/>
  <c r="U536" i="51"/>
  <c r="U535" i="51"/>
  <c r="U534" i="51"/>
  <c r="U533" i="51"/>
  <c r="U532" i="51"/>
  <c r="U531" i="51"/>
  <c r="U530" i="51"/>
  <c r="U529" i="51"/>
  <c r="U528" i="51"/>
  <c r="U527" i="51"/>
  <c r="U526" i="51"/>
  <c r="U525" i="51"/>
  <c r="U524" i="51"/>
  <c r="U523" i="51"/>
  <c r="U522" i="51"/>
  <c r="U521" i="51"/>
  <c r="U520" i="51"/>
  <c r="U519" i="51"/>
  <c r="U518" i="51"/>
  <c r="U517" i="51"/>
  <c r="U516" i="51"/>
  <c r="U515" i="51"/>
  <c r="U514" i="51"/>
  <c r="U513" i="51"/>
  <c r="U506" i="51"/>
  <c r="U505" i="51"/>
  <c r="U504" i="51"/>
  <c r="U503" i="51"/>
  <c r="U502" i="51"/>
  <c r="U501" i="51"/>
  <c r="U500" i="51"/>
  <c r="U499" i="51"/>
  <c r="U498" i="51"/>
  <c r="U497" i="51"/>
  <c r="U496" i="51"/>
  <c r="U495" i="51"/>
  <c r="U494" i="51"/>
  <c r="U493" i="51"/>
  <c r="U492" i="51"/>
  <c r="U491" i="51"/>
  <c r="U490" i="51"/>
  <c r="U489" i="51"/>
  <c r="U488" i="51"/>
  <c r="U487" i="51"/>
  <c r="U486" i="51"/>
  <c r="U485" i="51"/>
  <c r="U484" i="51"/>
  <c r="U483" i="51"/>
  <c r="U482" i="51"/>
  <c r="U481" i="51"/>
  <c r="U480" i="51"/>
  <c r="U479" i="51"/>
  <c r="U478" i="51"/>
  <c r="U477" i="51"/>
  <c r="U476" i="51"/>
  <c r="U475" i="51"/>
  <c r="U474" i="51"/>
  <c r="U473" i="51"/>
  <c r="U472" i="51"/>
  <c r="U471" i="51"/>
  <c r="U470" i="51"/>
  <c r="U469" i="51"/>
  <c r="U468" i="51"/>
  <c r="U467" i="51"/>
  <c r="U466" i="51"/>
  <c r="U465" i="51"/>
  <c r="U386" i="51"/>
  <c r="U385" i="51"/>
  <c r="U384" i="51"/>
  <c r="U383" i="51"/>
  <c r="U382" i="51"/>
  <c r="U381" i="51"/>
  <c r="U380" i="51"/>
  <c r="U379" i="51"/>
  <c r="U378" i="51"/>
  <c r="U377" i="51"/>
  <c r="U376" i="51"/>
  <c r="U375" i="51"/>
  <c r="U464" i="51"/>
  <c r="U463" i="51"/>
  <c r="U462" i="51"/>
  <c r="U461" i="51"/>
  <c r="U460" i="51"/>
  <c r="U458" i="51"/>
  <c r="U457" i="51"/>
  <c r="U456" i="51"/>
  <c r="U455" i="51"/>
  <c r="U454" i="51"/>
  <c r="U453" i="51"/>
  <c r="U452" i="51"/>
  <c r="U451" i="51"/>
  <c r="U450" i="51"/>
  <c r="U449" i="51"/>
  <c r="U448" i="51"/>
  <c r="U447" i="51"/>
  <c r="U446" i="51"/>
  <c r="U445" i="51"/>
  <c r="U444" i="51"/>
  <c r="U443" i="51"/>
  <c r="U442" i="51"/>
  <c r="U441" i="51"/>
  <c r="U440" i="51"/>
  <c r="U439" i="51"/>
  <c r="U438" i="51"/>
  <c r="U437" i="51"/>
  <c r="U436" i="51"/>
  <c r="U435" i="51"/>
  <c r="U434" i="51"/>
  <c r="U433" i="51"/>
  <c r="U432" i="51"/>
  <c r="U431" i="51"/>
  <c r="U430" i="51"/>
  <c r="U429" i="51"/>
  <c r="U428" i="51"/>
  <c r="U427" i="51"/>
  <c r="U426" i="51"/>
  <c r="U425" i="51"/>
  <c r="U424" i="51"/>
  <c r="U423" i="51"/>
  <c r="U422" i="51"/>
  <c r="U421" i="51"/>
  <c r="U420" i="51"/>
  <c r="U419" i="51"/>
  <c r="U418" i="51"/>
  <c r="U417" i="51"/>
  <c r="U416" i="51"/>
  <c r="U415" i="51"/>
  <c r="U414" i="51"/>
  <c r="U413" i="51"/>
  <c r="U45" i="51"/>
  <c r="U412" i="51"/>
  <c r="U411" i="51"/>
  <c r="U410" i="51"/>
  <c r="U409" i="51"/>
  <c r="U408" i="51"/>
  <c r="U407" i="51"/>
  <c r="U406" i="51"/>
  <c r="U405" i="51"/>
  <c r="U404" i="51"/>
  <c r="U403" i="51"/>
  <c r="U402" i="51"/>
  <c r="U401" i="51"/>
  <c r="U400" i="51"/>
  <c r="U399" i="51"/>
  <c r="U398" i="51"/>
  <c r="U397" i="51"/>
  <c r="U396" i="51"/>
  <c r="U395" i="51"/>
  <c r="U394" i="51"/>
  <c r="U393" i="51"/>
  <c r="U392" i="51"/>
  <c r="U391" i="51"/>
  <c r="U390" i="51"/>
  <c r="U389" i="51"/>
  <c r="U388" i="51"/>
  <c r="U387" i="51"/>
  <c r="U374" i="51"/>
  <c r="U373" i="51"/>
  <c r="U372" i="51"/>
  <c r="U371" i="51"/>
  <c r="U370" i="51"/>
  <c r="U369" i="51"/>
  <c r="U368" i="51"/>
  <c r="U367" i="51"/>
  <c r="U366" i="51"/>
  <c r="U365" i="51"/>
  <c r="U364" i="51"/>
  <c r="U363" i="51"/>
  <c r="U362" i="51"/>
  <c r="U361" i="51"/>
  <c r="U360" i="51"/>
  <c r="U359" i="51"/>
  <c r="U358" i="51"/>
  <c r="U357" i="51"/>
  <c r="U356" i="51"/>
  <c r="U355" i="51"/>
  <c r="U354" i="51"/>
  <c r="U353" i="51"/>
  <c r="U352" i="51"/>
  <c r="U351" i="51"/>
  <c r="U348" i="51"/>
  <c r="U347" i="51"/>
  <c r="U346" i="51"/>
  <c r="U345" i="51"/>
  <c r="U344" i="51"/>
  <c r="U343" i="51"/>
  <c r="U342" i="51"/>
  <c r="U341" i="51"/>
  <c r="U340" i="51"/>
  <c r="U339" i="51"/>
  <c r="U338" i="51"/>
  <c r="U337" i="51"/>
  <c r="U336" i="51"/>
  <c r="U335" i="51"/>
  <c r="U334" i="51"/>
  <c r="U333" i="51"/>
  <c r="U332" i="51"/>
  <c r="U331" i="51"/>
  <c r="U330"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3" i="51"/>
  <c r="U252" i="51"/>
  <c r="U251" i="51"/>
  <c r="U250" i="51"/>
  <c r="U249" i="51"/>
  <c r="U248" i="51"/>
  <c r="U247" i="51"/>
  <c r="U246" i="51"/>
  <c r="U245" i="51"/>
  <c r="U244" i="51"/>
  <c r="U243" i="51"/>
  <c r="U242" i="51"/>
  <c r="U241" i="51"/>
  <c r="U240" i="51"/>
  <c r="U239" i="51"/>
  <c r="U238"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81" i="51"/>
  <c r="U180" i="51"/>
  <c r="U179" i="51"/>
  <c r="U178" i="51"/>
  <c r="U177" i="51"/>
  <c r="U176" i="51"/>
  <c r="U175" i="51"/>
  <c r="U174" i="51"/>
  <c r="U173" i="51"/>
  <c r="U172" i="51"/>
  <c r="U171" i="51"/>
  <c r="U170" i="51"/>
  <c r="U169" i="51"/>
  <c r="U168" i="51"/>
  <c r="U167" i="51"/>
  <c r="U166" i="51"/>
  <c r="U163" i="51"/>
  <c r="U162" i="51"/>
  <c r="U161" i="51"/>
  <c r="U160" i="51"/>
  <c r="U159" i="51"/>
  <c r="U158" i="51"/>
  <c r="U157" i="51"/>
  <c r="U156" i="51"/>
  <c r="U155" i="51"/>
  <c r="U154" i="51"/>
  <c r="U153" i="51"/>
  <c r="U152" i="51"/>
  <c r="U151" i="51"/>
  <c r="U150" i="51"/>
  <c r="U149" i="51"/>
  <c r="U148" i="51"/>
  <c r="U147" i="51"/>
  <c r="U146" i="51"/>
  <c r="U145" i="51"/>
  <c r="U144" i="51"/>
  <c r="U143" i="51"/>
  <c r="U142" i="51"/>
  <c r="U141" i="51"/>
  <c r="U140" i="51"/>
  <c r="U139" i="51"/>
  <c r="U138" i="51"/>
  <c r="U137" i="51"/>
  <c r="U136" i="51"/>
  <c r="U135" i="51"/>
  <c r="U134" i="51"/>
  <c r="U128" i="51"/>
  <c r="U127" i="51"/>
  <c r="U126" i="51"/>
  <c r="U125" i="51"/>
  <c r="U124" i="51"/>
  <c r="U123" i="51"/>
  <c r="U122" i="51"/>
  <c r="U121" i="51"/>
  <c r="U120" i="51"/>
  <c r="U119" i="51"/>
  <c r="U118" i="51"/>
  <c r="U117" i="51"/>
  <c r="U116" i="51"/>
  <c r="U115" i="51"/>
  <c r="U114" i="51"/>
  <c r="U113" i="51"/>
  <c r="U112" i="51"/>
  <c r="U111" i="51"/>
  <c r="U110" i="51"/>
  <c r="U109" i="51"/>
  <c r="U108" i="51"/>
  <c r="U107" i="51"/>
  <c r="U106" i="51"/>
  <c r="U105" i="51"/>
  <c r="U104" i="51"/>
  <c r="U103"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5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538" i="51"/>
  <c r="T537" i="51"/>
  <c r="T536" i="51"/>
  <c r="T535" i="51"/>
  <c r="T534" i="51"/>
  <c r="T533" i="51"/>
  <c r="T532" i="51"/>
  <c r="T531" i="51"/>
  <c r="T530" i="51"/>
  <c r="T529" i="51"/>
  <c r="T528" i="51"/>
  <c r="T527" i="51"/>
  <c r="T526" i="51"/>
  <c r="T525" i="51"/>
  <c r="T524" i="51"/>
  <c r="T523" i="51"/>
  <c r="T522" i="51"/>
  <c r="T521" i="51"/>
  <c r="T520" i="51"/>
  <c r="T519" i="51"/>
  <c r="T518" i="51"/>
  <c r="T517" i="51"/>
  <c r="T516" i="51"/>
  <c r="T515" i="51"/>
  <c r="T514" i="51"/>
  <c r="T513" i="51"/>
  <c r="T660" i="51"/>
  <c r="T659" i="51"/>
  <c r="T658" i="51"/>
  <c r="T657" i="51"/>
  <c r="T656" i="51"/>
  <c r="T655" i="51"/>
  <c r="T654" i="51"/>
  <c r="T653" i="51"/>
  <c r="T652" i="51"/>
  <c r="T651" i="51"/>
  <c r="V459" i="51"/>
  <c r="W442" i="51"/>
  <c r="V442" i="51"/>
  <c r="W441" i="51"/>
  <c r="V441" i="51"/>
  <c r="O41" i="51"/>
  <c r="O37" i="51"/>
  <c r="W383" i="51" l="1"/>
  <c r="V383" i="51"/>
  <c r="O619" i="51"/>
  <c r="O483" i="51"/>
  <c r="O357" i="51"/>
  <c r="O347" i="51"/>
  <c r="O308" i="51"/>
  <c r="O299" i="51"/>
  <c r="O268" i="51"/>
  <c r="O246" i="51"/>
  <c r="O207" i="51"/>
  <c r="O148" i="51"/>
  <c r="O111" i="51"/>
  <c r="O91" i="51"/>
  <c r="W621" i="51" l="1"/>
  <c r="V621" i="51"/>
  <c r="W525" i="51"/>
  <c r="V525" i="51"/>
  <c r="W500" i="51"/>
  <c r="V500" i="51"/>
  <c r="W482" i="51"/>
  <c r="V482" i="51"/>
  <c r="W468" i="51"/>
  <c r="V468" i="51"/>
  <c r="O58" i="51"/>
  <c r="O525" i="51"/>
  <c r="O412" i="51"/>
  <c r="O355" i="51"/>
  <c r="O345" i="51"/>
  <c r="O342" i="51"/>
  <c r="O332" i="51"/>
  <c r="O305" i="51"/>
  <c r="O295" i="51"/>
  <c r="O289" i="51"/>
  <c r="O283" i="51"/>
  <c r="O277" i="51"/>
  <c r="O264" i="51"/>
  <c r="O261" i="51"/>
  <c r="O254" i="51"/>
  <c r="O250" i="51"/>
  <c r="O243" i="51"/>
  <c r="O123" i="51"/>
  <c r="W506" i="51"/>
  <c r="T506" i="51"/>
  <c r="P506" i="51"/>
  <c r="O506" i="51"/>
  <c r="W505" i="51"/>
  <c r="V505" i="51"/>
  <c r="T505" i="51"/>
  <c r="P505" i="51"/>
  <c r="O505" i="51"/>
  <c r="W504" i="51"/>
  <c r="V504" i="51"/>
  <c r="T504" i="51"/>
  <c r="P504" i="51"/>
  <c r="O504" i="51"/>
  <c r="W503" i="51"/>
  <c r="V503" i="51"/>
  <c r="T503" i="51"/>
  <c r="P503" i="51"/>
  <c r="O503" i="51"/>
  <c r="W502" i="51"/>
  <c r="V502" i="51"/>
  <c r="T502" i="51"/>
  <c r="P502" i="51"/>
  <c r="O502" i="51"/>
  <c r="W501" i="51"/>
  <c r="V501" i="51"/>
  <c r="T501" i="51"/>
  <c r="P501" i="51"/>
  <c r="O501" i="51"/>
  <c r="T500" i="51"/>
  <c r="P500" i="51"/>
  <c r="O500" i="51"/>
  <c r="W499" i="51"/>
  <c r="V499" i="51"/>
  <c r="T499" i="51"/>
  <c r="P499" i="51"/>
  <c r="O499" i="51"/>
  <c r="W498" i="51"/>
  <c r="V498" i="51"/>
  <c r="O498" i="51"/>
  <c r="W497" i="51"/>
  <c r="V497" i="51"/>
  <c r="T497" i="51"/>
  <c r="P497" i="51"/>
  <c r="O497" i="51"/>
  <c r="W496" i="51"/>
  <c r="V496" i="51"/>
  <c r="T496" i="51"/>
  <c r="P496" i="51"/>
  <c r="O496" i="51"/>
  <c r="W495" i="51"/>
  <c r="V495" i="51"/>
  <c r="T495" i="51"/>
  <c r="P495" i="51"/>
  <c r="O495" i="51"/>
  <c r="W494" i="51"/>
  <c r="V494" i="51"/>
  <c r="T494" i="51"/>
  <c r="P494" i="51"/>
  <c r="O494" i="51"/>
  <c r="W493" i="51"/>
  <c r="V493" i="51"/>
  <c r="T493" i="51"/>
  <c r="P493" i="51"/>
  <c r="O493" i="51"/>
  <c r="W492" i="51"/>
  <c r="V492" i="51"/>
  <c r="T492" i="51"/>
  <c r="P492" i="51"/>
  <c r="O492" i="51"/>
  <c r="W491" i="51"/>
  <c r="V491" i="51"/>
  <c r="T491" i="51"/>
  <c r="P491" i="51"/>
  <c r="O491" i="51"/>
  <c r="W490" i="51"/>
  <c r="V490" i="51"/>
  <c r="T490" i="51"/>
  <c r="P490" i="51"/>
  <c r="O490" i="51"/>
  <c r="W489" i="51"/>
  <c r="V489" i="51"/>
  <c r="O489" i="51"/>
  <c r="W488" i="51"/>
  <c r="V488" i="51"/>
  <c r="T488" i="51"/>
  <c r="P488" i="51"/>
  <c r="O488" i="51"/>
  <c r="W487" i="51"/>
  <c r="V487" i="51"/>
  <c r="T487" i="51"/>
  <c r="P487" i="51"/>
  <c r="O487" i="51"/>
  <c r="W486" i="51"/>
  <c r="V486" i="51"/>
  <c r="T486" i="51"/>
  <c r="P486" i="51"/>
  <c r="O486" i="51"/>
  <c r="W485" i="51"/>
  <c r="V485" i="51"/>
  <c r="T485" i="51"/>
  <c r="P485" i="51"/>
  <c r="O485" i="51"/>
  <c r="W484" i="51"/>
  <c r="V484" i="51"/>
  <c r="T484" i="51"/>
  <c r="P484" i="51"/>
  <c r="O484" i="51"/>
  <c r="T482" i="51"/>
  <c r="P482" i="51"/>
  <c r="O482" i="51"/>
  <c r="W481" i="51"/>
  <c r="V481" i="51"/>
  <c r="T481" i="51"/>
  <c r="P481" i="51"/>
  <c r="O481" i="51"/>
  <c r="W480" i="51"/>
  <c r="V480" i="51"/>
  <c r="O480" i="51"/>
  <c r="W479" i="51"/>
  <c r="V479" i="51"/>
  <c r="T479" i="51"/>
  <c r="P479" i="51"/>
  <c r="O479" i="51"/>
  <c r="W478" i="51"/>
  <c r="V478" i="51"/>
  <c r="T478" i="51"/>
  <c r="P478" i="51"/>
  <c r="O478" i="51"/>
  <c r="W477" i="51"/>
  <c r="V477" i="51"/>
  <c r="T477" i="51"/>
  <c r="P477" i="51"/>
  <c r="O477" i="51"/>
  <c r="W476" i="51"/>
  <c r="V476" i="51"/>
  <c r="T476" i="51"/>
  <c r="P476" i="51"/>
  <c r="O476" i="51"/>
  <c r="W475" i="51"/>
  <c r="V475" i="51"/>
  <c r="T475" i="51"/>
  <c r="P475" i="51"/>
  <c r="O475" i="51"/>
  <c r="W474" i="51"/>
  <c r="V474" i="51"/>
  <c r="T474" i="51"/>
  <c r="P474" i="51"/>
  <c r="O474" i="51"/>
  <c r="W473" i="51"/>
  <c r="V473" i="51"/>
  <c r="T473" i="51"/>
  <c r="P473" i="51"/>
  <c r="O473" i="51"/>
  <c r="W472" i="51"/>
  <c r="V472" i="51"/>
  <c r="T472" i="51"/>
  <c r="P472" i="51"/>
  <c r="O472" i="51"/>
  <c r="W471" i="51"/>
  <c r="V471" i="51"/>
  <c r="T471" i="51"/>
  <c r="P471" i="51"/>
  <c r="O471" i="51"/>
  <c r="F471" i="51"/>
  <c r="W470" i="51"/>
  <c r="V470" i="51"/>
  <c r="T470" i="51"/>
  <c r="P470" i="51"/>
  <c r="O470" i="51"/>
  <c r="W469" i="51"/>
  <c r="V469" i="51"/>
  <c r="T469" i="51"/>
  <c r="P469" i="51"/>
  <c r="O469" i="51"/>
  <c r="T468" i="51"/>
  <c r="P468" i="51"/>
  <c r="O468" i="51"/>
  <c r="F468" i="51"/>
  <c r="W467" i="51"/>
  <c r="V467" i="51"/>
  <c r="T467" i="51"/>
  <c r="P467" i="51"/>
  <c r="O467" i="51"/>
  <c r="W466" i="51"/>
  <c r="V466" i="51"/>
  <c r="T466" i="51"/>
  <c r="P466" i="51"/>
  <c r="O466" i="51"/>
  <c r="Q468" i="51" l="1"/>
  <c r="R468" i="51"/>
  <c r="Q471" i="51"/>
  <c r="R471" i="51"/>
  <c r="R486" i="51"/>
  <c r="Q486" i="51"/>
  <c r="W23" i="51"/>
  <c r="V23" i="51"/>
  <c r="T23" i="51"/>
  <c r="P23" i="51"/>
  <c r="O23" i="51"/>
  <c r="W16" i="51"/>
  <c r="V16" i="51"/>
  <c r="T16" i="51"/>
  <c r="P16" i="51"/>
  <c r="O16" i="51"/>
  <c r="W412" i="51"/>
  <c r="V412" i="51"/>
  <c r="T412" i="51"/>
  <c r="P412" i="51"/>
  <c r="W411" i="51"/>
  <c r="V411" i="51"/>
  <c r="T411" i="51"/>
  <c r="P411" i="51"/>
  <c r="O411" i="51"/>
  <c r="W410" i="51"/>
  <c r="V410" i="51"/>
  <c r="T410" i="51"/>
  <c r="P410" i="51"/>
  <c r="O410" i="51"/>
  <c r="W409" i="51"/>
  <c r="V409" i="51"/>
  <c r="T409" i="51"/>
  <c r="P409" i="51"/>
  <c r="O409" i="51"/>
  <c r="W408" i="51"/>
  <c r="V408" i="51"/>
  <c r="T408" i="51"/>
  <c r="P408" i="51"/>
  <c r="O408" i="51"/>
  <c r="W407" i="51"/>
  <c r="V407" i="51"/>
  <c r="T407" i="51"/>
  <c r="P407" i="51"/>
  <c r="O407" i="51"/>
  <c r="W406" i="51"/>
  <c r="V406" i="51"/>
  <c r="T406" i="51"/>
  <c r="P406" i="51"/>
  <c r="O406" i="51"/>
  <c r="W405" i="51"/>
  <c r="V405" i="51"/>
  <c r="T405" i="51"/>
  <c r="P405" i="51"/>
  <c r="O405" i="51"/>
  <c r="W404" i="51"/>
  <c r="V404" i="51"/>
  <c r="T404" i="51"/>
  <c r="P404" i="51"/>
  <c r="O404" i="51"/>
  <c r="W403" i="51"/>
  <c r="V403" i="51"/>
  <c r="T403" i="51"/>
  <c r="P403" i="51"/>
  <c r="O403" i="51"/>
  <c r="W402" i="51"/>
  <c r="V402" i="51"/>
  <c r="T402" i="51"/>
  <c r="P402" i="51"/>
  <c r="O402" i="51"/>
  <c r="W401" i="51"/>
  <c r="V401" i="51"/>
  <c r="T401" i="51"/>
  <c r="P401" i="51"/>
  <c r="O401" i="51"/>
  <c r="W400" i="51"/>
  <c r="V400" i="51"/>
  <c r="T400" i="51"/>
  <c r="P400" i="51"/>
  <c r="O400" i="51"/>
  <c r="W399" i="51"/>
  <c r="V399" i="51"/>
  <c r="T399" i="51"/>
  <c r="P399" i="51"/>
  <c r="O399" i="51"/>
  <c r="W398" i="51"/>
  <c r="V398" i="51"/>
  <c r="T398" i="51"/>
  <c r="P398" i="51"/>
  <c r="O398" i="51"/>
  <c r="W397" i="51"/>
  <c r="V397" i="51"/>
  <c r="T397" i="51"/>
  <c r="P397" i="51"/>
  <c r="O397" i="51"/>
  <c r="W396" i="51"/>
  <c r="V396" i="51"/>
  <c r="T396" i="51"/>
  <c r="P396" i="51"/>
  <c r="O396" i="51"/>
  <c r="W395" i="51"/>
  <c r="V395" i="51"/>
  <c r="T395" i="51"/>
  <c r="P395" i="51"/>
  <c r="O395" i="51"/>
  <c r="W394" i="51"/>
  <c r="V394" i="51"/>
  <c r="T394" i="51"/>
  <c r="P394" i="51"/>
  <c r="O394" i="51"/>
  <c r="W393" i="51"/>
  <c r="V393" i="51"/>
  <c r="T393" i="51"/>
  <c r="P393" i="51"/>
  <c r="O393" i="51"/>
  <c r="W392" i="51"/>
  <c r="V392" i="51"/>
  <c r="T392" i="51"/>
  <c r="P392" i="51"/>
  <c r="O392" i="51"/>
  <c r="W391" i="51"/>
  <c r="V391" i="51"/>
  <c r="T391" i="51"/>
  <c r="P391" i="51"/>
  <c r="O391" i="51"/>
  <c r="W390" i="51"/>
  <c r="V390" i="51"/>
  <c r="T390" i="51"/>
  <c r="P390" i="51"/>
  <c r="O390" i="51"/>
  <c r="W389" i="51"/>
  <c r="V389" i="51"/>
  <c r="T389" i="51"/>
  <c r="P389" i="51"/>
  <c r="O389" i="51"/>
  <c r="W388" i="51"/>
  <c r="V388" i="51"/>
  <c r="T388" i="51"/>
  <c r="P388" i="51"/>
  <c r="O388" i="51"/>
  <c r="W387" i="51"/>
  <c r="V387" i="51"/>
  <c r="T387" i="51"/>
  <c r="P387" i="51"/>
  <c r="O387" i="51"/>
  <c r="W660" i="51" l="1"/>
  <c r="V660" i="51"/>
  <c r="P660" i="51"/>
  <c r="O660" i="51"/>
  <c r="W659" i="51"/>
  <c r="V659" i="51"/>
  <c r="P659" i="51"/>
  <c r="O659" i="51"/>
  <c r="W658" i="51"/>
  <c r="V658" i="51"/>
  <c r="P658" i="51"/>
  <c r="O658" i="51"/>
  <c r="W657" i="51"/>
  <c r="V657" i="51"/>
  <c r="P657" i="51"/>
  <c r="O657" i="51"/>
  <c r="W656" i="51"/>
  <c r="V656" i="51"/>
  <c r="P656" i="51"/>
  <c r="O656" i="51"/>
  <c r="W655" i="51"/>
  <c r="V655" i="51"/>
  <c r="P655" i="51"/>
  <c r="O655" i="51"/>
  <c r="W654" i="51"/>
  <c r="V654" i="51"/>
  <c r="P654" i="51"/>
  <c r="O654" i="51"/>
  <c r="W653" i="51"/>
  <c r="V653" i="51"/>
  <c r="P653" i="51"/>
  <c r="O653" i="51"/>
  <c r="W652" i="51"/>
  <c r="V652" i="51"/>
  <c r="P652" i="51"/>
  <c r="O652" i="51"/>
  <c r="W651" i="51"/>
  <c r="V651" i="51"/>
  <c r="P651" i="51"/>
  <c r="O651" i="51"/>
  <c r="W646" i="51"/>
  <c r="V646" i="51"/>
  <c r="T646" i="51"/>
  <c r="P646" i="51"/>
  <c r="O646" i="51"/>
  <c r="W645" i="51"/>
  <c r="V645" i="51"/>
  <c r="T645" i="51"/>
  <c r="P645" i="51"/>
  <c r="O645" i="51"/>
  <c r="W644" i="51"/>
  <c r="V644" i="51"/>
  <c r="T644" i="51"/>
  <c r="P644" i="51"/>
  <c r="O644" i="51"/>
  <c r="W643" i="51"/>
  <c r="V643" i="51"/>
  <c r="T643" i="51"/>
  <c r="P643" i="51"/>
  <c r="O643" i="51"/>
  <c r="W642" i="51"/>
  <c r="V642" i="51"/>
  <c r="T642" i="51"/>
  <c r="P642" i="51"/>
  <c r="O642" i="51"/>
  <c r="W641" i="51"/>
  <c r="V641" i="51"/>
  <c r="T641" i="51"/>
  <c r="P641" i="51"/>
  <c r="O641" i="51"/>
  <c r="W640" i="51"/>
  <c r="V640" i="51"/>
  <c r="T640" i="51"/>
  <c r="P640" i="51"/>
  <c r="O640" i="51"/>
  <c r="W639" i="51"/>
  <c r="V639" i="51"/>
  <c r="T639" i="51"/>
  <c r="P639" i="51"/>
  <c r="O639" i="51"/>
  <c r="W638" i="51"/>
  <c r="V638" i="51"/>
  <c r="T638" i="51"/>
  <c r="P638" i="51"/>
  <c r="O638" i="51"/>
  <c r="W637" i="51"/>
  <c r="V637" i="51"/>
  <c r="T637" i="51"/>
  <c r="P637" i="51"/>
  <c r="O637" i="51"/>
  <c r="W636" i="51"/>
  <c r="V636" i="51"/>
  <c r="T636" i="51"/>
  <c r="P636" i="51"/>
  <c r="O636" i="51"/>
  <c r="W635" i="51"/>
  <c r="V635" i="51"/>
  <c r="T635" i="51"/>
  <c r="P635" i="51"/>
  <c r="O635" i="51"/>
  <c r="W634" i="51"/>
  <c r="V634" i="51"/>
  <c r="T634" i="51"/>
  <c r="P634" i="51"/>
  <c r="O634" i="51"/>
  <c r="W633" i="51"/>
  <c r="V633" i="51"/>
  <c r="T633" i="51"/>
  <c r="P633" i="51"/>
  <c r="O633" i="51"/>
  <c r="W632" i="51"/>
  <c r="V632" i="51"/>
  <c r="T632" i="51"/>
  <c r="P632" i="51"/>
  <c r="O632" i="51"/>
  <c r="W631" i="51"/>
  <c r="V631" i="51"/>
  <c r="T631" i="51"/>
  <c r="P631" i="51"/>
  <c r="O631" i="51"/>
  <c r="W630" i="51"/>
  <c r="V630" i="51"/>
  <c r="T630" i="51"/>
  <c r="P630" i="51"/>
  <c r="O630" i="51"/>
  <c r="W629" i="51"/>
  <c r="V629" i="51"/>
  <c r="T629" i="51"/>
  <c r="P629" i="51"/>
  <c r="O629" i="51"/>
  <c r="W628" i="51"/>
  <c r="V628" i="51"/>
  <c r="T628" i="51"/>
  <c r="P628" i="51"/>
  <c r="O628" i="51"/>
  <c r="W627" i="51"/>
  <c r="V627" i="51"/>
  <c r="T627" i="51"/>
  <c r="P627" i="51"/>
  <c r="O627" i="51"/>
  <c r="W626" i="51"/>
  <c r="V626" i="51"/>
  <c r="T626" i="51"/>
  <c r="P626" i="51"/>
  <c r="O626" i="51"/>
  <c r="W625" i="51"/>
  <c r="V625" i="51"/>
  <c r="T625" i="51"/>
  <c r="P625" i="51"/>
  <c r="O625" i="51"/>
  <c r="W624" i="51"/>
  <c r="V624" i="51"/>
  <c r="T624" i="51"/>
  <c r="P624" i="51"/>
  <c r="O624" i="51"/>
  <c r="W623" i="51"/>
  <c r="V623" i="51"/>
  <c r="T623" i="51"/>
  <c r="P623" i="51"/>
  <c r="O623" i="51"/>
  <c r="W622" i="51"/>
  <c r="V622" i="51"/>
  <c r="T622" i="51"/>
  <c r="P622" i="51"/>
  <c r="O622" i="51"/>
  <c r="T621" i="51"/>
  <c r="P621" i="51"/>
  <c r="O621" i="51"/>
  <c r="W620" i="51"/>
  <c r="V620" i="51"/>
  <c r="T620" i="51"/>
  <c r="P620" i="51"/>
  <c r="O620" i="51"/>
  <c r="W619" i="51"/>
  <c r="V619" i="51"/>
  <c r="T619" i="51"/>
  <c r="P619" i="51"/>
  <c r="W618" i="51"/>
  <c r="V618" i="51"/>
  <c r="T618" i="51"/>
  <c r="P618" i="51"/>
  <c r="O618" i="51"/>
  <c r="W617" i="51"/>
  <c r="V617" i="51"/>
  <c r="T617" i="51"/>
  <c r="P617" i="51"/>
  <c r="O617" i="51"/>
  <c r="W616" i="51"/>
  <c r="V616" i="51"/>
  <c r="T616" i="51"/>
  <c r="P616" i="51"/>
  <c r="O616" i="51"/>
  <c r="W615" i="51"/>
  <c r="V615" i="51"/>
  <c r="T615" i="51"/>
  <c r="P615" i="51"/>
  <c r="O615" i="51"/>
  <c r="W614" i="51"/>
  <c r="V614" i="51"/>
  <c r="T614" i="51"/>
  <c r="P614" i="51"/>
  <c r="O614" i="51"/>
  <c r="W613" i="51"/>
  <c r="V613" i="51"/>
  <c r="T613" i="51"/>
  <c r="P613" i="51"/>
  <c r="O613" i="51"/>
  <c r="W612" i="51"/>
  <c r="V612" i="51"/>
  <c r="T612" i="51"/>
  <c r="P612" i="51"/>
  <c r="O612" i="51"/>
  <c r="W611" i="51"/>
  <c r="V611" i="51"/>
  <c r="T611" i="51"/>
  <c r="P611" i="51"/>
  <c r="O611" i="51"/>
  <c r="W610" i="51"/>
  <c r="V610" i="51"/>
  <c r="T610" i="51"/>
  <c r="P610" i="51"/>
  <c r="O610" i="51"/>
  <c r="W609" i="51"/>
  <c r="V609" i="51"/>
  <c r="T609" i="51"/>
  <c r="P609" i="51"/>
  <c r="O609" i="51"/>
  <c r="W608" i="51"/>
  <c r="V608" i="51"/>
  <c r="T608" i="51"/>
  <c r="P608" i="51"/>
  <c r="O608" i="51"/>
  <c r="W607" i="51"/>
  <c r="V607" i="51"/>
  <c r="T607" i="51"/>
  <c r="P607" i="51"/>
  <c r="O607" i="51"/>
  <c r="W606" i="51"/>
  <c r="V606" i="51"/>
  <c r="T606" i="51"/>
  <c r="P606" i="51"/>
  <c r="O606" i="51"/>
  <c r="W605" i="51"/>
  <c r="V605" i="51"/>
  <c r="T605" i="51"/>
  <c r="P605" i="51"/>
  <c r="O605" i="51"/>
  <c r="W604" i="51"/>
  <c r="V604" i="51"/>
  <c r="T604" i="51"/>
  <c r="P604" i="51"/>
  <c r="O604" i="51"/>
  <c r="W603" i="51"/>
  <c r="V603" i="51"/>
  <c r="T603" i="51"/>
  <c r="P603" i="51"/>
  <c r="O603" i="51"/>
  <c r="W602" i="51"/>
  <c r="V602" i="51"/>
  <c r="T602" i="51"/>
  <c r="P602" i="51"/>
  <c r="O602" i="51"/>
  <c r="W601" i="51"/>
  <c r="V601" i="51"/>
  <c r="T601" i="51"/>
  <c r="P601" i="51"/>
  <c r="O601" i="51"/>
  <c r="W600" i="51"/>
  <c r="V600" i="51"/>
  <c r="T600" i="51"/>
  <c r="P600" i="51"/>
  <c r="O600" i="51"/>
  <c r="W599" i="51"/>
  <c r="V599" i="51"/>
  <c r="T599" i="51"/>
  <c r="P599" i="51"/>
  <c r="O599" i="51"/>
  <c r="W598" i="51"/>
  <c r="V598" i="51"/>
  <c r="T598" i="51"/>
  <c r="P598" i="51"/>
  <c r="O598" i="51"/>
  <c r="W597" i="51"/>
  <c r="V597" i="51"/>
  <c r="T597" i="51"/>
  <c r="P597" i="51"/>
  <c r="O597" i="51"/>
  <c r="W596" i="51"/>
  <c r="V596" i="51"/>
  <c r="T596" i="51"/>
  <c r="P596" i="51"/>
  <c r="O596" i="51"/>
  <c r="W595" i="51"/>
  <c r="V595" i="51"/>
  <c r="T595" i="51"/>
  <c r="P595" i="51"/>
  <c r="O595" i="51"/>
  <c r="W594" i="51"/>
  <c r="V594" i="51"/>
  <c r="T594" i="51"/>
  <c r="P594" i="51"/>
  <c r="O594" i="51"/>
  <c r="W593" i="51"/>
  <c r="V593" i="51"/>
  <c r="T593" i="51"/>
  <c r="P593" i="51"/>
  <c r="O593" i="51"/>
  <c r="W592" i="51"/>
  <c r="V592" i="51"/>
  <c r="T592" i="51"/>
  <c r="P592" i="51"/>
  <c r="O592" i="51"/>
  <c r="W591" i="51"/>
  <c r="V591" i="51"/>
  <c r="T591" i="51"/>
  <c r="P591" i="51"/>
  <c r="O591" i="51"/>
  <c r="W590" i="51"/>
  <c r="V590" i="51"/>
  <c r="T590" i="51"/>
  <c r="P590" i="51"/>
  <c r="O590" i="51"/>
  <c r="W589" i="51"/>
  <c r="V589" i="51"/>
  <c r="T589" i="51"/>
  <c r="P589" i="51"/>
  <c r="O589" i="51"/>
  <c r="W588" i="51"/>
  <c r="V588" i="51"/>
  <c r="T588" i="51"/>
  <c r="P588" i="51"/>
  <c r="O588" i="51"/>
  <c r="W587" i="51"/>
  <c r="V587" i="51"/>
  <c r="T587" i="51"/>
  <c r="P587" i="51"/>
  <c r="O587" i="51"/>
  <c r="W586" i="51"/>
  <c r="V586" i="51"/>
  <c r="T586" i="51"/>
  <c r="P586" i="51"/>
  <c r="O586" i="51"/>
  <c r="W585" i="51"/>
  <c r="V585" i="51"/>
  <c r="T585" i="51"/>
  <c r="P585" i="51"/>
  <c r="O585" i="51"/>
  <c r="W584" i="51"/>
  <c r="V584" i="51"/>
  <c r="T584" i="51"/>
  <c r="P584" i="51"/>
  <c r="O584" i="51"/>
  <c r="W583" i="51"/>
  <c r="V583" i="51"/>
  <c r="T583" i="51"/>
  <c r="P583" i="51"/>
  <c r="O583" i="51"/>
  <c r="W582" i="51"/>
  <c r="V582" i="51"/>
  <c r="T582" i="51"/>
  <c r="P582" i="51"/>
  <c r="O582" i="51"/>
  <c r="W581" i="51"/>
  <c r="V581" i="51"/>
  <c r="T581" i="51"/>
  <c r="P581" i="51"/>
  <c r="O581" i="51"/>
  <c r="W580" i="51"/>
  <c r="V580" i="51"/>
  <c r="T580" i="51"/>
  <c r="P580" i="51"/>
  <c r="O580" i="51"/>
  <c r="W579" i="51"/>
  <c r="V579" i="51"/>
  <c r="T579" i="51"/>
  <c r="P579" i="51"/>
  <c r="O579" i="51"/>
  <c r="W578" i="51"/>
  <c r="V578" i="51"/>
  <c r="T578" i="51"/>
  <c r="P578" i="51"/>
  <c r="O578" i="51"/>
  <c r="W577" i="51"/>
  <c r="V577" i="51"/>
  <c r="T577" i="51"/>
  <c r="P577" i="51"/>
  <c r="O577" i="51"/>
  <c r="W576" i="51"/>
  <c r="V576" i="51"/>
  <c r="T576" i="51"/>
  <c r="P576" i="51"/>
  <c r="O576" i="51"/>
  <c r="W575" i="51"/>
  <c r="V575" i="51"/>
  <c r="T575" i="51"/>
  <c r="P575" i="51"/>
  <c r="O575" i="51"/>
  <c r="W574" i="51"/>
  <c r="V574" i="51"/>
  <c r="T574" i="51"/>
  <c r="P574" i="51"/>
  <c r="O574" i="51"/>
  <c r="W573" i="51"/>
  <c r="V573" i="51"/>
  <c r="T573" i="51"/>
  <c r="P573" i="51"/>
  <c r="O573" i="51"/>
  <c r="W572" i="51"/>
  <c r="V572" i="51"/>
  <c r="T572" i="51"/>
  <c r="P572" i="51"/>
  <c r="O572" i="51"/>
  <c r="W571" i="51"/>
  <c r="V571" i="51"/>
  <c r="T571" i="51"/>
  <c r="P571" i="51"/>
  <c r="O571" i="51"/>
  <c r="W570" i="51"/>
  <c r="V570" i="51"/>
  <c r="T570" i="51"/>
  <c r="P570" i="51"/>
  <c r="O570" i="51"/>
  <c r="W569" i="51"/>
  <c r="V569" i="51"/>
  <c r="T569" i="51"/>
  <c r="P569" i="51"/>
  <c r="O569" i="51"/>
  <c r="W568" i="51"/>
  <c r="V568" i="51"/>
  <c r="P568" i="51"/>
  <c r="O568" i="51"/>
  <c r="W567" i="51"/>
  <c r="V567" i="51"/>
  <c r="P567" i="51"/>
  <c r="O567" i="51"/>
  <c r="W566" i="51"/>
  <c r="V566" i="51"/>
  <c r="P566" i="51"/>
  <c r="O566" i="51"/>
  <c r="W565" i="51"/>
  <c r="V565" i="51"/>
  <c r="P565" i="51"/>
  <c r="O565" i="51"/>
  <c r="W564" i="51"/>
  <c r="V564" i="51"/>
  <c r="P564" i="51"/>
  <c r="O564" i="51"/>
  <c r="W563" i="51"/>
  <c r="V563" i="51"/>
  <c r="P563" i="51"/>
  <c r="O563" i="51"/>
  <c r="W562" i="51"/>
  <c r="V562" i="51"/>
  <c r="P562" i="51"/>
  <c r="O562" i="51"/>
  <c r="W561" i="51"/>
  <c r="V561" i="51"/>
  <c r="P561" i="51"/>
  <c r="O561" i="51"/>
  <c r="W560" i="51"/>
  <c r="V560" i="51"/>
  <c r="P560" i="51"/>
  <c r="O560" i="51"/>
  <c r="W559" i="51"/>
  <c r="V559" i="51"/>
  <c r="P559" i="51"/>
  <c r="O559" i="51"/>
  <c r="W558" i="51"/>
  <c r="V558" i="51"/>
  <c r="P558" i="51"/>
  <c r="O558" i="51"/>
  <c r="W557" i="51"/>
  <c r="V557" i="51"/>
  <c r="P557" i="51"/>
  <c r="O557" i="51"/>
  <c r="W556" i="51"/>
  <c r="V556" i="51"/>
  <c r="P556" i="51"/>
  <c r="O556" i="51"/>
  <c r="W555" i="51"/>
  <c r="V555" i="51"/>
  <c r="P555" i="51"/>
  <c r="O555" i="51"/>
  <c r="W554" i="51"/>
  <c r="V554" i="51"/>
  <c r="P554" i="51"/>
  <c r="O554" i="51"/>
  <c r="W553" i="51"/>
  <c r="V553" i="51"/>
  <c r="P553" i="51"/>
  <c r="O553" i="51"/>
  <c r="W552" i="51"/>
  <c r="V552" i="51"/>
  <c r="P552" i="51"/>
  <c r="O552" i="51"/>
  <c r="W551" i="51"/>
  <c r="V551" i="51"/>
  <c r="P551" i="51"/>
  <c r="O551" i="51"/>
  <c r="W550" i="51"/>
  <c r="V550" i="51"/>
  <c r="P550" i="51"/>
  <c r="O550" i="51"/>
  <c r="W549" i="51"/>
  <c r="V549" i="51"/>
  <c r="P549" i="51"/>
  <c r="O549" i="51"/>
  <c r="W548" i="51"/>
  <c r="V548" i="51"/>
  <c r="P548" i="51"/>
  <c r="O548" i="51"/>
  <c r="W547" i="51"/>
  <c r="V547" i="51"/>
  <c r="P547" i="51"/>
  <c r="O547" i="51"/>
  <c r="W546" i="51"/>
  <c r="V546" i="51"/>
  <c r="P546" i="51"/>
  <c r="O546" i="51"/>
  <c r="W545" i="51"/>
  <c r="V545" i="51"/>
  <c r="P545" i="51"/>
  <c r="O545" i="51"/>
  <c r="W544" i="51"/>
  <c r="V544" i="51"/>
  <c r="P544" i="51"/>
  <c r="O544" i="51"/>
  <c r="W543" i="51"/>
  <c r="V543" i="51"/>
  <c r="P543" i="51"/>
  <c r="O543" i="51"/>
  <c r="W542" i="51"/>
  <c r="V542" i="51"/>
  <c r="P542" i="51"/>
  <c r="O542" i="51"/>
  <c r="W541" i="51"/>
  <c r="V541" i="51"/>
  <c r="P541" i="51"/>
  <c r="O541" i="51"/>
  <c r="W540" i="51"/>
  <c r="V540" i="51"/>
  <c r="P540" i="51"/>
  <c r="O540" i="51"/>
  <c r="W539" i="51"/>
  <c r="V539" i="51"/>
  <c r="P539" i="51"/>
  <c r="O539" i="51"/>
  <c r="W538" i="51"/>
  <c r="V538" i="51"/>
  <c r="P538" i="51"/>
  <c r="O538" i="51"/>
  <c r="W537" i="51"/>
  <c r="V537" i="51"/>
  <c r="P537" i="51"/>
  <c r="O537" i="51"/>
  <c r="W536" i="51"/>
  <c r="V536" i="51"/>
  <c r="P536" i="51"/>
  <c r="O536" i="51"/>
  <c r="W535" i="51"/>
  <c r="V535" i="51"/>
  <c r="P535" i="51"/>
  <c r="O535" i="51"/>
  <c r="W534" i="51"/>
  <c r="V534" i="51"/>
  <c r="P534" i="51"/>
  <c r="O534" i="51"/>
  <c r="W533" i="51"/>
  <c r="V533" i="51"/>
  <c r="P533" i="51"/>
  <c r="O533" i="51"/>
  <c r="W532" i="51"/>
  <c r="V532" i="51"/>
  <c r="P532" i="51"/>
  <c r="O532" i="51"/>
  <c r="W531" i="51"/>
  <c r="V531" i="51"/>
  <c r="P531" i="51"/>
  <c r="O531" i="51"/>
  <c r="W530" i="51"/>
  <c r="V530" i="51"/>
  <c r="P530" i="51"/>
  <c r="O530" i="51"/>
  <c r="W529" i="51"/>
  <c r="V529" i="51"/>
  <c r="P529" i="51"/>
  <c r="O529" i="51"/>
  <c r="W528" i="51"/>
  <c r="V528" i="51"/>
  <c r="P528" i="51"/>
  <c r="O528" i="51"/>
  <c r="W527" i="51"/>
  <c r="V527" i="51"/>
  <c r="P527" i="51"/>
  <c r="O527" i="51"/>
  <c r="W526" i="51"/>
  <c r="V526" i="51"/>
  <c r="P526" i="51"/>
  <c r="O526" i="51"/>
  <c r="W465" i="51"/>
  <c r="V465" i="51"/>
  <c r="T465" i="51"/>
  <c r="P465" i="51"/>
  <c r="O465" i="51"/>
  <c r="W386" i="51"/>
  <c r="V386" i="51"/>
  <c r="T386" i="51"/>
  <c r="P386" i="51"/>
  <c r="O386" i="51"/>
  <c r="W385" i="51"/>
  <c r="V385" i="51"/>
  <c r="T385" i="51"/>
  <c r="P385" i="51"/>
  <c r="O385" i="51"/>
  <c r="W384" i="51"/>
  <c r="V384" i="51"/>
  <c r="T384" i="51"/>
  <c r="P384" i="51"/>
  <c r="O384" i="51"/>
  <c r="T383" i="51"/>
  <c r="P383" i="51"/>
  <c r="O383" i="51"/>
  <c r="W382" i="51"/>
  <c r="V382" i="51"/>
  <c r="T382" i="51"/>
  <c r="P382" i="51"/>
  <c r="O382" i="51"/>
  <c r="W381" i="51"/>
  <c r="V381" i="51"/>
  <c r="T381" i="51"/>
  <c r="P381" i="51"/>
  <c r="O381" i="51"/>
  <c r="W380" i="51"/>
  <c r="V380" i="51"/>
  <c r="T380" i="51"/>
  <c r="P380" i="51"/>
  <c r="O380" i="51"/>
  <c r="F380" i="51"/>
  <c r="W379" i="51"/>
  <c r="V379" i="51"/>
  <c r="T379" i="51"/>
  <c r="P379" i="51"/>
  <c r="O379" i="51"/>
  <c r="W378" i="51"/>
  <c r="V378" i="51"/>
  <c r="T378" i="51"/>
  <c r="P378" i="51"/>
  <c r="O378" i="51"/>
  <c r="W377" i="51"/>
  <c r="V377" i="51"/>
  <c r="T377" i="51"/>
  <c r="P377" i="51"/>
  <c r="O377" i="51"/>
  <c r="W376" i="51"/>
  <c r="V376" i="51"/>
  <c r="T376" i="51"/>
  <c r="P376" i="51"/>
  <c r="O376" i="51"/>
  <c r="W375" i="51"/>
  <c r="V375" i="51"/>
  <c r="T375" i="51"/>
  <c r="P375" i="51"/>
  <c r="O375" i="51"/>
  <c r="W464" i="51"/>
  <c r="V464" i="51"/>
  <c r="T464" i="51"/>
  <c r="P464" i="51"/>
  <c r="O464" i="51"/>
  <c r="W463" i="51"/>
  <c r="V463" i="51"/>
  <c r="T463" i="51"/>
  <c r="P463" i="51"/>
  <c r="O463" i="51"/>
  <c r="W462" i="51"/>
  <c r="V462" i="51"/>
  <c r="T462" i="51"/>
  <c r="P462" i="51"/>
  <c r="O462" i="51"/>
  <c r="W461" i="51"/>
  <c r="V461" i="51"/>
  <c r="T461" i="51"/>
  <c r="P461" i="51"/>
  <c r="O461" i="51"/>
  <c r="F461" i="51"/>
  <c r="W460" i="51"/>
  <c r="V460" i="51"/>
  <c r="T460" i="51"/>
  <c r="P460" i="51"/>
  <c r="O460" i="51"/>
  <c r="F460" i="51"/>
  <c r="W459" i="51"/>
  <c r="T459" i="51"/>
  <c r="P459" i="51"/>
  <c r="O459" i="51"/>
  <c r="W458" i="51"/>
  <c r="V458" i="51"/>
  <c r="T458" i="51"/>
  <c r="P458" i="51"/>
  <c r="O458" i="51"/>
  <c r="W457" i="51"/>
  <c r="V457" i="51"/>
  <c r="T457" i="51"/>
  <c r="P457" i="51"/>
  <c r="O457" i="51"/>
  <c r="E457" i="51"/>
  <c r="Q457" i="51" s="1"/>
  <c r="W456" i="51"/>
  <c r="V456" i="51"/>
  <c r="T456" i="51"/>
  <c r="P456" i="51"/>
  <c r="O456" i="51"/>
  <c r="E456" i="51"/>
  <c r="Q456" i="51" s="1"/>
  <c r="W455" i="51"/>
  <c r="V455" i="51"/>
  <c r="T455" i="51"/>
  <c r="P455" i="51"/>
  <c r="O455" i="51"/>
  <c r="E455" i="51"/>
  <c r="Q455" i="51" s="1"/>
  <c r="W454" i="51"/>
  <c r="V454" i="51"/>
  <c r="T454" i="51"/>
  <c r="P454" i="51"/>
  <c r="O454" i="51"/>
  <c r="W453" i="51"/>
  <c r="V453" i="51"/>
  <c r="T453" i="51"/>
  <c r="P453" i="51"/>
  <c r="O453" i="51"/>
  <c r="W452" i="51"/>
  <c r="V452" i="51"/>
  <c r="T452" i="51"/>
  <c r="P452" i="51"/>
  <c r="O452" i="51"/>
  <c r="W451" i="51"/>
  <c r="V451" i="51"/>
  <c r="T451" i="51"/>
  <c r="P451" i="51"/>
  <c r="O451" i="51"/>
  <c r="W450" i="51"/>
  <c r="V450" i="51"/>
  <c r="T450" i="51"/>
  <c r="P450" i="51"/>
  <c r="O450" i="51"/>
  <c r="W449" i="51"/>
  <c r="V449" i="51"/>
  <c r="T449" i="51"/>
  <c r="P449" i="51"/>
  <c r="O449" i="51"/>
  <c r="W448" i="51"/>
  <c r="V448" i="51"/>
  <c r="T448" i="51"/>
  <c r="P448" i="51"/>
  <c r="O448" i="51"/>
  <c r="W447" i="51"/>
  <c r="V447" i="51"/>
  <c r="T447" i="51"/>
  <c r="P447" i="51"/>
  <c r="O447" i="51"/>
  <c r="W446" i="51"/>
  <c r="V446" i="51"/>
  <c r="T446" i="51"/>
  <c r="P446" i="51"/>
  <c r="O446" i="51"/>
  <c r="F446" i="51"/>
  <c r="W445" i="51"/>
  <c r="V445" i="51"/>
  <c r="T445" i="51"/>
  <c r="P445" i="51"/>
  <c r="O445" i="51"/>
  <c r="W444" i="51"/>
  <c r="V444" i="51"/>
  <c r="T444" i="51"/>
  <c r="P444" i="51"/>
  <c r="O444" i="51"/>
  <c r="W443" i="51"/>
  <c r="V443" i="51"/>
  <c r="T443" i="51"/>
  <c r="P443" i="51"/>
  <c r="O443" i="51"/>
  <c r="T442" i="51"/>
  <c r="P442" i="51"/>
  <c r="O442" i="51"/>
  <c r="F442" i="51"/>
  <c r="T441" i="51"/>
  <c r="P441" i="51"/>
  <c r="O441" i="51"/>
  <c r="F441" i="51"/>
  <c r="W440" i="51"/>
  <c r="V440" i="51"/>
  <c r="T440" i="51"/>
  <c r="P440" i="51"/>
  <c r="O440" i="51"/>
  <c r="W439" i="51"/>
  <c r="V439" i="51"/>
  <c r="T439" i="51"/>
  <c r="P439" i="51"/>
  <c r="O439" i="51"/>
  <c r="W438" i="51"/>
  <c r="V438" i="51"/>
  <c r="T438" i="51"/>
  <c r="P438" i="51"/>
  <c r="O438" i="51"/>
  <c r="W437" i="51"/>
  <c r="V437" i="51"/>
  <c r="T437" i="51"/>
  <c r="P437" i="51"/>
  <c r="O437" i="51"/>
  <c r="W436" i="51"/>
  <c r="V436" i="51"/>
  <c r="T436" i="51"/>
  <c r="P436" i="51"/>
  <c r="O436" i="51"/>
  <c r="W435" i="51"/>
  <c r="V435" i="51"/>
  <c r="T435" i="51"/>
  <c r="P435" i="51"/>
  <c r="O435" i="51"/>
  <c r="W434" i="51"/>
  <c r="V434" i="51"/>
  <c r="T434" i="51"/>
  <c r="P434" i="51"/>
  <c r="O434" i="51"/>
  <c r="W433" i="51"/>
  <c r="V433" i="51"/>
  <c r="T433" i="51"/>
  <c r="P433" i="51"/>
  <c r="O433" i="51"/>
  <c r="W432" i="51"/>
  <c r="V432" i="51"/>
  <c r="T432" i="51"/>
  <c r="P432" i="51"/>
  <c r="O432" i="51"/>
  <c r="W431" i="51"/>
  <c r="V431" i="51"/>
  <c r="T431" i="51"/>
  <c r="P431" i="51"/>
  <c r="O431" i="51"/>
  <c r="W430" i="51"/>
  <c r="V430" i="51"/>
  <c r="T430" i="51"/>
  <c r="P430" i="51"/>
  <c r="O430" i="51"/>
  <c r="W429" i="51"/>
  <c r="V429" i="51"/>
  <c r="T429" i="51"/>
  <c r="P429" i="51"/>
  <c r="O429" i="51"/>
  <c r="W428" i="51"/>
  <c r="V428" i="51"/>
  <c r="T428" i="51"/>
  <c r="P428" i="51"/>
  <c r="O428" i="51"/>
  <c r="W427" i="51"/>
  <c r="V427" i="51"/>
  <c r="T427" i="51"/>
  <c r="P427" i="51"/>
  <c r="O427" i="51"/>
  <c r="W426" i="51"/>
  <c r="V426" i="51"/>
  <c r="T426" i="51"/>
  <c r="P426" i="51"/>
  <c r="O426" i="51"/>
  <c r="F426" i="51"/>
  <c r="W425" i="51"/>
  <c r="V425" i="51"/>
  <c r="T425" i="51"/>
  <c r="P425" i="51"/>
  <c r="O425" i="51"/>
  <c r="W424" i="51"/>
  <c r="V424" i="51"/>
  <c r="T424" i="51"/>
  <c r="P424" i="51"/>
  <c r="O424" i="51"/>
  <c r="W423" i="51"/>
  <c r="V423" i="51"/>
  <c r="T423" i="51"/>
  <c r="P423" i="51"/>
  <c r="O423" i="51"/>
  <c r="W422" i="51"/>
  <c r="V422" i="51"/>
  <c r="T422" i="51"/>
  <c r="P422" i="51"/>
  <c r="O422" i="51"/>
  <c r="W421" i="51"/>
  <c r="V421" i="51"/>
  <c r="T421" i="51"/>
  <c r="P421" i="51"/>
  <c r="O421" i="51"/>
  <c r="W420" i="51"/>
  <c r="V420" i="51"/>
  <c r="T420" i="51"/>
  <c r="P420" i="51"/>
  <c r="O420" i="51"/>
  <c r="W419" i="51"/>
  <c r="V419" i="51"/>
  <c r="T419" i="51"/>
  <c r="P419" i="51"/>
  <c r="O419" i="51"/>
  <c r="W418" i="51"/>
  <c r="V418" i="51"/>
  <c r="T418" i="51"/>
  <c r="P418" i="51"/>
  <c r="O418" i="51"/>
  <c r="W417" i="51"/>
  <c r="V417" i="51"/>
  <c r="T417" i="51"/>
  <c r="P417" i="51"/>
  <c r="O417" i="51"/>
  <c r="W416" i="51"/>
  <c r="V416" i="51"/>
  <c r="T416" i="51"/>
  <c r="P416" i="51"/>
  <c r="O416" i="51"/>
  <c r="W415" i="51"/>
  <c r="V415" i="51"/>
  <c r="T415" i="51"/>
  <c r="P415" i="51"/>
  <c r="O415" i="51"/>
  <c r="W414" i="51"/>
  <c r="V414" i="51"/>
  <c r="T414" i="51"/>
  <c r="P414" i="51"/>
  <c r="O414" i="51"/>
  <c r="W413" i="51"/>
  <c r="V413" i="51"/>
  <c r="T413" i="51"/>
  <c r="P413" i="51"/>
  <c r="O413" i="51"/>
  <c r="W374" i="51"/>
  <c r="V374" i="51"/>
  <c r="T374" i="51"/>
  <c r="P374" i="51"/>
  <c r="O374" i="51"/>
  <c r="W373" i="51"/>
  <c r="V373" i="51"/>
  <c r="T373" i="51"/>
  <c r="P373" i="51"/>
  <c r="O373" i="51"/>
  <c r="W372" i="51"/>
  <c r="V372" i="51"/>
  <c r="T372" i="51"/>
  <c r="P372" i="51"/>
  <c r="O372" i="51"/>
  <c r="W371" i="51"/>
  <c r="V371" i="51"/>
  <c r="T371" i="51"/>
  <c r="P371" i="51"/>
  <c r="O371" i="51"/>
  <c r="W370" i="51"/>
  <c r="V370" i="51"/>
  <c r="T370" i="51"/>
  <c r="P370" i="51"/>
  <c r="O370" i="51"/>
  <c r="W369" i="51"/>
  <c r="V369" i="51"/>
  <c r="T369" i="51"/>
  <c r="P369" i="51"/>
  <c r="O369" i="51"/>
  <c r="W368" i="51"/>
  <c r="V368" i="51"/>
  <c r="T368" i="51"/>
  <c r="P368" i="51"/>
  <c r="O368" i="51"/>
  <c r="W367" i="51"/>
  <c r="V367" i="51"/>
  <c r="T367" i="51"/>
  <c r="P367" i="51"/>
  <c r="O367" i="51"/>
  <c r="W366" i="51"/>
  <c r="V366" i="51"/>
  <c r="T366" i="51"/>
  <c r="P366" i="51"/>
  <c r="O366" i="51"/>
  <c r="W365" i="51"/>
  <c r="V365" i="51"/>
  <c r="T365" i="51"/>
  <c r="P365" i="51"/>
  <c r="O365" i="51"/>
  <c r="W364" i="51"/>
  <c r="V364" i="51"/>
  <c r="T364" i="51"/>
  <c r="P364" i="51"/>
  <c r="O364" i="51"/>
  <c r="W363" i="51"/>
  <c r="V363" i="51"/>
  <c r="T363" i="51"/>
  <c r="P363" i="51"/>
  <c r="O363" i="51"/>
  <c r="W362" i="51"/>
  <c r="V362" i="51"/>
  <c r="T362" i="51"/>
  <c r="P362" i="51"/>
  <c r="O362" i="51"/>
  <c r="W361" i="51"/>
  <c r="V361" i="51"/>
  <c r="T361" i="51"/>
  <c r="P361" i="51"/>
  <c r="O361" i="51"/>
  <c r="W360" i="51"/>
  <c r="V360" i="51"/>
  <c r="T360" i="51"/>
  <c r="P360" i="51"/>
  <c r="O360" i="51"/>
  <c r="W359" i="51"/>
  <c r="V359" i="51"/>
  <c r="T359" i="51"/>
  <c r="P359" i="51"/>
  <c r="O359" i="51"/>
  <c r="W358" i="51"/>
  <c r="V358" i="51"/>
  <c r="T358" i="51"/>
  <c r="P358" i="51"/>
  <c r="O358" i="51"/>
  <c r="W357" i="51"/>
  <c r="V357" i="51"/>
  <c r="T357" i="51"/>
  <c r="P357" i="51"/>
  <c r="W356" i="51"/>
  <c r="V356" i="51"/>
  <c r="T356" i="51"/>
  <c r="P356" i="51"/>
  <c r="O356" i="51"/>
  <c r="W355" i="51"/>
  <c r="V355" i="51"/>
  <c r="T355" i="51"/>
  <c r="P355" i="51"/>
  <c r="W354" i="51"/>
  <c r="V354" i="51"/>
  <c r="T354" i="51"/>
  <c r="P354" i="51"/>
  <c r="O354" i="51"/>
  <c r="W353" i="51"/>
  <c r="V353" i="51"/>
  <c r="T353" i="51"/>
  <c r="P353" i="51"/>
  <c r="O353" i="51"/>
  <c r="W352" i="51"/>
  <c r="V352" i="51"/>
  <c r="T352" i="51"/>
  <c r="P352" i="51"/>
  <c r="O352" i="51"/>
  <c r="W351" i="51"/>
  <c r="V351" i="51"/>
  <c r="T351" i="51"/>
  <c r="P351" i="51"/>
  <c r="O351" i="51"/>
  <c r="W348" i="51"/>
  <c r="V348" i="51"/>
  <c r="T348" i="51"/>
  <c r="P348" i="51"/>
  <c r="O348" i="51"/>
  <c r="W347" i="51"/>
  <c r="V347" i="51"/>
  <c r="T347" i="51"/>
  <c r="P347" i="51"/>
  <c r="W346" i="51"/>
  <c r="V346" i="51"/>
  <c r="T346" i="51"/>
  <c r="P346" i="51"/>
  <c r="O346" i="51"/>
  <c r="W345" i="51"/>
  <c r="V345" i="51"/>
  <c r="T345" i="51"/>
  <c r="P345" i="51"/>
  <c r="W344" i="51"/>
  <c r="V344" i="51"/>
  <c r="T344" i="51"/>
  <c r="P344" i="51"/>
  <c r="O344" i="51"/>
  <c r="W343" i="51"/>
  <c r="V343" i="51"/>
  <c r="T343" i="51"/>
  <c r="P343" i="51"/>
  <c r="O343" i="51"/>
  <c r="W342" i="51"/>
  <c r="V342" i="51"/>
  <c r="T342" i="51"/>
  <c r="P342" i="51"/>
  <c r="W341" i="51"/>
  <c r="V341" i="51"/>
  <c r="T341" i="51"/>
  <c r="P341" i="51"/>
  <c r="O341" i="51"/>
  <c r="W340" i="51"/>
  <c r="V340" i="51"/>
  <c r="T340" i="51"/>
  <c r="P340" i="51"/>
  <c r="O340" i="51"/>
  <c r="F340" i="51"/>
  <c r="W339" i="51"/>
  <c r="V339" i="51"/>
  <c r="T339" i="51"/>
  <c r="P339" i="51"/>
  <c r="O339" i="51"/>
  <c r="W338" i="51"/>
  <c r="V338" i="51"/>
  <c r="T338" i="51"/>
  <c r="P338" i="51"/>
  <c r="O338" i="51"/>
  <c r="W337" i="51"/>
  <c r="V337" i="51"/>
  <c r="T337" i="51"/>
  <c r="P337" i="51"/>
  <c r="O337" i="51"/>
  <c r="W336" i="51"/>
  <c r="V336" i="51"/>
  <c r="T336" i="51"/>
  <c r="P336" i="51"/>
  <c r="O336" i="51"/>
  <c r="W335" i="51"/>
  <c r="V335" i="51"/>
  <c r="T335" i="51"/>
  <c r="P335" i="51"/>
  <c r="O335" i="51"/>
  <c r="W334" i="51"/>
  <c r="V334" i="51"/>
  <c r="T334" i="51"/>
  <c r="P334" i="51"/>
  <c r="O334" i="51"/>
  <c r="W333" i="51"/>
  <c r="V333" i="51"/>
  <c r="T333" i="51"/>
  <c r="P333" i="51"/>
  <c r="O333" i="51"/>
  <c r="W332" i="51"/>
  <c r="V332" i="51"/>
  <c r="T332" i="51"/>
  <c r="P332" i="51"/>
  <c r="W331" i="51"/>
  <c r="V331" i="51"/>
  <c r="T331" i="51"/>
  <c r="P331" i="51"/>
  <c r="O331" i="51"/>
  <c r="W330" i="51"/>
  <c r="V330" i="51"/>
  <c r="T330" i="51"/>
  <c r="P330" i="51"/>
  <c r="O330" i="51"/>
  <c r="W327" i="51"/>
  <c r="V327" i="51"/>
  <c r="O327" i="51"/>
  <c r="W326" i="51"/>
  <c r="V326" i="51"/>
  <c r="O326" i="51"/>
  <c r="W325" i="51"/>
  <c r="V325" i="51"/>
  <c r="O325" i="51"/>
  <c r="W324" i="51"/>
  <c r="V324" i="51"/>
  <c r="O324" i="51"/>
  <c r="W323" i="51"/>
  <c r="V323" i="51"/>
  <c r="O323" i="51"/>
  <c r="W322" i="51"/>
  <c r="V322" i="51"/>
  <c r="O322" i="51"/>
  <c r="W321" i="51"/>
  <c r="V321" i="51"/>
  <c r="O321" i="51"/>
  <c r="W320" i="51"/>
  <c r="V320" i="51"/>
  <c r="O320" i="51"/>
  <c r="W319" i="51"/>
  <c r="V319" i="51"/>
  <c r="O319" i="51"/>
  <c r="W318" i="51"/>
  <c r="V318" i="51"/>
  <c r="O318" i="51"/>
  <c r="W317" i="51"/>
  <c r="V317" i="51"/>
  <c r="O317" i="51"/>
  <c r="W316" i="51"/>
  <c r="V316" i="51"/>
  <c r="O316" i="51"/>
  <c r="W315" i="51"/>
  <c r="V315" i="51"/>
  <c r="O315" i="51"/>
  <c r="W314" i="51"/>
  <c r="V314" i="51"/>
  <c r="O314" i="51"/>
  <c r="W313" i="51"/>
  <c r="V313" i="51"/>
  <c r="O313" i="51"/>
  <c r="W312" i="51"/>
  <c r="V312" i="51"/>
  <c r="W311" i="51"/>
  <c r="V311" i="51"/>
  <c r="O311" i="51"/>
  <c r="W310" i="51"/>
  <c r="V310" i="51"/>
  <c r="W309" i="51"/>
  <c r="V309" i="51"/>
  <c r="W308" i="51"/>
  <c r="V308" i="51"/>
  <c r="W307" i="51"/>
  <c r="V307" i="51"/>
  <c r="O307" i="51"/>
  <c r="W306" i="51"/>
  <c r="V306" i="51"/>
  <c r="O306" i="51"/>
  <c r="W305" i="51"/>
  <c r="V305" i="51"/>
  <c r="W304" i="51"/>
  <c r="V304" i="51"/>
  <c r="T304" i="51"/>
  <c r="P304" i="51"/>
  <c r="O304" i="51"/>
  <c r="W303" i="51"/>
  <c r="V303" i="51"/>
  <c r="O303" i="51"/>
  <c r="W302" i="51"/>
  <c r="V302" i="51"/>
  <c r="O302" i="51"/>
  <c r="W301" i="51"/>
  <c r="V301" i="51"/>
  <c r="O301" i="51"/>
  <c r="W300" i="51"/>
  <c r="V300" i="51"/>
  <c r="W299" i="51"/>
  <c r="V299" i="51"/>
  <c r="W298" i="51"/>
  <c r="V298" i="51"/>
  <c r="O298" i="51"/>
  <c r="W297" i="51"/>
  <c r="V297" i="51"/>
  <c r="O297" i="51"/>
  <c r="W296" i="51"/>
  <c r="V296" i="51"/>
  <c r="O296" i="51"/>
  <c r="W295" i="51"/>
  <c r="V295" i="51"/>
  <c r="W294" i="51"/>
  <c r="V294" i="51"/>
  <c r="T294" i="51"/>
  <c r="P294" i="51"/>
  <c r="O294" i="51"/>
  <c r="W293" i="51"/>
  <c r="V293" i="51"/>
  <c r="O293" i="51"/>
  <c r="W292" i="51"/>
  <c r="V292" i="51"/>
  <c r="O292" i="51"/>
  <c r="W291" i="51"/>
  <c r="V291" i="51"/>
  <c r="O291" i="51"/>
  <c r="W290" i="51"/>
  <c r="V290" i="51"/>
  <c r="O290" i="51"/>
  <c r="W289" i="51"/>
  <c r="V289" i="51"/>
  <c r="W288" i="51"/>
  <c r="V288" i="51"/>
  <c r="T288" i="51"/>
  <c r="P288" i="51"/>
  <c r="O288" i="51"/>
  <c r="W287" i="51"/>
  <c r="V287" i="51"/>
  <c r="O287" i="51"/>
  <c r="W286" i="51"/>
  <c r="V286" i="51"/>
  <c r="O286" i="51"/>
  <c r="W285" i="51"/>
  <c r="V285" i="51"/>
  <c r="O285" i="51"/>
  <c r="W284" i="51"/>
  <c r="V284" i="51"/>
  <c r="O284" i="51"/>
  <c r="W283" i="51"/>
  <c r="V283" i="51"/>
  <c r="W282" i="51"/>
  <c r="V282" i="51"/>
  <c r="T282" i="51"/>
  <c r="P282" i="51"/>
  <c r="O282" i="51"/>
  <c r="W281" i="51"/>
  <c r="V281" i="51"/>
  <c r="O281" i="51"/>
  <c r="W280" i="51"/>
  <c r="V280" i="51"/>
  <c r="O280" i="51"/>
  <c r="W279" i="51"/>
  <c r="V279" i="51"/>
  <c r="O279" i="51"/>
  <c r="W278" i="51"/>
  <c r="V278" i="51"/>
  <c r="O278" i="51"/>
  <c r="W277" i="51"/>
  <c r="V277" i="51"/>
  <c r="W276" i="51"/>
  <c r="V276" i="51"/>
  <c r="T276" i="51"/>
  <c r="P276" i="51"/>
  <c r="O276" i="51"/>
  <c r="W275" i="51"/>
  <c r="V275" i="51"/>
  <c r="O275" i="51"/>
  <c r="W274" i="51"/>
  <c r="V274" i="51"/>
  <c r="O274" i="51"/>
  <c r="W273" i="51"/>
  <c r="V273" i="51"/>
  <c r="O273" i="51"/>
  <c r="W272" i="51"/>
  <c r="V272" i="51"/>
  <c r="O272" i="51"/>
  <c r="W271" i="51"/>
  <c r="V271" i="51"/>
  <c r="O271" i="51"/>
  <c r="W270" i="51"/>
  <c r="V270" i="51"/>
  <c r="O270" i="51"/>
  <c r="W269" i="51"/>
  <c r="V269" i="51"/>
  <c r="W268" i="51"/>
  <c r="V268" i="51"/>
  <c r="W267" i="51"/>
  <c r="V267" i="51"/>
  <c r="O267" i="51"/>
  <c r="W266" i="51"/>
  <c r="V266" i="51"/>
  <c r="O266" i="51"/>
  <c r="W265" i="51"/>
  <c r="V265" i="51"/>
  <c r="O265" i="51"/>
  <c r="W264" i="51"/>
  <c r="V264" i="51"/>
  <c r="W263" i="51"/>
  <c r="V263" i="51"/>
  <c r="T263" i="51"/>
  <c r="P263" i="51"/>
  <c r="O263" i="51"/>
  <c r="W262" i="51"/>
  <c r="V262" i="51"/>
  <c r="O262" i="51"/>
  <c r="W261" i="51"/>
  <c r="V261" i="51"/>
  <c r="W260" i="51"/>
  <c r="V260" i="51"/>
  <c r="T260" i="51"/>
  <c r="P260" i="51"/>
  <c r="O260" i="51"/>
  <c r="W259" i="51"/>
  <c r="V259" i="51"/>
  <c r="O259" i="51"/>
  <c r="W258" i="51"/>
  <c r="V258" i="51"/>
  <c r="O258" i="51"/>
  <c r="W257" i="51"/>
  <c r="V257" i="51"/>
  <c r="O257" i="51"/>
  <c r="W256" i="51"/>
  <c r="V256" i="51"/>
  <c r="O256" i="51"/>
  <c r="W255" i="51"/>
  <c r="V255" i="51"/>
  <c r="O255" i="51"/>
  <c r="W254" i="51"/>
  <c r="V254" i="51"/>
  <c r="W253" i="51"/>
  <c r="V253" i="51"/>
  <c r="T253" i="51"/>
  <c r="P253" i="51"/>
  <c r="O253" i="51"/>
  <c r="W252" i="51"/>
  <c r="V252" i="51"/>
  <c r="O252" i="51"/>
  <c r="W251" i="51"/>
  <c r="V251" i="51"/>
  <c r="O251" i="51"/>
  <c r="W250" i="51"/>
  <c r="V250" i="51"/>
  <c r="W249" i="51"/>
  <c r="V249" i="51"/>
  <c r="T249" i="51"/>
  <c r="P249" i="51"/>
  <c r="O249" i="51"/>
  <c r="W248" i="51"/>
  <c r="V248" i="51"/>
  <c r="T248" i="51"/>
  <c r="P248" i="51"/>
  <c r="O248" i="51"/>
  <c r="W247" i="51"/>
  <c r="V247" i="51"/>
  <c r="O247" i="51"/>
  <c r="W246" i="51"/>
  <c r="V246" i="51"/>
  <c r="W245" i="51"/>
  <c r="V245" i="51"/>
  <c r="O245" i="51"/>
  <c r="W244" i="51"/>
  <c r="V244" i="51"/>
  <c r="O244" i="51"/>
  <c r="W243" i="51"/>
  <c r="V243" i="51"/>
  <c r="W242" i="51"/>
  <c r="V242" i="51"/>
  <c r="T242" i="51"/>
  <c r="P242" i="51"/>
  <c r="O242" i="51"/>
  <c r="W241" i="51"/>
  <c r="V241" i="51"/>
  <c r="O241" i="51"/>
  <c r="W240" i="51"/>
  <c r="V240" i="51"/>
  <c r="W239" i="51"/>
  <c r="V239" i="51"/>
  <c r="O239" i="51"/>
  <c r="W238" i="51"/>
  <c r="V238" i="51"/>
  <c r="T238" i="51"/>
  <c r="P238" i="51"/>
  <c r="O238" i="51"/>
  <c r="W235" i="51"/>
  <c r="V235" i="51"/>
  <c r="T235" i="51"/>
  <c r="P235" i="51"/>
  <c r="O235" i="51"/>
  <c r="W234" i="51"/>
  <c r="V234" i="51"/>
  <c r="T234" i="51"/>
  <c r="P234" i="51"/>
  <c r="O234" i="51"/>
  <c r="W233" i="51"/>
  <c r="V233" i="51"/>
  <c r="T233" i="51"/>
  <c r="P233" i="51"/>
  <c r="O233" i="51"/>
  <c r="W232" i="51"/>
  <c r="V232" i="51"/>
  <c r="T232" i="51"/>
  <c r="P232" i="51"/>
  <c r="O232" i="51"/>
  <c r="W231" i="51"/>
  <c r="V231" i="51"/>
  <c r="T231" i="51"/>
  <c r="P231" i="51"/>
  <c r="O231" i="51"/>
  <c r="W230" i="51"/>
  <c r="V230" i="51"/>
  <c r="T230" i="51"/>
  <c r="P230" i="51"/>
  <c r="O230" i="51"/>
  <c r="W229" i="51"/>
  <c r="V229" i="51"/>
  <c r="T229" i="51"/>
  <c r="P229" i="51"/>
  <c r="O229" i="51"/>
  <c r="W228" i="51"/>
  <c r="V228" i="51"/>
  <c r="T228" i="51"/>
  <c r="P228" i="51"/>
  <c r="O228" i="51"/>
  <c r="W227" i="51"/>
  <c r="V227" i="51"/>
  <c r="T227" i="51"/>
  <c r="P227" i="51"/>
  <c r="O227" i="51"/>
  <c r="W226" i="51"/>
  <c r="V226" i="51"/>
  <c r="T226" i="51"/>
  <c r="P226" i="51"/>
  <c r="O226" i="51"/>
  <c r="W225" i="51"/>
  <c r="V225" i="51"/>
  <c r="T225" i="51"/>
  <c r="P225" i="51"/>
  <c r="O225" i="51"/>
  <c r="W224" i="51"/>
  <c r="V224" i="51"/>
  <c r="T224" i="51"/>
  <c r="P224" i="51"/>
  <c r="O224" i="51"/>
  <c r="W223" i="51"/>
  <c r="V223" i="51"/>
  <c r="T223" i="51"/>
  <c r="P223" i="51"/>
  <c r="O223" i="51"/>
  <c r="W222" i="51"/>
  <c r="V222" i="51"/>
  <c r="T222" i="51"/>
  <c r="P222" i="51"/>
  <c r="O222" i="51"/>
  <c r="W221" i="51"/>
  <c r="V221" i="51"/>
  <c r="T221" i="51"/>
  <c r="P221" i="51"/>
  <c r="O221" i="51"/>
  <c r="W220" i="51"/>
  <c r="V220" i="51"/>
  <c r="T220" i="51"/>
  <c r="P220" i="51"/>
  <c r="O220" i="51"/>
  <c r="W219" i="51"/>
  <c r="V219" i="51"/>
  <c r="T219" i="51"/>
  <c r="P219" i="51"/>
  <c r="O219" i="51"/>
  <c r="W218" i="51"/>
  <c r="V218" i="51"/>
  <c r="T218" i="51"/>
  <c r="P218" i="51"/>
  <c r="O218" i="51"/>
  <c r="W217" i="51"/>
  <c r="V217" i="51"/>
  <c r="T217" i="51"/>
  <c r="P217" i="51"/>
  <c r="O217" i="51"/>
  <c r="W216" i="51"/>
  <c r="V216" i="51"/>
  <c r="T216" i="51"/>
  <c r="P216" i="51"/>
  <c r="O216" i="51"/>
  <c r="W215" i="51"/>
  <c r="V215" i="51"/>
  <c r="T215" i="51"/>
  <c r="P215" i="51"/>
  <c r="O215" i="51"/>
  <c r="W214" i="51"/>
  <c r="V214" i="51"/>
  <c r="T214" i="51"/>
  <c r="P214" i="51"/>
  <c r="O214" i="51"/>
  <c r="W213" i="51"/>
  <c r="V213" i="51"/>
  <c r="T213" i="51"/>
  <c r="P213" i="51"/>
  <c r="O213" i="51"/>
  <c r="W212" i="51"/>
  <c r="V212" i="51"/>
  <c r="T212" i="51"/>
  <c r="P212" i="51"/>
  <c r="O212" i="51"/>
  <c r="W211" i="51"/>
  <c r="V211" i="51"/>
  <c r="T211" i="51"/>
  <c r="P211" i="51"/>
  <c r="O211" i="51"/>
  <c r="W210" i="51"/>
  <c r="V210" i="51"/>
  <c r="T210" i="51"/>
  <c r="P210" i="51"/>
  <c r="O210" i="51"/>
  <c r="W209" i="51"/>
  <c r="V209" i="51"/>
  <c r="T209" i="51"/>
  <c r="P209" i="51"/>
  <c r="O209" i="51"/>
  <c r="W208" i="51"/>
  <c r="V208" i="51"/>
  <c r="T208" i="51"/>
  <c r="P208" i="51"/>
  <c r="O208" i="51"/>
  <c r="W207" i="51"/>
  <c r="V207" i="51"/>
  <c r="T207" i="51"/>
  <c r="P207" i="51"/>
  <c r="W206" i="51"/>
  <c r="V206" i="51"/>
  <c r="T206" i="51"/>
  <c r="P206" i="51"/>
  <c r="O206" i="51"/>
  <c r="W205" i="51"/>
  <c r="V205" i="51"/>
  <c r="T205" i="51"/>
  <c r="P205" i="51"/>
  <c r="O205" i="51"/>
  <c r="W204" i="51"/>
  <c r="V204" i="51"/>
  <c r="T204" i="51"/>
  <c r="P204" i="51"/>
  <c r="O204" i="51"/>
  <c r="W203" i="51"/>
  <c r="V203" i="51"/>
  <c r="T203" i="51"/>
  <c r="P203" i="51"/>
  <c r="O203" i="51"/>
  <c r="W202" i="51"/>
  <c r="V202" i="51"/>
  <c r="T202" i="51"/>
  <c r="P202" i="51"/>
  <c r="O202" i="51"/>
  <c r="W201" i="51"/>
  <c r="V201" i="51"/>
  <c r="T201" i="51"/>
  <c r="P201" i="51"/>
  <c r="O201" i="51"/>
  <c r="W200" i="51"/>
  <c r="V200" i="51"/>
  <c r="T200" i="51"/>
  <c r="P200" i="51"/>
  <c r="O200" i="51"/>
  <c r="W199" i="51"/>
  <c r="V199" i="51"/>
  <c r="T199" i="51"/>
  <c r="P199" i="51"/>
  <c r="O199" i="51"/>
  <c r="W198" i="51"/>
  <c r="V198" i="51"/>
  <c r="T198" i="51"/>
  <c r="P198" i="51"/>
  <c r="O198" i="51"/>
  <c r="W197" i="51"/>
  <c r="V197" i="51"/>
  <c r="T197" i="51"/>
  <c r="P197" i="51"/>
  <c r="O197" i="51"/>
  <c r="W196" i="51"/>
  <c r="V196" i="51"/>
  <c r="T196" i="51"/>
  <c r="P196" i="51"/>
  <c r="O196" i="51"/>
  <c r="W195" i="51"/>
  <c r="V195" i="51"/>
  <c r="T195" i="51"/>
  <c r="P195" i="51"/>
  <c r="O195" i="51"/>
  <c r="W194" i="51"/>
  <c r="V194" i="51"/>
  <c r="T194" i="51"/>
  <c r="P194" i="51"/>
  <c r="O194" i="51"/>
  <c r="W193" i="51"/>
  <c r="V193" i="51"/>
  <c r="T193" i="51"/>
  <c r="P193" i="51"/>
  <c r="O193" i="51"/>
  <c r="W192" i="51"/>
  <c r="V192" i="51"/>
  <c r="T192" i="51"/>
  <c r="P192" i="51"/>
  <c r="O192" i="51"/>
  <c r="W191" i="51"/>
  <c r="V191" i="51"/>
  <c r="T191" i="51"/>
  <c r="P191" i="51"/>
  <c r="O191" i="51"/>
  <c r="W190" i="51"/>
  <c r="V190" i="51"/>
  <c r="T190" i="51"/>
  <c r="P190" i="51"/>
  <c r="O190" i="51"/>
  <c r="W189" i="51"/>
  <c r="V189" i="51"/>
  <c r="T189" i="51"/>
  <c r="P189" i="51"/>
  <c r="O189" i="51"/>
  <c r="W188" i="51"/>
  <c r="V188" i="51"/>
  <c r="T188" i="51"/>
  <c r="P188" i="51"/>
  <c r="O188" i="51"/>
  <c r="W187" i="51"/>
  <c r="V187" i="51"/>
  <c r="T187" i="51"/>
  <c r="P187" i="51"/>
  <c r="O187" i="51"/>
  <c r="W186" i="51"/>
  <c r="V186" i="51"/>
  <c r="T186" i="51"/>
  <c r="P186" i="51"/>
  <c r="O186" i="51"/>
  <c r="W185" i="51"/>
  <c r="V185" i="51"/>
  <c r="T185" i="51"/>
  <c r="P185" i="51"/>
  <c r="O185" i="51"/>
  <c r="W184" i="51"/>
  <c r="V184" i="51"/>
  <c r="T184" i="51"/>
  <c r="P184" i="51"/>
  <c r="O184" i="51"/>
  <c r="W183" i="51"/>
  <c r="V183" i="51"/>
  <c r="T183" i="51"/>
  <c r="P183" i="51"/>
  <c r="O183" i="51"/>
  <c r="W182" i="51"/>
  <c r="V182" i="51"/>
  <c r="T182" i="51"/>
  <c r="P182" i="51"/>
  <c r="O182" i="51"/>
  <c r="W181" i="51"/>
  <c r="V181" i="51"/>
  <c r="T181" i="51"/>
  <c r="P181" i="51"/>
  <c r="O181" i="51"/>
  <c r="W180" i="51"/>
  <c r="V180" i="51"/>
  <c r="T180" i="51"/>
  <c r="P180" i="51"/>
  <c r="O180" i="51"/>
  <c r="W179" i="51"/>
  <c r="V179" i="51"/>
  <c r="T179" i="51"/>
  <c r="P179" i="51"/>
  <c r="O179" i="51"/>
  <c r="W178" i="51"/>
  <c r="V178" i="51"/>
  <c r="T178" i="51"/>
  <c r="P178" i="51"/>
  <c r="O178" i="51"/>
  <c r="W177" i="51"/>
  <c r="V177" i="51"/>
  <c r="T177" i="51"/>
  <c r="P177" i="51"/>
  <c r="O177" i="51"/>
  <c r="W176" i="51"/>
  <c r="V176" i="51"/>
  <c r="T176" i="51"/>
  <c r="P176" i="51"/>
  <c r="O176" i="51"/>
  <c r="W175" i="51"/>
  <c r="V175" i="51"/>
  <c r="T175" i="51"/>
  <c r="P175" i="51"/>
  <c r="O175" i="51"/>
  <c r="W174" i="51"/>
  <c r="V174" i="51"/>
  <c r="T174" i="51"/>
  <c r="P174" i="51"/>
  <c r="O174" i="51"/>
  <c r="W173" i="51"/>
  <c r="V173" i="51"/>
  <c r="T173" i="51"/>
  <c r="P173" i="51"/>
  <c r="O173" i="51"/>
  <c r="W172" i="51"/>
  <c r="V172" i="51"/>
  <c r="T172" i="51"/>
  <c r="P172" i="51"/>
  <c r="O172" i="51"/>
  <c r="W171" i="51"/>
  <c r="V171" i="51"/>
  <c r="T171" i="51"/>
  <c r="P171" i="51"/>
  <c r="O171" i="51"/>
  <c r="W170" i="51"/>
  <c r="V170" i="51"/>
  <c r="T170" i="51"/>
  <c r="P170" i="51"/>
  <c r="O170" i="51"/>
  <c r="W169" i="51"/>
  <c r="V169" i="51"/>
  <c r="T169" i="51"/>
  <c r="P169" i="51"/>
  <c r="O169" i="51"/>
  <c r="B169" i="51"/>
  <c r="B170" i="51" s="1"/>
  <c r="B171" i="51" s="1"/>
  <c r="B172" i="51" s="1"/>
  <c r="B173" i="51" s="1"/>
  <c r="B174" i="51" s="1"/>
  <c r="B175" i="51" s="1"/>
  <c r="B176" i="51" s="1"/>
  <c r="B177" i="51" s="1"/>
  <c r="B178" i="51" s="1"/>
  <c r="B179" i="51" s="1"/>
  <c r="B180" i="51" s="1"/>
  <c r="B181" i="51" s="1"/>
  <c r="B182" i="51" s="1"/>
  <c r="B183" i="51" s="1"/>
  <c r="B184" i="51" s="1"/>
  <c r="B185" i="51" s="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W168" i="51"/>
  <c r="V168" i="51"/>
  <c r="T168" i="51"/>
  <c r="P168" i="51"/>
  <c r="O168" i="51"/>
  <c r="W167" i="51"/>
  <c r="V167" i="51"/>
  <c r="T167" i="51"/>
  <c r="P167" i="51"/>
  <c r="O167" i="51"/>
  <c r="W166" i="51"/>
  <c r="V166" i="51"/>
  <c r="T166" i="51"/>
  <c r="P166" i="51"/>
  <c r="O166" i="51"/>
  <c r="W163" i="51"/>
  <c r="V163" i="51"/>
  <c r="T163" i="51"/>
  <c r="P163" i="51"/>
  <c r="O163" i="51"/>
  <c r="F163" i="51"/>
  <c r="W162" i="51"/>
  <c r="V162" i="51"/>
  <c r="T162" i="51"/>
  <c r="P162" i="51"/>
  <c r="O162" i="51"/>
  <c r="W161" i="51"/>
  <c r="V161" i="51"/>
  <c r="T161" i="51"/>
  <c r="P161" i="51"/>
  <c r="O161" i="51"/>
  <c r="W160" i="51"/>
  <c r="V160" i="51"/>
  <c r="T160" i="51"/>
  <c r="P160" i="51"/>
  <c r="O160" i="51"/>
  <c r="W159" i="51"/>
  <c r="V159" i="51"/>
  <c r="T159" i="51"/>
  <c r="P159" i="51"/>
  <c r="O159" i="51"/>
  <c r="W158" i="51"/>
  <c r="V158" i="51"/>
  <c r="T158" i="51"/>
  <c r="P158" i="51"/>
  <c r="O158" i="51"/>
  <c r="W157" i="51"/>
  <c r="V157" i="51"/>
  <c r="T157" i="51"/>
  <c r="P157" i="51"/>
  <c r="O157" i="51"/>
  <c r="F157" i="51"/>
  <c r="W156" i="51"/>
  <c r="V156" i="51"/>
  <c r="T156" i="51"/>
  <c r="P156" i="51"/>
  <c r="O156" i="51"/>
  <c r="W155" i="51"/>
  <c r="V155" i="51"/>
  <c r="T155" i="51"/>
  <c r="P155" i="51"/>
  <c r="O155" i="51"/>
  <c r="W154" i="51"/>
  <c r="V154" i="51"/>
  <c r="T154" i="51"/>
  <c r="P154" i="51"/>
  <c r="O154" i="51"/>
  <c r="W153" i="51"/>
  <c r="V153" i="51"/>
  <c r="T153" i="51"/>
  <c r="P153" i="51"/>
  <c r="O153" i="51"/>
  <c r="W152" i="51"/>
  <c r="V152" i="51"/>
  <c r="T152" i="51"/>
  <c r="P152" i="51"/>
  <c r="O152" i="51"/>
  <c r="F152" i="51"/>
  <c r="W151" i="51"/>
  <c r="V151" i="51"/>
  <c r="T151" i="51"/>
  <c r="P151" i="51"/>
  <c r="O151" i="51"/>
  <c r="W150" i="51"/>
  <c r="V150" i="51"/>
  <c r="T150" i="51"/>
  <c r="P150" i="51"/>
  <c r="O150" i="51"/>
  <c r="F150" i="51"/>
  <c r="W149" i="51"/>
  <c r="V149" i="51"/>
  <c r="T149" i="51"/>
  <c r="P149" i="51"/>
  <c r="O149" i="51"/>
  <c r="W148" i="51"/>
  <c r="V148" i="51"/>
  <c r="T148" i="51"/>
  <c r="P148" i="51"/>
  <c r="W147" i="51"/>
  <c r="V147" i="51"/>
  <c r="T147" i="51"/>
  <c r="P147" i="51"/>
  <c r="O147" i="51"/>
  <c r="W146" i="51"/>
  <c r="V146" i="51"/>
  <c r="T146" i="51"/>
  <c r="P146" i="51"/>
  <c r="O146" i="51"/>
  <c r="W145" i="51"/>
  <c r="V145" i="51"/>
  <c r="T145" i="51"/>
  <c r="P145" i="51"/>
  <c r="O145" i="51"/>
  <c r="W144" i="51"/>
  <c r="V144" i="51"/>
  <c r="T144" i="51"/>
  <c r="P144" i="51"/>
  <c r="O144" i="51"/>
  <c r="W143" i="51"/>
  <c r="V143" i="51"/>
  <c r="T143" i="51"/>
  <c r="P143" i="51"/>
  <c r="O143" i="51"/>
  <c r="W142" i="51"/>
  <c r="V142" i="51"/>
  <c r="T142" i="51"/>
  <c r="P142" i="51"/>
  <c r="O142" i="51"/>
  <c r="W141" i="51"/>
  <c r="V141" i="51"/>
  <c r="T141" i="51"/>
  <c r="P141" i="51"/>
  <c r="O141" i="51"/>
  <c r="W140" i="51"/>
  <c r="V140" i="51"/>
  <c r="T140" i="51"/>
  <c r="P140" i="51"/>
  <c r="O140" i="51"/>
  <c r="W139" i="51"/>
  <c r="V139" i="51"/>
  <c r="T139" i="51"/>
  <c r="P139" i="51"/>
  <c r="O139" i="51"/>
  <c r="W138" i="51"/>
  <c r="V138" i="51"/>
  <c r="T138" i="51"/>
  <c r="P138" i="51"/>
  <c r="O138" i="51"/>
  <c r="W137" i="51"/>
  <c r="V137" i="51"/>
  <c r="T137" i="51"/>
  <c r="P137" i="51"/>
  <c r="O137" i="51"/>
  <c r="W136" i="51"/>
  <c r="V136" i="51"/>
  <c r="T136" i="51"/>
  <c r="P136" i="51"/>
  <c r="O136" i="51"/>
  <c r="W135" i="51"/>
  <c r="V135" i="51"/>
  <c r="T135" i="51"/>
  <c r="P135" i="51"/>
  <c r="O135" i="51"/>
  <c r="W134" i="51"/>
  <c r="V134" i="51"/>
  <c r="T134" i="51"/>
  <c r="P134" i="51"/>
  <c r="O134" i="51"/>
  <c r="W128" i="51"/>
  <c r="V128" i="51"/>
  <c r="T128" i="51"/>
  <c r="P128" i="51"/>
  <c r="O128" i="51"/>
  <c r="F128" i="51"/>
  <c r="W127" i="51"/>
  <c r="V127" i="51"/>
  <c r="T127" i="51"/>
  <c r="P127" i="51"/>
  <c r="O127" i="51"/>
  <c r="W126" i="51"/>
  <c r="V126" i="51"/>
  <c r="T126" i="51"/>
  <c r="P126" i="51"/>
  <c r="O126" i="51"/>
  <c r="W125" i="51"/>
  <c r="V125" i="51"/>
  <c r="T125" i="51"/>
  <c r="P125" i="51"/>
  <c r="O125" i="51"/>
  <c r="W124" i="51"/>
  <c r="V124" i="51"/>
  <c r="T124" i="51"/>
  <c r="P124" i="51"/>
  <c r="O124" i="51"/>
  <c r="W123" i="51"/>
  <c r="V123" i="51"/>
  <c r="T123" i="51"/>
  <c r="P123" i="51"/>
  <c r="W122" i="51"/>
  <c r="V122" i="51"/>
  <c r="T122" i="51"/>
  <c r="P122" i="51"/>
  <c r="O122" i="51"/>
  <c r="W121" i="51"/>
  <c r="V121" i="51"/>
  <c r="T121" i="51"/>
  <c r="P121" i="51"/>
  <c r="O121" i="51"/>
  <c r="W120" i="51"/>
  <c r="V120" i="51"/>
  <c r="T120" i="51"/>
  <c r="P120" i="51"/>
  <c r="O120" i="51"/>
  <c r="W119" i="51"/>
  <c r="V119" i="51"/>
  <c r="T119" i="51"/>
  <c r="P119" i="51"/>
  <c r="O119" i="51"/>
  <c r="W118" i="51"/>
  <c r="V118" i="51"/>
  <c r="T118" i="51"/>
  <c r="P118" i="51"/>
  <c r="O118" i="51"/>
  <c r="W117" i="51"/>
  <c r="V117" i="51"/>
  <c r="T117" i="51"/>
  <c r="P117" i="51"/>
  <c r="O117" i="51"/>
  <c r="W116" i="51"/>
  <c r="V116" i="51"/>
  <c r="T116" i="51"/>
  <c r="P116" i="51"/>
  <c r="O116" i="51"/>
  <c r="W115" i="51"/>
  <c r="V115" i="51"/>
  <c r="T115" i="51"/>
  <c r="P115" i="51"/>
  <c r="O115" i="51"/>
  <c r="W114" i="51"/>
  <c r="V114" i="51"/>
  <c r="T114" i="51"/>
  <c r="P114" i="51"/>
  <c r="O114" i="51"/>
  <c r="W113" i="51"/>
  <c r="V113" i="51"/>
  <c r="T113" i="51"/>
  <c r="P113" i="51"/>
  <c r="O113" i="51"/>
  <c r="W112" i="51"/>
  <c r="V112" i="51"/>
  <c r="T112" i="51"/>
  <c r="P112" i="51"/>
  <c r="O112" i="51"/>
  <c r="W111" i="51"/>
  <c r="V111" i="51"/>
  <c r="T111" i="51"/>
  <c r="P111" i="51"/>
  <c r="W110" i="51"/>
  <c r="V110" i="51"/>
  <c r="T110" i="51"/>
  <c r="P110" i="51"/>
  <c r="O110" i="51"/>
  <c r="W109" i="51"/>
  <c r="V109" i="51"/>
  <c r="T109" i="51"/>
  <c r="P109" i="51"/>
  <c r="O109" i="51"/>
  <c r="W108" i="51"/>
  <c r="V108" i="51"/>
  <c r="T108" i="51"/>
  <c r="P108" i="51"/>
  <c r="O108" i="51"/>
  <c r="W107" i="51"/>
  <c r="V107" i="51"/>
  <c r="T107" i="51"/>
  <c r="P107" i="51"/>
  <c r="O107" i="51"/>
  <c r="W106" i="51"/>
  <c r="V106" i="51"/>
  <c r="T106" i="51"/>
  <c r="P106" i="51"/>
  <c r="O106" i="51"/>
  <c r="W105" i="51"/>
  <c r="V105" i="51"/>
  <c r="T105" i="51"/>
  <c r="P105" i="51"/>
  <c r="O105" i="51"/>
  <c r="W104" i="51"/>
  <c r="V104" i="51"/>
  <c r="T104" i="51"/>
  <c r="P104" i="51"/>
  <c r="O104" i="51"/>
  <c r="W103" i="51"/>
  <c r="V103" i="51"/>
  <c r="T103" i="51"/>
  <c r="P103" i="51"/>
  <c r="O103" i="51"/>
  <c r="Q446" i="51" l="1"/>
  <c r="R446" i="51"/>
  <c r="R128" i="51"/>
  <c r="Q128" i="51"/>
  <c r="R157" i="51"/>
  <c r="Q157" i="51"/>
  <c r="R426" i="51"/>
  <c r="Q426" i="51"/>
  <c r="R442" i="51"/>
  <c r="Q442" i="51"/>
  <c r="R460" i="51"/>
  <c r="Q460" i="51"/>
  <c r="Q380" i="51"/>
  <c r="R380" i="51"/>
  <c r="Q163" i="51"/>
  <c r="R163" i="51"/>
  <c r="R340" i="51"/>
  <c r="Q340" i="51"/>
  <c r="Q150" i="51"/>
  <c r="R150" i="51"/>
  <c r="Q160" i="51"/>
  <c r="R160" i="51"/>
  <c r="R441" i="51"/>
  <c r="Q441" i="51"/>
  <c r="R461" i="51"/>
  <c r="Q461" i="51"/>
  <c r="R213" i="51"/>
  <c r="Q213" i="51"/>
  <c r="R152" i="51"/>
  <c r="Q152" i="51"/>
  <c r="O99" i="51"/>
  <c r="W98" i="51"/>
  <c r="V98" i="51"/>
  <c r="T98" i="51"/>
  <c r="P98" i="51"/>
  <c r="O98" i="51"/>
  <c r="W97" i="51"/>
  <c r="V97" i="51"/>
  <c r="T97" i="51"/>
  <c r="P97" i="51"/>
  <c r="O97" i="51"/>
  <c r="W96" i="51"/>
  <c r="V96" i="51"/>
  <c r="T96" i="51"/>
  <c r="P96" i="51"/>
  <c r="O96" i="51"/>
  <c r="W95" i="51"/>
  <c r="V95" i="51"/>
  <c r="T95" i="51"/>
  <c r="P95" i="51"/>
  <c r="O95" i="51"/>
  <c r="W94" i="51"/>
  <c r="V94" i="51"/>
  <c r="T94" i="51"/>
  <c r="P94" i="51"/>
  <c r="O94" i="51"/>
  <c r="W93" i="51"/>
  <c r="V93" i="51"/>
  <c r="T93" i="51"/>
  <c r="P93" i="51"/>
  <c r="O93" i="51"/>
  <c r="W92" i="51"/>
  <c r="V92" i="51"/>
  <c r="T92" i="51"/>
  <c r="P92" i="51"/>
  <c r="O92" i="51"/>
  <c r="W91" i="51"/>
  <c r="V91" i="51"/>
  <c r="T91" i="51"/>
  <c r="P91" i="51"/>
  <c r="W90" i="51"/>
  <c r="V90" i="51"/>
  <c r="T90" i="51"/>
  <c r="P90" i="51"/>
  <c r="O90" i="51"/>
  <c r="W89" i="51"/>
  <c r="V89" i="51"/>
  <c r="T89" i="51"/>
  <c r="P89" i="51"/>
  <c r="O89" i="51"/>
  <c r="W88" i="51"/>
  <c r="V88" i="51"/>
  <c r="T88" i="51"/>
  <c r="P88" i="51"/>
  <c r="O88" i="51"/>
  <c r="W87" i="51"/>
  <c r="V87" i="51"/>
  <c r="T87" i="51"/>
  <c r="P87" i="51"/>
  <c r="O87" i="51"/>
  <c r="W86" i="51"/>
  <c r="V86" i="51"/>
  <c r="T86" i="51"/>
  <c r="P86" i="51"/>
  <c r="O86" i="51"/>
  <c r="W85" i="51"/>
  <c r="V85" i="51"/>
  <c r="T85" i="51"/>
  <c r="P85" i="51"/>
  <c r="O85" i="51"/>
  <c r="W84" i="51"/>
  <c r="V84" i="51"/>
  <c r="T84" i="51"/>
  <c r="P84" i="51"/>
  <c r="O84" i="51"/>
  <c r="W83" i="51"/>
  <c r="V83" i="51"/>
  <c r="T83" i="51"/>
  <c r="P83" i="51"/>
  <c r="O83" i="51"/>
  <c r="W82" i="51"/>
  <c r="V82" i="51"/>
  <c r="T82" i="51"/>
  <c r="P82" i="51"/>
  <c r="O82" i="51"/>
  <c r="W81" i="51"/>
  <c r="V81" i="51"/>
  <c r="T81" i="51"/>
  <c r="P81" i="51"/>
  <c r="O81" i="51"/>
  <c r="W80" i="51"/>
  <c r="V80" i="51"/>
  <c r="T80" i="51"/>
  <c r="P80" i="51"/>
  <c r="O80" i="51"/>
  <c r="W79" i="51"/>
  <c r="V79" i="51"/>
  <c r="T79" i="51"/>
  <c r="P79" i="51"/>
  <c r="O79" i="51"/>
  <c r="W78" i="51"/>
  <c r="V78" i="51"/>
  <c r="T78" i="51"/>
  <c r="P78" i="51"/>
  <c r="O78" i="51"/>
  <c r="W77" i="51"/>
  <c r="V77" i="51"/>
  <c r="T77" i="51"/>
  <c r="P77" i="51"/>
  <c r="O77" i="51"/>
  <c r="W76" i="51"/>
  <c r="V76" i="51"/>
  <c r="T76" i="51"/>
  <c r="P76" i="51"/>
  <c r="O76" i="51"/>
  <c r="W75" i="51"/>
  <c r="V75" i="51"/>
  <c r="T75" i="51"/>
  <c r="P75" i="51"/>
  <c r="O75" i="51"/>
  <c r="W74" i="51"/>
  <c r="V74" i="51"/>
  <c r="T74" i="51"/>
  <c r="P74" i="51"/>
  <c r="O74" i="51"/>
  <c r="W73" i="51"/>
  <c r="V73" i="51"/>
  <c r="T73" i="51"/>
  <c r="P73" i="51"/>
  <c r="O73" i="51"/>
  <c r="W72" i="51"/>
  <c r="V72" i="51"/>
  <c r="T72" i="51"/>
  <c r="P72" i="51"/>
  <c r="O72" i="51"/>
  <c r="W71" i="51"/>
  <c r="V71" i="51"/>
  <c r="T71" i="51"/>
  <c r="P71" i="51"/>
  <c r="O71" i="51"/>
  <c r="W70" i="51"/>
  <c r="V70" i="51"/>
  <c r="T70" i="51"/>
  <c r="P70" i="51"/>
  <c r="O70" i="51"/>
  <c r="W69" i="51"/>
  <c r="V69" i="51"/>
  <c r="T69" i="51"/>
  <c r="P69" i="51"/>
  <c r="O69" i="51"/>
  <c r="W68" i="51"/>
  <c r="V68" i="51"/>
  <c r="T68" i="51"/>
  <c r="P68" i="51"/>
  <c r="O68" i="51"/>
  <c r="W67" i="51"/>
  <c r="V67" i="51"/>
  <c r="T67" i="51"/>
  <c r="P67" i="51"/>
  <c r="O67" i="51"/>
  <c r="W66" i="51"/>
  <c r="V66" i="51"/>
  <c r="T66" i="51"/>
  <c r="P66" i="51"/>
  <c r="O66" i="51"/>
  <c r="W65" i="51"/>
  <c r="V65" i="51"/>
  <c r="T65" i="51"/>
  <c r="P65" i="51"/>
  <c r="O65" i="51"/>
  <c r="W64" i="51"/>
  <c r="V64" i="51"/>
  <c r="T64" i="51"/>
  <c r="P64" i="51"/>
  <c r="O64" i="51"/>
  <c r="W63" i="51"/>
  <c r="V63" i="51"/>
  <c r="T63" i="51"/>
  <c r="P63" i="51"/>
  <c r="O63" i="51"/>
  <c r="W62" i="51"/>
  <c r="V62" i="51"/>
  <c r="T62" i="51"/>
  <c r="P62" i="51"/>
  <c r="O62" i="51"/>
  <c r="W61" i="51"/>
  <c r="V61" i="51"/>
  <c r="T61" i="51"/>
  <c r="P61" i="51"/>
  <c r="O61" i="51"/>
  <c r="W60" i="51"/>
  <c r="V60" i="51"/>
  <c r="T60" i="51"/>
  <c r="P60" i="51"/>
  <c r="O60" i="51"/>
  <c r="W59" i="51"/>
  <c r="V59" i="51"/>
  <c r="T59" i="51"/>
  <c r="P59" i="51"/>
  <c r="O59" i="51"/>
  <c r="W58" i="51"/>
  <c r="V58" i="51"/>
  <c r="T58" i="51"/>
  <c r="P58" i="51"/>
  <c r="W57" i="51"/>
  <c r="V57" i="51"/>
  <c r="T57" i="51"/>
  <c r="P57" i="51"/>
  <c r="O57" i="51"/>
  <c r="W56" i="51"/>
  <c r="V56" i="51"/>
  <c r="T56" i="51"/>
  <c r="P56" i="51"/>
  <c r="O56" i="51"/>
  <c r="W55" i="51"/>
  <c r="V55" i="51"/>
  <c r="T55" i="51"/>
  <c r="P55" i="51"/>
  <c r="O55" i="51"/>
  <c r="W45" i="51"/>
  <c r="V45" i="51"/>
  <c r="T45" i="51"/>
  <c r="P45" i="51"/>
  <c r="O45" i="51"/>
  <c r="W44" i="51"/>
  <c r="V44" i="51"/>
  <c r="U44" i="51"/>
  <c r="T44" i="51"/>
  <c r="P44" i="51"/>
  <c r="O44" i="51"/>
  <c r="W43" i="51"/>
  <c r="V43" i="51"/>
  <c r="T43" i="51"/>
  <c r="P43" i="51"/>
  <c r="O43" i="51"/>
  <c r="W42" i="51"/>
  <c r="V42" i="51"/>
  <c r="T42" i="51"/>
  <c r="P42" i="51"/>
  <c r="O42" i="51"/>
  <c r="W41" i="51"/>
  <c r="V41" i="51"/>
  <c r="T41" i="51"/>
  <c r="P41" i="51"/>
  <c r="W40" i="51"/>
  <c r="V40" i="51"/>
  <c r="T40" i="51"/>
  <c r="P40" i="51"/>
  <c r="O40" i="51"/>
  <c r="W39" i="51"/>
  <c r="V39" i="51"/>
  <c r="T39" i="51"/>
  <c r="P39" i="51"/>
  <c r="O39" i="51"/>
  <c r="W38" i="51"/>
  <c r="V38" i="51"/>
  <c r="T38" i="51"/>
  <c r="P38" i="51"/>
  <c r="O38" i="51"/>
  <c r="E38" i="51"/>
  <c r="Q38" i="51" s="1"/>
  <c r="W37" i="51"/>
  <c r="V37" i="51"/>
  <c r="T37" i="51"/>
  <c r="P37" i="51"/>
  <c r="W36" i="51"/>
  <c r="V36" i="51"/>
  <c r="T36" i="51"/>
  <c r="P36" i="51"/>
  <c r="O36" i="51"/>
  <c r="W35" i="51"/>
  <c r="V35" i="51"/>
  <c r="T35" i="51"/>
  <c r="P35" i="51"/>
  <c r="O35" i="51"/>
  <c r="W34" i="51"/>
  <c r="V34" i="51"/>
  <c r="T34" i="51"/>
  <c r="P34" i="51"/>
  <c r="O34" i="51"/>
  <c r="W33" i="51"/>
  <c r="V33" i="51"/>
  <c r="T33" i="51"/>
  <c r="P33" i="51"/>
  <c r="O33" i="51"/>
  <c r="W32" i="51"/>
  <c r="V32" i="51"/>
  <c r="T32" i="51"/>
  <c r="P32" i="51"/>
  <c r="O32" i="51"/>
  <c r="W31" i="51"/>
  <c r="V31" i="51"/>
  <c r="T31" i="51"/>
  <c r="P31" i="51"/>
  <c r="O31" i="51"/>
  <c r="W30" i="51"/>
  <c r="V30" i="51"/>
  <c r="T30" i="51"/>
  <c r="P30" i="51"/>
  <c r="O30" i="51"/>
  <c r="W29" i="51"/>
  <c r="V29" i="51"/>
  <c r="T29" i="51"/>
  <c r="P29" i="51"/>
  <c r="O29" i="51"/>
  <c r="W28" i="51"/>
  <c r="V28" i="51"/>
  <c r="T28" i="51"/>
  <c r="P28" i="51"/>
  <c r="O28" i="51"/>
  <c r="W27" i="51"/>
  <c r="V27" i="51"/>
  <c r="T27" i="51"/>
  <c r="P27" i="51"/>
  <c r="O27" i="51"/>
  <c r="W26" i="51"/>
  <c r="V26" i="51"/>
  <c r="T26" i="51"/>
  <c r="P26" i="51"/>
  <c r="O26" i="51"/>
  <c r="W25" i="51"/>
  <c r="V25" i="51"/>
  <c r="T25" i="51"/>
  <c r="P25" i="51"/>
  <c r="O25" i="51"/>
  <c r="W24" i="51"/>
  <c r="V24" i="51"/>
  <c r="T24" i="51"/>
  <c r="P24" i="51"/>
  <c r="O24" i="51"/>
  <c r="W22" i="51"/>
  <c r="V22" i="51"/>
  <c r="T22" i="51"/>
  <c r="P22" i="51"/>
  <c r="O22" i="51"/>
  <c r="W21" i="51"/>
  <c r="V21" i="51"/>
  <c r="T21" i="51"/>
  <c r="P21" i="51"/>
  <c r="O21" i="51"/>
  <c r="W20" i="51"/>
  <c r="V20" i="51"/>
  <c r="T20" i="51"/>
  <c r="P20" i="51"/>
  <c r="O20" i="51"/>
  <c r="W19" i="51"/>
  <c r="V19" i="51"/>
  <c r="T19" i="51"/>
  <c r="P19" i="51"/>
  <c r="O19" i="51"/>
  <c r="W18" i="51"/>
  <c r="V18" i="51"/>
  <c r="T18" i="51"/>
  <c r="P18" i="51"/>
  <c r="O18" i="51"/>
  <c r="W17" i="51"/>
  <c r="V17" i="51"/>
  <c r="T17" i="51"/>
  <c r="P17" i="51"/>
  <c r="O17" i="51"/>
  <c r="W15" i="51"/>
  <c r="V15" i="51"/>
  <c r="T15" i="51"/>
  <c r="P15" i="51"/>
  <c r="O15" i="51"/>
  <c r="W14" i="51"/>
  <c r="V14" i="51"/>
  <c r="T14" i="51"/>
  <c r="P14" i="51"/>
  <c r="O14" i="51"/>
  <c r="W13" i="51"/>
  <c r="V13" i="51"/>
  <c r="T13" i="51"/>
  <c r="P13" i="51"/>
  <c r="O13" i="51"/>
  <c r="W12" i="51"/>
  <c r="V12" i="51"/>
  <c r="T12" i="51"/>
  <c r="P12" i="51"/>
  <c r="O12" i="51"/>
  <c r="W11" i="51"/>
  <c r="V11" i="51"/>
  <c r="T11" i="51"/>
  <c r="P11" i="51"/>
  <c r="O11" i="51"/>
  <c r="W10" i="51"/>
  <c r="V10" i="51"/>
  <c r="T10" i="51"/>
  <c r="P10" i="51"/>
  <c r="O10" i="51"/>
  <c r="W9" i="51"/>
  <c r="V9" i="51"/>
  <c r="T9" i="51"/>
  <c r="P9" i="51"/>
  <c r="O9" i="51"/>
  <c r="W8" i="51"/>
  <c r="V8" i="51"/>
  <c r="T8" i="51"/>
  <c r="P8" i="51"/>
  <c r="O8" i="51"/>
  <c r="W7" i="51"/>
  <c r="V7" i="51"/>
  <c r="T7" i="51"/>
  <c r="P7" i="51"/>
  <c r="O7" i="51"/>
  <c r="M7" i="51"/>
  <c r="R90" i="51" l="1"/>
  <c r="Q90" i="51"/>
  <c r="R65" i="51"/>
  <c r="Q65" i="51"/>
  <c r="V8" i="50"/>
  <c r="Q8" i="50"/>
  <c r="P8" i="50"/>
  <c r="N8" i="50"/>
  <c r="F9" i="50"/>
  <c r="D9" i="50"/>
  <c r="E9" i="50"/>
</calcChain>
</file>

<file path=xl/sharedStrings.xml><?xml version="1.0" encoding="utf-8"?>
<sst xmlns="http://schemas.openxmlformats.org/spreadsheetml/2006/main" count="6669" uniqueCount="899">
  <si>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</si>
  <si>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</si>
  <si>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</si>
  <si>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</si>
  <si>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</si>
  <si>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</si>
  <si>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</si>
  <si>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</si>
  <si>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</si>
  <si>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</si>
  <si>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</si>
  <si>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</si>
  <si>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</si>
  <si>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</si>
  <si>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</si>
  <si>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</si>
  <si>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</si>
  <si>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</si>
  <si>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</si>
  <si>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</si>
  <si>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</si>
  <si>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</si>
  <si>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</si>
  <si>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</si>
  <si>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</si>
  <si>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</si>
  <si>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</si>
  <si>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</si>
  <si>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</si>
  <si>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</si>
  <si>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</si>
  <si>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</si>
  <si>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</si>
  <si>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</si>
  <si>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</si>
  <si>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</si>
  <si>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</si>
  <si>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</si>
  <si>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</si>
  <si>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</si>
  <si>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</si>
  <si>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</si>
  <si>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</si>
  <si>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</si>
  <si>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</si>
  <si>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</si>
  <si>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</si>
  <si>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</si>
  <si>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</si>
  <si>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</si>
  <si>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</si>
  <si>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</si>
  <si>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</si>
  <si>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</si>
  <si>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</si>
  <si>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</si>
  <si>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</si>
  <si>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</si>
  <si>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</si>
  <si>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</si>
  <si>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</si>
  <si>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</si>
  <si>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</si>
  <si>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</si>
  <si>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</si>
  <si>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</si>
  <si>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</si>
  <si>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</si>
  <si>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</si>
  <si>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</si>
  <si>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</si>
  <si>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</si>
  <si>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</si>
  <si>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</si>
  <si>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</si>
  <si>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</si>
  <si>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Generar espacios de diálogo y concertación de acuerdo a usos y costumbres de los Pueblos indígenas , previa solicitud de intervención.</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</si>
  <si>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</si>
  <si>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</si>
  <si>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</si>
  <si>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</si>
  <si>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</si>
  <si>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</si>
  <si>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</si>
  <si>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</si>
  <si>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</si>
  <si>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</si>
  <si>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</si>
  <si>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</si>
  <si>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</si>
  <si>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</si>
  <si>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</si>
  <si>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94131503;94131504;93121607;80101600;93141900;94132000;94131805;93141706</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</si>
  <si>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</si>
  <si>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</si>
  <si>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</si>
  <si>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</si>
  <si>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</si>
  <si>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</si>
  <si>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</si>
  <si>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</si>
  <si>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</si>
  <si>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</si>
  <si>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</si>
  <si>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</si>
  <si>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83121701;82101601;82111902</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</si>
  <si>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</si>
  <si>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</si>
  <si>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</si>
  <si>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</si>
  <si>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</si>
  <si>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</si>
  <si>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</si>
  <si>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</si>
  <si>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</si>
  <si>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</si>
  <si>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</si>
  <si>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</si>
  <si>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</si>
  <si>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</si>
  <si>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</si>
  <si>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</si>
  <si>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</si>
  <si>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 xml:space="preserve">A-02-02-01-003-005 </t>
  </si>
  <si>
    <t>82111903;82111901;82111902</t>
  </si>
  <si>
    <t>A-02-02-01-004-007</t>
  </si>
  <si>
    <t>SAF</t>
  </si>
  <si>
    <t>C-3799-1000-12</t>
  </si>
  <si>
    <t>sandra.galeano@mininterior.gov.co</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</si>
  <si>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</si>
  <si>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</si>
  <si>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</si>
  <si>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</si>
  <si>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</si>
  <si>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</si>
  <si>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</si>
  <si>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</si>
  <si>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</si>
  <si>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</si>
  <si>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</si>
  <si>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</si>
  <si>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</si>
  <si>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</si>
  <si>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</si>
  <si>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</si>
  <si>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</si>
  <si>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</si>
  <si>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</si>
  <si>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</si>
  <si>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</si>
  <si>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</si>
  <si>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</si>
  <si>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</si>
  <si>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</si>
  <si>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</si>
  <si>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</si>
  <si>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</si>
  <si>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</si>
  <si>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</si>
  <si>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</si>
  <si>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</si>
  <si>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</si>
  <si>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</si>
  <si>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</si>
  <si>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</si>
  <si>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</si>
  <si>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</si>
  <si>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</si>
  <si>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</si>
  <si>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</si>
  <si>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</si>
  <si>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</si>
  <si>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</si>
  <si>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</si>
  <si>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</si>
  <si>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</si>
  <si>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</si>
  <si>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</si>
  <si>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</si>
  <si>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</si>
  <si>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</si>
  <si>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</si>
  <si>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</si>
  <si>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</si>
  <si>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</si>
  <si>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</si>
  <si>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</si>
  <si>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</si>
  <si>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</si>
  <si>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</si>
  <si>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</si>
  <si>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</si>
  <si>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</si>
  <si>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</si>
  <si>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</si>
  <si>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</si>
  <si>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</si>
  <si>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</si>
  <si>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</si>
  <si>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</si>
  <si>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</si>
  <si>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</si>
  <si>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</si>
  <si>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</si>
  <si>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</si>
  <si>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</si>
  <si>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</si>
  <si>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</si>
  <si>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</si>
  <si>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</si>
  <si>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</si>
  <si>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</si>
  <si>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</si>
  <si>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</si>
  <si>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</si>
  <si>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</si>
  <si>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</si>
  <si>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</si>
  <si>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</si>
  <si>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</si>
  <si>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</si>
  <si>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</si>
  <si>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0</t>
  </si>
  <si>
    <t>80101509;81111503;81111504</t>
  </si>
  <si>
    <t>1</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</si>
  <si>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</si>
  <si>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</si>
  <si>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</si>
  <si>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</si>
  <si>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</si>
  <si>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</si>
  <si>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</si>
  <si>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84131500;84131600;84131503;84131506;84131512</t>
  </si>
  <si>
    <t>43233501;81112102</t>
  </si>
  <si>
    <t>76111501;90101700</t>
  </si>
  <si>
    <t>78181600;25171700;25171900;25172000</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</si>
  <si>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</si>
  <si>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</si>
  <si>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</si>
  <si>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DACNARP Aunar esfuerzos técnicos, administrativos y financieros con el fin de desarrollar las actividades y/o proyectos para la elaboraciòn de los documentos " planes de caracterizaciòn" de los territorios colectivos y ancestrales de las Comunidades &lt;negras, Afrocolombianas, Raizales y Palenqueras, en el marco de la Sentencias T-025 de 2004 y la orden 4 del auto 005 de 2019 de la Corte Constitucional.</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</si>
  <si>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</si>
  <si>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Desarrollar actividades encaminadas a la creacion del marco normativo y propuestas legislstivas que promuevan los derechos de las Comunidades Negras, Afrocolombianas, Raizales y Pâlenqueras</t>
  </si>
  <si>
    <t>DACNARP Desarrollar actividades encaminadas a la implementaciòn del acuerdo final, a travès de asistencia tènica en relaciòn con las leyes y normas que afecten a los pueblos ètnicos que participan de manera real y efectiva en la construcciòn y ajustes normativos.</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</si>
  <si>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</si>
  <si>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</si>
  <si>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financieros con el fin de desarrollar las actividades y/oproyectos orientados a dar cumplimiento al capìtulo ètrnico del acuerdo de paz y el desarrollo del fortalecimiento de la poblacion LGTBIQ*, mujere, adulto mayor y jòvenes de las Comunidades Negras, Afrocolombianas, Raizales y Palenqueras</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</si>
  <si>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</si>
  <si>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Aunar esfuerzos, tècnicos, Administrativos y financieros con las organizaciones de base del archipielago de San Andrès, Providencia y Santa Catalina, y el Raizal Council, con el fin de esarrollar actividades encaminadas al cumplimiento de la consulta previa del Estatuto Raizal y curul raizal en el marco del decreto 1211 de 2018.</t>
  </si>
  <si>
    <t xml:space="preserve">DACNARP Aunar esfuerzos, tècnicos, Administrativos y financieros para la realizaciòn de un diplomado dirigido a lìderes de consejos comunitarios y organizaciones de base en resoluciòn de conflictos, paz, derechos humanos y cultura democràtica </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</si>
  <si>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</si>
  <si>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</si>
  <si>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DACNARP Aunar esfuerzos técnicos, operativos, administrativos y financieros orientados al seguimiento y monitoreo de la ejecución de los proyectos priorizados para el fortalecimiento organizativo, y la garantía de derechos de las comunidades Negras, Afrodescendientes, Raizales y Palenqueras, y la gestión de las inversiones que apoyan la paz en Colombia.</t>
  </si>
  <si>
    <t xml:space="preserve">DACNARP Contratar la automatización de los procesos relacionados con el registro Público ünico de Comunidades Negras, Afrocolombianas, Raizales y Palenqueras, </t>
  </si>
  <si>
    <t>DACNARP Aunar esfuerzos, tècnicos, Administrativos y financieros con las organizaciones de base del archipielago de San Andrès, Providencia y Santa Catalina, y el Raizal Council, con el fin de desarrollar actividades encaminadas al cumplimiento de la consulta previa del Estatuto Raizal y curul raizal en el marco del decreto 1211 de 2018.</t>
  </si>
  <si>
    <t>DACNARP Desarrollar actividades con el fin de dar cumplimiento a lo estipulado en la sentencia T - 622 de 2018</t>
  </si>
  <si>
    <t>DACNARP Adelantar actividades encaminadas al diseño e implentaciòn del protocolo de anàlisis de riesgo individual de las Comunidades Negras en articulaciòn con la UNP y comisiòn VI y I del ENCP</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</si>
  <si>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</si>
  <si>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</si>
  <si>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</si>
  <si>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</si>
  <si>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</si>
  <si>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</si>
  <si>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</si>
  <si>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</si>
  <si>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</si>
  <si>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</si>
  <si>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</si>
  <si>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</si>
  <si>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</si>
  <si>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</si>
  <si>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</si>
  <si>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</si>
  <si>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</si>
  <si>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</si>
  <si>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</si>
  <si>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</si>
  <si>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</si>
  <si>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</si>
  <si>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</si>
  <si>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</si>
  <si>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</si>
  <si>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</si>
  <si>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</si>
  <si>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</si>
  <si>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</si>
  <si>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</si>
  <si>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</si>
  <si>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</si>
  <si>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C-3701-1000-35</t>
  </si>
  <si>
    <t>C-3701-1000-36</t>
  </si>
  <si>
    <t>C-3701-1000-37</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</si>
  <si>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</si>
  <si>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</si>
  <si>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</si>
  <si>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</si>
  <si>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</si>
  <si>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</si>
  <si>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82101800;82121500;82121800</t>
  </si>
  <si>
    <t>DAL Contratar la prestación de los servicios al Ministerio del Interior para la producción, impresión y distribución en sitio a nivel nacional del periódico de asuntos legislativos del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</si>
  <si>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</si>
  <si>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</si>
  <si>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</si>
  <si>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</si>
  <si>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</si>
  <si>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</si>
  <si>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</si>
  <si>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</si>
  <si>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</si>
  <si>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</si>
  <si>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</si>
  <si>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</si>
  <si>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</si>
  <si>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</si>
  <si>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</si>
  <si>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</si>
  <si>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</si>
  <si>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</si>
  <si>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</si>
  <si>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</si>
  <si>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</si>
  <si>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DAR Aunar esfuerzos técnicos y administrativos para Apoyar económicamente iniciativas sociales interreligiosas, que contengan proyectos de impacto social, ambiental , humanitario y de emprendimiento.</t>
  </si>
  <si>
    <t>DAR Aunar esfuerzos técnicos y administrativos para la Identificación de los programas y proyectos de las entidades religiosas y sus organizaciones en el alcance de los Objetivos de Desarrollo Sostenible. BIIR</t>
  </si>
  <si>
    <t xml:space="preserve">Divulgación y promoción del conocimiento de la normatividad el hecho y la cultura religiosa en Colombia </t>
  </si>
  <si>
    <t>DAR Aunar esfuerzos técnicos y administrativos para Construir los instrumentos de transmisión y profundización de Conocimiento en las entidades nacionales, territoriales y religiosas en materia de asuntos religiosos</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</si>
  <si>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</si>
  <si>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</si>
  <si>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</si>
  <si>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</si>
  <si>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DAR Aunar esfuerzos técnicos y administrativos para Fortalecer los procesos de coordinación, articulación y seguimiento interinstitucional , intersectorial y nación -territorio en los planes, instrumentos y procesos para la implementación la política de libertad religiosa y de cultos.</t>
  </si>
  <si>
    <t>Fortalecer el Programa Integral de Seguridad y Protección para Comunidades y Organizaciones en los Territorios</t>
  </si>
  <si>
    <t>Fortalecer e implementar la Política de Convivencia, Reconciliación, Tolerancia, y No Estigmatización.</t>
  </si>
  <si>
    <t>Diana Vitalia Vivas Perez</t>
  </si>
  <si>
    <t>93121700;93131503</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</si>
  <si>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</si>
  <si>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</si>
  <si>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</si>
  <si>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</si>
  <si>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</si>
  <si>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</si>
  <si>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</si>
  <si>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</si>
  <si>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</si>
  <si>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</si>
  <si>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</si>
  <si>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</si>
  <si>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</si>
  <si>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</si>
  <si>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</si>
  <si>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</si>
  <si>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</si>
  <si>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</si>
  <si>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DDPCAC Contratar la actualización de la APP URIEL, con el propósito de satisfacer las necesidades informativas y de gestión, garantizando el acceso y disponibilidad pública de la información</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</si>
  <si>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</si>
  <si>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</si>
  <si>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</si>
  <si>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86101705;82101802;82100000;82101600;82101802;93141500</t>
  </si>
  <si>
    <t>DDPCAC Aunar esfuerzos administrativos, técnicos y financieros para la realización de una estrategia de divulgación y difusión de la normativa electoral que incluya material pedagógico, encuentros con la ciudadanía y foros.</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</si>
  <si>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</si>
  <si>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</si>
  <si>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</si>
  <si>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</si>
  <si>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</si>
  <si>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</si>
  <si>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</si>
  <si>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</si>
  <si>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Contratar los servicios de preproducción, producción, postproducción y emisión de los productos audiovisuales que requiera la Dirección para la Democracia, la Participación Ciudadana y la Acción Comunal del Ministerio del Interior, para llevar a cabo los “Premios Colombia Participa 2023” en cumplimiento del artículo 101 de la Ley 1757 de 2015</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</si>
  <si>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</si>
  <si>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</si>
  <si>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DDPCAC Aunar esfuerzos técnicos, administrativos y financieros para apoyar a la Dirección para la Democracia, la Participación Ciudadana y la Acción Comunal en la consolidación de información, perfeccionamiento y difusión para la actualización de la normativa para la promoción de la participación ciudadana.</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</si>
  <si>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</si>
  <si>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</si>
  <si>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</si>
  <si>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</si>
  <si>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</si>
  <si>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</si>
  <si>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</si>
  <si>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</si>
  <si>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</si>
  <si>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</si>
  <si>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DDPCAC Contratar el desarrollo de las fases 1 -Análisis, diseño conceptual, levantamiento de requerimiento; fase 2 -Definición de la arquitectura e infraestructura tecnológica para la implementación; fase 3- Desarrollo e implementación, parametrización e implementación de módulos y la fase 4-Mejoras e implementación, parametrización e implementación de módulos del Sistema de Información del Grupo de Acción Comunal, con el propósito de satisfacer las necesidades informativas y de gestión, garantizando el acceso y disponibilidad pública de la información.</t>
  </si>
  <si>
    <t xml:space="preserve">DDPCAC Contratar el desarrollo de actividades  enfocadas al fortalecimiento de organismos de acción comunal en el marco de la Ley 2166 y  el decreto reglamentario 1501 de 2023.  </t>
  </si>
  <si>
    <t>DDPCAC Contratar los servicios de preproducción, producción, postproducción, emisión  y transmisión de los productos audiovisuales que requiera la Dirección para la Democracia, la Participación Ciudadana y la Acción Comunal del Ministerio del Interior, que permitan exaltar  y resaltar la gestrión adelantada por parte de los organismos de acción comunal</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</si>
  <si>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</si>
  <si>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</si>
  <si>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</si>
  <si>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lay 2166 de 2021.</t>
  </si>
  <si>
    <t>86101708;86111500;86111501;86111600;86111600;86111600</t>
  </si>
  <si>
    <t>DDPCAC Aunar esfuerzos técnicos, administrativos y financieros  para que los jóvenes, mujeres y dignatarios de las 
Organizaciones de Acción Comunal accedan a programas de Educación Superior.</t>
  </si>
  <si>
    <t>DDPCAC Aunar esfuerzos técnicos, administrativos y financieros para promover el liderazgo social  y fortalecimiento integral de mujeres y jóves ntegrantes de los organismos de acción comunal a nivel nacional en la vigencia 2024.</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</si>
  <si>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</si>
  <si>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</si>
  <si>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</si>
  <si>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DDPCAC Aunar esfuerzos técnicos, administrativos y financieros para el desarrollo de estrategias de investigación y gestión del conocimiento de las realidades territoriales de las comunidades campesinas que oriente la formulación e implementación de políticas públicas para su fortalecimiento.  </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</si>
  <si>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</si>
  <si>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</si>
  <si>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</si>
  <si>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</si>
  <si>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</si>
  <si>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</si>
  <si>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</si>
  <si>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</si>
  <si>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</si>
  <si>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</si>
  <si>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</si>
  <si>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</si>
  <si>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</si>
  <si>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</si>
  <si>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</si>
  <si>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</si>
  <si>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</si>
  <si>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</si>
  <si>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</si>
  <si>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</si>
  <si>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</si>
  <si>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</si>
  <si>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</si>
  <si>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</si>
  <si>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</si>
  <si>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</si>
  <si>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</si>
  <si>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</si>
  <si>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</si>
  <si>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</si>
  <si>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</si>
  <si>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</si>
  <si>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</si>
  <si>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</si>
  <si>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</si>
  <si>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</si>
  <si>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</si>
  <si>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</si>
  <si>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</si>
  <si>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</si>
  <si>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</si>
  <si>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</si>
  <si>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</si>
  <si>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</si>
  <si>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Contratación de servicios para el diseño, desarrollo y puesta en marcha de una nueva sede electrónica  en cumplimiento al anexo técnico dispuesto por la entidad.</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</si>
  <si>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</si>
  <si>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</si>
  <si>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</si>
  <si>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</si>
  <si>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</si>
  <si>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</si>
  <si>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</si>
  <si>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OIP. Prestar servicios para el desarrollo de buenas prácticas de desarrollo en el Ministerio del Interior  en cumplimiento al anexo técnico dispuesto por la entidad.</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</si>
  <si>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</si>
  <si>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</si>
  <si>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</si>
  <si>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</si>
  <si>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OIP. Prestar servicios para el monitoreo de noticias y actividad a  través redes sociales de los diferentes medios de comunicación nacional, regional y local (radio, prensa, televisión, revistas, redes sociales y portales de internet) reportando y emitiendo alertas en tiempo real sobre la información de noticias y eventos relacionados con la misionalidad y funciones del Ministerio del Interior. </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</si>
  <si>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</si>
  <si>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</si>
  <si>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</si>
  <si>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</si>
  <si>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</si>
  <si>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</si>
  <si>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</si>
  <si>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</si>
  <si>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</si>
  <si>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Sandra Marcela Galeano Cajica</t>
  </si>
  <si>
    <t>SAF: Adquisición e instalación de estantería metálica rodante y escritorios modulares para el Archivo central y correspondencia del ministerio del interior.</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</si>
  <si>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</si>
  <si>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</si>
  <si>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</si>
  <si>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Prestar los servicios archivísticos en la organización técnica de archivo y limpieza del Ministerio del Interior conforme a la normatividad vigente.</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</si>
  <si>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</si>
  <si>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</si>
  <si>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Compra de utiles de escritorio y derivados de carton para todas las dependencias del Ministerio del Interior</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</si>
  <si>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</si>
  <si>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</si>
  <si>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</si>
  <si>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Contratar el servicio de mantenimiento preventivo, recarga de extintores y adquisición de extintores de propiedad del Ministerio del Interior, bajo el Acuerdo Marco de Precios  para la adquisición de Elementos para la Atención, Prevención y Mitigación del Riesgo y de Emergencias.</t>
  </si>
  <si>
    <t>SAF: Sistema para Capturar Identificador de Inventario Integrado con el Sistema PCT Enterprise</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</si>
  <si>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</si>
  <si>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</si>
  <si>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</si>
  <si>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</si>
  <si>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</si>
  <si>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</si>
  <si>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</si>
  <si>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</si>
  <si>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</si>
  <si>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</si>
  <si>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</si>
  <si>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</si>
  <si>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</si>
  <si>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</si>
  <si>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</si>
  <si>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</si>
  <si>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</si>
  <si>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</si>
  <si>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</si>
  <si>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</si>
  <si>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</si>
  <si>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</si>
  <si>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</si>
  <si>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</si>
  <si>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</si>
  <si>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</si>
  <si>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</si>
  <si>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</si>
  <si>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</si>
  <si>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</si>
  <si>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SAF: Adquisición de consumibles de impresión para 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</si>
  <si>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</si>
  <si>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</si>
  <si>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</si>
  <si>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</si>
  <si>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</si>
  <si>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</si>
  <si>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</si>
  <si>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</si>
  <si>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</si>
  <si>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</si>
  <si>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</si>
  <si>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</si>
  <si>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</si>
  <si>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</si>
  <si>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</si>
  <si>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</si>
  <si>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</si>
  <si>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</si>
  <si>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</si>
  <si>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</si>
  <si>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</si>
  <si>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</si>
  <si>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</si>
  <si>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</si>
  <si>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</si>
  <si>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</si>
  <si>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</si>
  <si>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</si>
  <si>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</si>
  <si>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</si>
  <si>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SGH Adquirir dotación de vestuario de labor para los funcionarios del Ministerio del Interior, conforme a lo indicado en el acuerdo marco durante la vigencia 2024, en cumplimiento de la Ley 70 de 1988 y el Decreto 1978 de 1989.</t>
  </si>
  <si>
    <t>Luz Dary Velásquez Romero</t>
  </si>
  <si>
    <t>luz.velasquez@mininterior.gov.co</t>
  </si>
  <si>
    <t>SGH  Adquirir dotación de vestuario de labor para caballero  para los funcionarios del Ministerio del Interior, conforme a lo indicado en el acuerdo marco durante la vigencia 2023, en cumplimiento de la Ley 70 de 1988 y el Decreto 1978 de 1989.</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</si>
  <si>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</si>
  <si>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</si>
  <si>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Realizar la Intervención en el marco de los resultados obtenidos de la aplicación de la colaboradores del Ministerio del Interior, en Batería de Riesgo Psicosocial a todos los cumplimiento a la normativa vigente mediante evaluación de ambiente laboral y cultura de la innovación por medio de la metodologia Grace Place to Word</t>
  </si>
  <si>
    <t>SGH Adquirir elementos, insumos para la dotación de botiquines de las sedes del Ministerio</t>
  </si>
  <si>
    <t>SGH Adquirir elementos de oficina para confort ergonómico de los Contratistas del Ministerio del Interior, descansa pies, eleva pantallas y escaleras.</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</si>
  <si>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</si>
  <si>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</si>
  <si>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Realizar aplicación de batería para la evaluación de riesgo psicosocial laboral para los colaboradores del ministerio del interior durante la vigencia 2023 en cumplimiento de la normatividad vigente.</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</si>
  <si>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</si>
  <si>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</si>
  <si>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</si>
  <si>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</si>
  <si>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</si>
  <si>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</si>
  <si>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</si>
  <si>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</si>
  <si>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</si>
  <si>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</si>
  <si>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</si>
  <si>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</si>
  <si>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</si>
  <si>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</si>
  <si>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</si>
  <si>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</si>
  <si>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</si>
  <si>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</si>
  <si>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</si>
  <si>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</si>
  <si>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</si>
  <si>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</si>
  <si>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</si>
  <si>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</si>
  <si>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</si>
  <si>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</si>
  <si>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</si>
  <si>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VDG Implementar iniciativas comunitarias para el fortalecimiento Diálogo Social</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</si>
  <si>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</si>
  <si>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</si>
  <si>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</si>
  <si>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</si>
  <si>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</si>
  <si>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</si>
  <si>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</si>
  <si>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</si>
  <si>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</si>
  <si>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</si>
  <si>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</si>
  <si>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</si>
  <si>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</si>
  <si>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</si>
  <si>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</si>
  <si>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</si>
  <si>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</si>
  <si>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</si>
  <si>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</si>
  <si>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</si>
  <si>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</si>
  <si>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</si>
  <si>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</si>
  <si>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</si>
  <si>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</si>
  <si>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</si>
  <si>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</si>
  <si>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</si>
  <si>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</si>
  <si>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</si>
  <si>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</si>
  <si>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</si>
  <si>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</si>
  <si>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</si>
  <si>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</si>
  <si>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</si>
  <si>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</si>
  <si>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</si>
  <si>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</si>
  <si>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</si>
  <si>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</si>
  <si>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</si>
  <si>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</si>
  <si>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</si>
  <si>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</si>
  <si>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</si>
  <si>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</si>
  <si>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</si>
  <si>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</si>
  <si>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</si>
  <si>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</si>
  <si>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</si>
  <si>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</si>
  <si>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</si>
  <si>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</si>
  <si>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</si>
  <si>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</si>
  <si>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</si>
  <si>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</si>
  <si>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</si>
  <si>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</si>
  <si>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</si>
  <si>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</si>
  <si>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</si>
  <si>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</si>
  <si>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</si>
  <si>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</si>
  <si>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</si>
  <si>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</si>
  <si>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</si>
  <si>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</si>
  <si>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</si>
  <si>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</si>
  <si>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</si>
  <si>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</si>
  <si>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</si>
  <si>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</si>
  <si>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</si>
  <si>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</si>
  <si>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</si>
  <si>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</si>
  <si>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</si>
  <si>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</si>
  <si>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</si>
  <si>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</si>
  <si>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</si>
  <si>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</si>
  <si>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</si>
  <si>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</si>
  <si>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</si>
  <si>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</si>
  <si>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</si>
  <si>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</si>
  <si>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</si>
  <si>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</si>
  <si>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</si>
  <si>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</si>
  <si>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</si>
  <si>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</si>
  <si>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</si>
  <si>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</si>
  <si>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</si>
  <si>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</si>
  <si>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</si>
  <si>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</si>
  <si>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</si>
  <si>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</si>
  <si>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</si>
  <si>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</si>
  <si>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</si>
  <si>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</si>
  <si>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</si>
  <si>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</si>
  <si>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</si>
  <si>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</si>
  <si>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</si>
  <si>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</si>
  <si>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</si>
  <si>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</si>
  <si>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</si>
  <si>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</si>
  <si>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</si>
  <si>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</si>
  <si>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</si>
  <si>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</si>
  <si>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</si>
  <si>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</si>
  <si>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</si>
  <si>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</si>
  <si>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</si>
  <si>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</si>
  <si>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</si>
  <si>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</si>
  <si>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</si>
  <si>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</si>
  <si>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</si>
  <si>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</si>
  <si>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</si>
  <si>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</si>
  <si>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</si>
  <si>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</si>
  <si>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</si>
  <si>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</si>
  <si>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</si>
  <si>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</si>
  <si>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</si>
  <si>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</si>
  <si>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</si>
  <si>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</si>
  <si>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</si>
  <si>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</si>
  <si>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</si>
  <si>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</si>
  <si>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</si>
  <si>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</si>
  <si>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</si>
  <si>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</si>
  <si>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</si>
  <si>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</si>
  <si>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</si>
  <si>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</si>
  <si>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</si>
  <si>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</si>
  <si>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</si>
  <si>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</si>
  <si>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</si>
  <si>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</si>
  <si>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</si>
  <si>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</si>
  <si>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</si>
  <si>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</si>
  <si>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</si>
  <si>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</si>
  <si>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</si>
  <si>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</si>
  <si>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</si>
  <si>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</si>
  <si>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</si>
  <si>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</si>
  <si>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</si>
  <si>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</si>
  <si>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</si>
  <si>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</si>
  <si>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</si>
  <si>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</si>
  <si>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</si>
  <si>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</si>
  <si>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</si>
  <si>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</si>
  <si>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</si>
  <si>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</si>
  <si>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</si>
  <si>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</si>
  <si>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</si>
  <si>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</si>
  <si>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</si>
  <si>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</si>
  <si>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</si>
  <si>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</si>
  <si>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</si>
  <si>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</si>
  <si>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</si>
  <si>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</si>
  <si>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</si>
  <si>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</si>
  <si>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</si>
  <si>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</si>
  <si>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</si>
  <si>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</si>
  <si>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</si>
  <si>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</si>
  <si>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</si>
  <si>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</si>
  <si>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</si>
  <si>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</si>
  <si>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</si>
  <si>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</si>
  <si>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</si>
  <si>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</si>
  <si>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</si>
  <si>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</si>
  <si>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</si>
  <si>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</si>
  <si>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</si>
  <si>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</si>
  <si>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</si>
  <si>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</si>
  <si>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</si>
  <si>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</si>
  <si>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</si>
  <si>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</si>
  <si>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</si>
  <si>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</si>
  <si>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</si>
  <si>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</si>
  <si>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</si>
  <si>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Fortalecimiento de capacidades y habilidades de los grupos étnicos, ejecutores e institucionalidad interviniente para la participación en los procesos de consulta previa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</si>
  <si>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</si>
  <si>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</si>
  <si>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</si>
  <si>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</si>
  <si>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</si>
  <si>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</si>
  <si>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</si>
  <si>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</si>
  <si>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</si>
  <si>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</si>
  <si>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t>94131805;93141706;8
6141501</t>
  </si>
  <si>
    <t>81131504;80101602;80141501;81141606</t>
  </si>
  <si>
    <t>DACNARP Aunar esfuerzos, técnicos, administrativos y financieros con el
fin de construir la tabla de precios de reembolsos de gastos de
transporte terrestre, multimodal y garantías logísticas para los
diferentes espacios y reuniones donde participen los delegados
de las instancias representativas de las Comunidades Negras,
Afrocolombianas, Raizales y Palenqueras</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</si>
  <si>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</si>
  <si>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</si>
  <si>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DACNARP Aunar esfuerzos técnicos, operativos, administrativos y financieros orientados al fortalecimiento y desarrollo de algunas actividades requeridas para el cumplimiento de las ordenes (judiciales y administrativas) y compromisos adquiridos por el Ministerio del Interior con las Comunidades Negras, Afrocolombianas, Raizales y Palenqueras</t>
  </si>
  <si>
    <t>94131503;94131504;80101600;93141900;9413200;93141706</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</si>
  <si>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</si>
  <si>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</si>
  <si>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</si>
  <si>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</si>
  <si>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</si>
  <si>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</si>
  <si>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</si>
  <si>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</si>
  <si>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</si>
  <si>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</si>
  <si>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DAIRM - Aunar esfuerzos entre el ministerio del interior y asociación zenú de cabildos indígenas montemarianos -“AZCIMMO” para el apoyo en la elaboración del reglamento interno como instrumento de control social para el mejoramiento de la convivencia y la resolución de conflictos, y equipamiento de la guardia indígena de la asociación de cabildos indígenas montemarianos - AZCIMMO del municipio de ovejas en el departamento de sucre.</t>
  </si>
  <si>
    <t>43231513;43232201;43232312</t>
  </si>
  <si>
    <t>46171625;52161511;43191510;43233002</t>
  </si>
  <si>
    <t>94131503;94131504;93121607;80101600;93141900;94132000</t>
  </si>
  <si>
    <t>82121506;82101801;82121801</t>
  </si>
  <si>
    <t>C-3799-1000-01-53106</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</si>
  <si>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</si>
  <si>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</si>
  <si>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Contrato 2139 de 2022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</si>
  <si>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 Contratación de Servicios Profesionales, Asistenciales y Técnicos como apoyo a la gestión del Ministerio del Interior.</t>
  </si>
  <si>
    <t>CP 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</si>
  <si>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 Adquirir la creación del sistema de información para la administración y control administrativo para la Subdirección Coorporativa de la Dirección Nacional de Consulta Previa -DANCP</t>
  </si>
  <si>
    <t>CP Adquisición se impresoras, computadores y consumibles de impresión para el Ministerio del Interior</t>
  </si>
  <si>
    <t>CP Compra de Útiles de Escritorio y derivados del cartón para todas las Dependencias del Ministerio del Interior.</t>
  </si>
  <si>
    <t>CP Adquisición soporte y mantenimiento plataforma – BPM - Auraquantic en cumplimiento al anexo técnico dispuesto por la entidad.</t>
  </si>
  <si>
    <t>CP Adquisición de equipos tecnológicos, elementos, accesorios y periféricos para el ministerio del interior - Dirección de la Autoridad Nacional de Consulta Previa</t>
  </si>
  <si>
    <t>CP Contratar los servicios para el fortalecimiento de las capacidades y habilidades de los grupos etnicos en el derecho fundamental a la consulta previa</t>
  </si>
  <si>
    <t>CP Contratar los servicios para fortalecer los espacios de interlocucion y dialogo de los grupos etnicos para socializar los avances del derecho fundamental a la consulta previa.</t>
  </si>
  <si>
    <t>CP Adquisición de equipos de computo para  el Ministerio del Interior - Dirección Nacional de Consulta Previa -DANCP</t>
  </si>
  <si>
    <t>CP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</si>
  <si>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</si>
  <si>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 Contratar los servicios técnicos y administrativos para garantizar el diálogo genuino de la nueva política de drogas con enfoque de género diferencial y territorial para las comunidades indigenas Wayuu en el marco del proceso de consulta previa, en las fases de pre consulta y definición de impactos.</t>
  </si>
  <si>
    <t>CP Contratar los servicios técnicos y administrativos para garantizar el diálogo genuino de la nueva política de drogas con enfoque de género diferencial y territorial para las comunidades negras, afrocolombianas, raizales y palenqueras en el marco del proceso de consulta previa, en la fase de pre consulta.</t>
  </si>
  <si>
    <t>CP Contratar los servicios técnicos y administrativos para garantizar el diálogo genuino de la nueva política de drogas con enfoque de género diferencial y territorial para las comunidades Rrom en el marco del proceso de consulta previa.</t>
  </si>
  <si>
    <t>CP 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</si>
  <si>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 Contratar los servicios técnicos, academicos y administrativos, para adelantar el proceso de concertación social, para la construcción del protocolo de consulta previa con el pueblo wayuu.</t>
  </si>
  <si>
    <t>CP 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</si>
  <si>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 Prestación de servicios de actualización de las licencias del software de la herramienta ArcGIS para el Ministerio del Interior - Dirección Nacional de Consulta Previa -DANCP</t>
  </si>
  <si>
    <t>CP Suministro de combustible (gasolina corriente, gasolina extra y ACPM/Diésel) para los diferentes vehículos que conforman el parque automotor activo del Ministerio del Interior y los que le sean asignados por necesidades del servicio.</t>
  </si>
  <si>
    <t>CP El ARRENDADOR se compromete a dar en arrendamiento a la Dirección de la Autoridad de Consulta Previa, el bien inmueble localizado en la dirección acordada de la ciudad de Bogotá,  para el funcionamiento de la Dirección de la Autoridad Nacional de Consulta Previa.</t>
  </si>
  <si>
    <t>CP Contratar los servicios técnicos y administrativos para el desarrollo del cumplimiento de la Sentencia SU-121 de 2022 con los pueblos indígenas Arhuaco, kogui, Wiwa y Kankuamo de la Sierra Nevada de Santa Marta - FASE 1"</t>
  </si>
  <si>
    <t>CP Contratar los servicios técnicos y administrativos de capacitación y formación en los temas relacionados con el derecho fundamental a la consulta previa y el diseño e implementación de cursos digitales de este derecho constitucional.</t>
  </si>
  <si>
    <t>CP Realización de Exámenes Médicos Ocupacionales Periódicos, Exámenes Médicos de Ingreso y Exámenes Médicos de Retiro, para los funcionarios del Ministerio del Interior para el año 2024, de acuerdo al profesiograma de la entidad</t>
  </si>
  <si>
    <t>CP Prestar los servicios de mantenimiento y soporte a distancia y bolsa de horas de consultoría del sistema de información de recursos humanos KACTUS-HCM- para el Ministerio del Interior en cumplimiento al anexo técnico dispuesto por la entidad.</t>
  </si>
  <si>
    <t>CP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</si>
  <si>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DAIRM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</si>
  <si>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</si>
  <si>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Contratación de servicios profesionales, asistenciales y técnicos como apoyo a la gestión del ministerio del interior.</t>
  </si>
  <si>
    <t>DAIRM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</si>
  <si>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Suscribir un Convenio, para la Formulación e implementación de proyectos productivos para el  pueblo Nukak Maku.</t>
  </si>
  <si>
    <t xml:space="preserve">DAIRM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</si>
  <si>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Suscribir un Convenio, para el cumplimiento de los acuerdos con el Consejo Regional Indigenas del Cauca - CRIC</t>
  </si>
  <si>
    <t>DAIRM  Suscribir un Convenio, para el cumplimiento de los acuerdos con el Pueblo de Pastos y Quillasingas</t>
  </si>
  <si>
    <t>DAIRM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</si>
  <si>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DAIRM  Aunar esfuerzos entre el Ministerio del Interior a través de la Dirección de Asuntos Indígenas, ROM y Minorías y el Resguardo Indígena de la María, para llevar a cabo el Encuentro Regional e intercultural enfocado hacia el fortalecimiento del gobierno propio para la pervivencia de los pueblos, Misak, Nasa y Quillasingas del municipio de Piendamó del departamento de Cauca</t>
  </si>
  <si>
    <t>DAIRM  Aunar esfuerzos entre el instituto
de educación técnica INESUR y el
ministerio del interior para la formación e
implementación de una estrategia
educativa en las zonas focalizadas de los
departamentos de Nariño y guajira para el
fortalecimiento de las comunidades
indígenas en sus territorios</t>
  </si>
  <si>
    <t>DAIRM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t>
  </si>
  <si>
    <t>DDH Contratación de Servicios Profesionales, Asistenciales y Técnicos como apoyo a la gestión del Ministerio del Interior.</t>
  </si>
  <si>
    <t>DDH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</si>
  <si>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Suministrar el transporte aereo en vuelos nacionales e internacionales para funcionarios contratistas del ministerio del interior  y funcionarios de la Policia Nacional que prestan sus servicios de proteccion y seguridad en el Ministerio del Interior</t>
  </si>
  <si>
    <t>DDH Realizar diplomados de 120 horas académicas en una institución de educación superior acreditada en alta calidad con presencia nacional, para fomentar la generación de conocimiento en materia de derechos humanos y seguridad humana a través del fortalecimiento de las capacidades de líderes, lideresas, defensores y defensoras de derechos humanos en todo el territorio nacional, promoviendo mecanismos y herramientas para salvaguardar los derechos de la población, el derecho internacional humanitario, la construcción de paz total, la implementación integral del acuerdo de paz, la justicia transicional, la atención integral a víctimas y garantías de no repetición</t>
  </si>
  <si>
    <t>DDH Prestar servicios a la Dirección de Derechos Humanos del Ministerio del Interior en el diseño e impresión de documentos para el desarrollo de acciones, iniciativas y políticas dentro de su marco de trabajo.</t>
  </si>
  <si>
    <t>DDH Prestar servicios de consultoría técnica para implementar estrategias de derechos humanos con enfoque de género y fortalecer políticas públicas para prevenir violaciones a los derechos humanos y garantizar el respeto a la labor de defensa de los mismos</t>
  </si>
  <si>
    <t>DDH Aunar esfuerzos técnicos, operativos, administrativos y financieros orientados a la ejecución de recursos destinados para el Banco de Proyectos para las comunidades, en la verificación y seguimiento a la líneas de acción vinculadas mediante las cuales se busca promover el respeto y garantía de los derechos humanos y el derecho internacional humanitario, así como fortalecer las garantías para el ejercicio del liderazgo social y defensa de los derechos humanos mediante un plan estratégico, el seguimiento al cumplimiento de las ordenes derivadas de la sentencia t-025 de 2004, el programa de Lideresas, Defensores y el Programa de Protección Justicia y Paz, la gestión preventiva del riesgo y el fortalecimiento a la gestión de los cementerios como acción de apoyo al proceso de búsqueda de personas desaparecidas en Colombia, conforme a los compromisos establecidos en el PND “Colombia, Potencia Mundial de la Vida".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</si>
  <si>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</si>
  <si>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Suscripcion de contrato o convenio interadministrativo para la implementación de estrategias y diseños metodologicos en materia de derechos humanos</t>
  </si>
  <si>
    <t>DDH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</si>
  <si>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DDH Contratar los servicios de central de publicaciones para el desarrollo de acciones, iniciativas y políticas de la Dirección de Derechos Humanos del Ministerio del Interior</t>
  </si>
  <si>
    <t>DDH Adquisición de un sistema de infraestructura hiperconvergente (HCI), en cumplimiento de las especificaciones técnicas determinadas en el anexo dispuesto por la Entidad</t>
  </si>
  <si>
    <t>GITEP Contratar los servicios profesionales y de apoyo  para realizar la debida ejecución y seguimiento al proyecto "MEJORAMIENTO DE LA EFECTIVIDAD DE LOS PROGRAMAS E INICIATIVAS DE CONSTRUCCIÓN DE PAZ LIDERADAS POR EL MINISTERIO DEL INTERIOR A NIVEL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</si>
</sst>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quot;$&quot;\ #,##0.00"/>
    <numFmt numFmtId="166" formatCode="_-&quot;$&quot;* #,##0_-;\-&quot;$&quot;* #,##0_-;_-&quot;$&quot;* &quot;-&quot;_-;_-@_-"/>
    <numFmt numFmtId="167" formatCode="_-\$* #,##0_-;&quot;-$&quot;* #,##0_-;_-\$* \-_-;_-@_-"/>
    <numFmt numFmtId="168" formatCode="_(&quot;$ &quot;* #,##0_);_(&quot;$ &quot;* \(#,##0\);_(&quot;$ &quot;* \-_);_(@_)"/>
    <numFmt numFmtId="169" formatCode="_-&quot;$&quot;* #,##0.00_-;\-&quot;$&quot;* #,##0.00_-;_-&quot;$&quot;* &quot;-&quot;??_-;_-@_-"/>
    <numFmt numFmtId="170" formatCode="&quot;$&quot;#,##0"/>
    <numFmt numFmtId="171" formatCode="0_ ;\-0\ "/>
    <numFmt numFmtId="172" formatCode="&quot;$&quot;#,##0;\-&quot;$&quot;#,##0"/>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4"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7" fontId="11" fillId="0" borderId="0" applyBorder="0" applyProtection="0"/>
    <xf numFmtId="168" fontId="11" fillId="0" borderId="0" applyBorder="0" applyProtection="0"/>
    <xf numFmtId="166" fontId="1" fillId="0" borderId="0" applyFont="0" applyFill="0" applyBorder="0" applyAlignment="0" applyProtection="0"/>
    <xf numFmtId="0" fontId="16" fillId="5" borderId="0" applyBorder="0" applyProtection="0"/>
    <xf numFmtId="49" fontId="12" fillId="0" borderId="0">
      <alignment horizontal="left" vertical="center"/>
    </xf>
    <xf numFmtId="166"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317">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72"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0"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1"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0" fontId="4" fillId="0" borderId="25" xfId="8" applyNumberFormat="1" applyFont="1" applyFill="1" applyBorder="1" applyAlignment="1">
      <alignment horizontal="center" vertical="center" wrapText="1"/>
    </xf>
    <xf numFmtId="170"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25"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13" fillId="0" borderId="35" xfId="0" applyFont="1" applyBorder="1" applyAlignment="1">
      <alignment horizontal="center"/>
    </xf>
    <xf numFmtId="0" fontId="13" fillId="0" borderId="25" xfId="0" applyFont="1" applyBorder="1" applyAlignment="1">
      <alignment horizontal="center"/>
    </xf>
    <xf numFmtId="0" fontId="13" fillId="0" borderId="25" xfId="33" applyFont="1" applyBorder="1" applyAlignment="1">
      <alignment horizontal="left" vertical="center"/>
    </xf>
    <xf numFmtId="3" fontId="13" fillId="0" borderId="25" xfId="33" applyNumberFormat="1" applyFont="1" applyBorder="1" applyAlignment="1">
      <alignment horizontal="right" vertical="center"/>
    </xf>
    <xf numFmtId="1" fontId="13" fillId="0" borderId="25" xfId="33" applyNumberFormat="1" applyFont="1" applyBorder="1" applyAlignment="1">
      <alignment horizontal="left" vertical="center"/>
    </xf>
    <xf numFmtId="3" fontId="13" fillId="0" borderId="25" xfId="33" applyNumberFormat="1" applyFont="1" applyBorder="1" applyAlignment="1">
      <alignment horizontal="left" vertical="center"/>
    </xf>
    <xf numFmtId="3" fontId="13" fillId="0" borderId="25" xfId="33" applyNumberFormat="1" applyFont="1" applyBorder="1" applyAlignment="1">
      <alignment horizontal="center" vertical="center"/>
    </xf>
    <xf numFmtId="49" fontId="13" fillId="0" borderId="25" xfId="2" applyFont="1" applyBorder="1" applyAlignment="1">
      <alignment horizontal="center" vertical="center"/>
    </xf>
    <xf numFmtId="0" fontId="13" fillId="0" borderId="25" xfId="2" applyNumberFormat="1" applyFont="1" applyBorder="1" applyAlignment="1">
      <alignment horizontal="center" vertical="center"/>
    </xf>
    <xf numFmtId="0" fontId="13" fillId="0" borderId="25" xfId="0" applyFont="1" applyBorder="1" applyAlignment="1" applyProtection="1">
      <alignment horizontal="center"/>
      <protection locked="0"/>
    </xf>
    <xf numFmtId="0" fontId="13" fillId="0" borderId="25" xfId="0" applyFont="1" applyBorder="1" applyAlignment="1">
      <alignment vertical="center" wrapText="1"/>
    </xf>
    <xf numFmtId="0" fontId="13" fillId="0" borderId="25" xfId="0" applyFont="1" applyBorder="1" applyAlignment="1">
      <alignment horizontal="center" vertical="center" wrapText="1"/>
    </xf>
    <xf numFmtId="3" fontId="13" fillId="0" borderId="25" xfId="2" applyNumberFormat="1" applyFont="1" applyBorder="1" applyAlignment="1" applyProtection="1">
      <alignment horizontal="right" vertical="center"/>
      <protection locked="0"/>
    </xf>
    <xf numFmtId="49" fontId="13" fillId="0" borderId="25" xfId="2" applyFont="1" applyBorder="1" applyAlignment="1" applyProtection="1">
      <alignment horizontal="center" vertical="center"/>
      <protection locked="0"/>
    </xf>
    <xf numFmtId="0" fontId="13" fillId="0" borderId="25" xfId="0" applyFont="1" applyBorder="1"/>
    <xf numFmtId="0" fontId="13" fillId="0" borderId="25" xfId="0" applyFont="1" applyBorder="1" applyAlignment="1">
      <alignment horizontal="left"/>
    </xf>
    <xf numFmtId="0" fontId="13" fillId="0" borderId="25" xfId="0" applyFont="1" applyBorder="1" applyAlignment="1" applyProtection="1">
      <alignment horizontal="center" vertical="center" wrapText="1"/>
      <protection locked="0"/>
    </xf>
    <xf numFmtId="0" fontId="13" fillId="0" borderId="36" xfId="0" applyFont="1" applyBorder="1" applyAlignment="1">
      <alignment horizontal="left"/>
    </xf>
    <xf numFmtId="0" fontId="13" fillId="0" borderId="0" xfId="2" applyNumberFormat="1" applyFont="1" applyAlignment="1">
      <alignment horizontal="center" vertical="center"/>
    </xf>
    <xf numFmtId="0" fontId="13" fillId="0" borderId="25" xfId="0" applyFont="1" applyBorder="1" applyAlignment="1" applyProtection="1">
      <alignment horizontal="center"/>
      <protection hidden="1"/>
    </xf>
    <xf numFmtId="0" fontId="13" fillId="0" borderId="25" xfId="34" applyFont="1" applyBorder="1" applyAlignment="1" applyProtection="1">
      <alignment horizontal="center"/>
      <protection hidden="1"/>
    </xf>
    <xf numFmtId="0" fontId="13" fillId="0" borderId="0" xfId="0" applyFont="1" applyProtection="1">
      <protection hidden="1"/>
    </xf>
    <xf numFmtId="0" fontId="13" fillId="0" borderId="0" xfId="0" applyFont="1" applyAlignment="1" applyProtection="1">
      <alignment horizontal="center" vertical="center" wrapText="1"/>
      <protection locked="0"/>
    </xf>
    <xf numFmtId="0" fontId="13" fillId="0" borderId="25" xfId="0" applyFont="1" applyBorder="1" applyAlignment="1" applyProtection="1">
      <alignment horizontal="left" vertical="center" wrapText="1"/>
      <protection locked="0"/>
    </xf>
    <xf numFmtId="3" fontId="13" fillId="0" borderId="25" xfId="0" applyNumberFormat="1" applyFont="1" applyBorder="1" applyAlignment="1" applyProtection="1">
      <alignment horizontal="right" vertical="center" wrapText="1"/>
      <protection locked="0"/>
    </xf>
    <xf numFmtId="3" fontId="13" fillId="0" borderId="0" xfId="34" applyNumberFormat="1" applyFont="1" applyAlignment="1" applyProtection="1">
      <alignment horizontal="right"/>
      <protection hidden="1"/>
    </xf>
    <xf numFmtId="0" fontId="37" fillId="0" borderId="36" xfId="0" applyFont="1" applyBorder="1" applyAlignment="1" applyProtection="1">
      <alignment horizontal="left" vertical="center" wrapText="1"/>
      <protection locked="0"/>
    </xf>
    <xf numFmtId="0" fontId="13" fillId="0" borderId="43" xfId="33" applyFont="1" applyBorder="1" applyAlignment="1">
      <alignment horizontal="left" vertical="center"/>
    </xf>
    <xf numFmtId="0" fontId="13" fillId="0" borderId="43" xfId="0" applyFont="1" applyBorder="1" applyAlignment="1" applyProtection="1">
      <alignment horizontal="center" vertical="center" wrapText="1"/>
      <protection locked="0"/>
    </xf>
    <xf numFmtId="0" fontId="13" fillId="0" borderId="0" xfId="0" applyFont="1" applyAlignment="1" applyProtection="1">
      <alignment horizontal="center"/>
      <protection hidden="1"/>
    </xf>
    <xf numFmtId="1" fontId="13" fillId="0" borderId="46" xfId="34" applyNumberFormat="1" applyFont="1" applyBorder="1" applyAlignment="1" applyProtection="1">
      <alignment horizontal="left" vertical="center" wrapText="1"/>
      <protection hidden="1"/>
    </xf>
    <xf numFmtId="3" fontId="13" fillId="0" borderId="25" xfId="33" applyNumberFormat="1" applyFont="1" applyBorder="1" applyAlignment="1">
      <alignment horizontal="left" vertical="center" wrapText="1"/>
    </xf>
    <xf numFmtId="3" fontId="13" fillId="0" borderId="25" xfId="2" applyNumberFormat="1" applyFont="1" applyBorder="1" applyProtection="1">
      <alignment horizontal="left" vertical="center"/>
      <protection locked="0"/>
    </xf>
    <xf numFmtId="3" fontId="13" fillId="0" borderId="25" xfId="2" applyNumberFormat="1" applyFont="1" applyBorder="1" applyAlignment="1" applyProtection="1">
      <alignment horizontal="center" vertical="center"/>
      <protection locked="0"/>
    </xf>
    <xf numFmtId="0" fontId="13" fillId="0" borderId="0" xfId="0" applyFont="1" applyAlignment="1">
      <alignment horizontal="center"/>
    </xf>
    <xf numFmtId="171" fontId="13" fillId="0" borderId="25" xfId="0" applyNumberFormat="1"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174" fontId="13" fillId="0" borderId="25" xfId="0" applyNumberFormat="1" applyFont="1" applyBorder="1" applyAlignment="1" applyProtection="1">
      <alignment horizontal="center" vertical="center"/>
      <protection locked="0"/>
    </xf>
    <xf numFmtId="0" fontId="38" fillId="0" borderId="43" xfId="0" applyFont="1" applyBorder="1" applyAlignment="1">
      <alignment horizontal="left" vertical="center"/>
    </xf>
    <xf numFmtId="0" fontId="13" fillId="0" borderId="25" xfId="0" applyFont="1" applyBorder="1" applyAlignment="1">
      <alignment horizontal="center" vertical="center"/>
    </xf>
    <xf numFmtId="1" fontId="13" fillId="0" borderId="25" xfId="0" applyNumberFormat="1" applyFont="1" applyBorder="1" applyAlignment="1" applyProtection="1">
      <alignment horizontal="left" vertical="center"/>
      <protection hidden="1"/>
    </xf>
    <xf numFmtId="1" fontId="13" fillId="0" borderId="25" xfId="0" applyNumberFormat="1" applyFont="1" applyBorder="1" applyAlignment="1" applyProtection="1">
      <alignment horizontal="center" vertical="center"/>
      <protection hidden="1"/>
    </xf>
    <xf numFmtId="1" fontId="13" fillId="0" borderId="25" xfId="0" applyNumberFormat="1" applyFont="1" applyBorder="1" applyAlignment="1" applyProtection="1">
      <alignment horizontal="center" vertical="center"/>
      <protection locked="0"/>
    </xf>
    <xf numFmtId="0" fontId="13" fillId="0" borderId="25" xfId="0" applyFont="1" applyBorder="1" applyAlignment="1" applyProtection="1">
      <alignment horizontal="center" vertical="center"/>
      <protection hidden="1"/>
    </xf>
    <xf numFmtId="0" fontId="13" fillId="0" borderId="25" xfId="0" applyFont="1" applyBorder="1" applyAlignment="1" applyProtection="1">
      <alignment horizontal="left" vertical="center"/>
      <protection hidden="1"/>
    </xf>
    <xf numFmtId="0" fontId="13" fillId="0" borderId="25" xfId="0" applyFont="1" applyBorder="1" applyAlignment="1">
      <alignment horizontal="left" vertical="center"/>
    </xf>
    <xf numFmtId="0" fontId="13" fillId="0" borderId="47" xfId="0" applyFont="1" applyBorder="1" applyAlignment="1">
      <alignment horizontal="center"/>
    </xf>
    <xf numFmtId="0" fontId="13" fillId="0" borderId="47" xfId="33" applyFont="1" applyBorder="1" applyAlignment="1">
      <alignment horizontal="left" vertical="center"/>
    </xf>
    <xf numFmtId="3" fontId="13" fillId="0" borderId="47" xfId="33" applyNumberFormat="1" applyFont="1" applyBorder="1" applyAlignment="1">
      <alignment horizontal="right" vertical="center"/>
    </xf>
    <xf numFmtId="3" fontId="13" fillId="0" borderId="47" xfId="33" applyNumberFormat="1" applyFont="1" applyBorder="1" applyAlignment="1">
      <alignment horizontal="left" vertical="center"/>
    </xf>
    <xf numFmtId="0" fontId="13" fillId="0" borderId="47" xfId="2" applyNumberFormat="1" applyFont="1" applyBorder="1" applyAlignment="1">
      <alignment horizontal="center" vertical="center"/>
    </xf>
    <xf numFmtId="0" fontId="13" fillId="0" borderId="47" xfId="0" applyFont="1" applyBorder="1" applyAlignment="1" applyProtection="1">
      <alignment horizontal="center"/>
      <protection locked="0"/>
    </xf>
    <xf numFmtId="0" fontId="13" fillId="0" borderId="47" xfId="0" applyFont="1" applyBorder="1" applyAlignment="1">
      <alignment horizontal="center" vertical="center" wrapText="1"/>
    </xf>
    <xf numFmtId="3" fontId="13" fillId="0" borderId="47" xfId="2" applyNumberFormat="1" applyFont="1" applyBorder="1" applyProtection="1">
      <alignment horizontal="left" vertical="center"/>
      <protection locked="0"/>
    </xf>
    <xf numFmtId="3" fontId="13" fillId="0" borderId="47" xfId="2" applyNumberFormat="1" applyFont="1" applyBorder="1" applyAlignment="1" applyProtection="1">
      <alignment horizontal="center" vertical="center"/>
      <protection locked="0"/>
    </xf>
    <xf numFmtId="0" fontId="13" fillId="0" borderId="47" xfId="0" applyFont="1" applyBorder="1"/>
    <xf numFmtId="3" fontId="13" fillId="0" borderId="43" xfId="33" applyNumberFormat="1" applyFont="1" applyBorder="1" applyAlignment="1">
      <alignment horizontal="left" vertical="center"/>
    </xf>
    <xf numFmtId="0" fontId="13" fillId="0" borderId="37" xfId="0" applyFont="1" applyBorder="1" applyAlignment="1">
      <alignment horizontal="center"/>
    </xf>
    <xf numFmtId="0" fontId="13" fillId="0" borderId="38" xfId="0" applyFont="1" applyBorder="1" applyAlignment="1">
      <alignment horizontal="center"/>
    </xf>
    <xf numFmtId="0" fontId="13" fillId="0" borderId="38" xfId="33" applyFont="1" applyBorder="1" applyAlignment="1">
      <alignment horizontal="left" vertical="center"/>
    </xf>
    <xf numFmtId="3" fontId="13" fillId="0" borderId="38" xfId="33" applyNumberFormat="1" applyFont="1" applyBorder="1" applyAlignment="1">
      <alignment horizontal="right" vertical="center"/>
    </xf>
    <xf numFmtId="1" fontId="13" fillId="0" borderId="15" xfId="33" applyNumberFormat="1" applyFont="1" applyBorder="1" applyAlignment="1">
      <alignment horizontal="left" vertical="center"/>
    </xf>
    <xf numFmtId="3" fontId="13" fillId="0" borderId="15" xfId="33" applyNumberFormat="1" applyFont="1" applyBorder="1" applyAlignment="1">
      <alignment horizontal="left" vertical="center"/>
    </xf>
    <xf numFmtId="0" fontId="13" fillId="0" borderId="15" xfId="0" applyFont="1" applyBorder="1" applyAlignment="1" applyProtection="1">
      <alignment horizontal="center"/>
      <protection hidden="1"/>
    </xf>
    <xf numFmtId="0" fontId="13" fillId="0" borderId="15" xfId="0" applyFont="1" applyBorder="1" applyAlignment="1">
      <alignment horizontal="center"/>
    </xf>
    <xf numFmtId="0" fontId="13" fillId="0" borderId="15" xfId="0" applyFont="1" applyBorder="1" applyAlignment="1" applyProtection="1">
      <alignment horizontal="center"/>
      <protection locked="0"/>
    </xf>
    <xf numFmtId="0" fontId="13" fillId="0" borderId="38" xfId="0" applyFont="1" applyBorder="1" applyAlignment="1">
      <alignment horizontal="center" vertical="center" wrapText="1"/>
    </xf>
    <xf numFmtId="49" fontId="13" fillId="0" borderId="38" xfId="2" applyFont="1" applyBorder="1" applyAlignment="1" applyProtection="1">
      <alignment horizontal="center" vertical="center"/>
      <protection locked="0"/>
    </xf>
    <xf numFmtId="0" fontId="13" fillId="0" borderId="38" xfId="0" applyFont="1" applyBorder="1" applyAlignment="1" applyProtection="1">
      <alignment horizontal="center"/>
      <protection locked="0"/>
    </xf>
    <xf numFmtId="0" fontId="13" fillId="0" borderId="38" xfId="0" applyFont="1" applyBorder="1"/>
    <xf numFmtId="0" fontId="13" fillId="0" borderId="38" xfId="0" applyFont="1" applyBorder="1" applyAlignment="1">
      <alignment horizontal="left"/>
    </xf>
    <xf numFmtId="0" fontId="13" fillId="0" borderId="39" xfId="0" applyFont="1" applyBorder="1" applyAlignment="1">
      <alignment horizontal="left"/>
    </xf>
    <xf numFmtId="1" fontId="13" fillId="0" borderId="25" xfId="33" applyNumberFormat="1" applyFont="1" applyBorder="1" applyAlignment="1">
      <alignment horizontal="left" vertical="center" wrapText="1"/>
    </xf>
    <xf numFmtId="0" fontId="13" fillId="0" borderId="43" xfId="0" applyFont="1" applyBorder="1" applyAlignment="1">
      <alignment horizontal="left" vertical="center" wrapText="1"/>
    </xf>
    <xf numFmtId="0" fontId="13" fillId="0" borderId="44" xfId="0" applyFont="1" applyBorder="1" applyAlignment="1">
      <alignment horizontal="center"/>
    </xf>
    <xf numFmtId="0" fontId="13" fillId="0" borderId="40" xfId="0" applyFont="1" applyBorder="1" applyAlignment="1">
      <alignment horizontal="center"/>
    </xf>
    <xf numFmtId="0" fontId="13" fillId="0" borderId="40" xfId="33" applyFont="1" applyBorder="1" applyAlignment="1">
      <alignment horizontal="left" vertical="center"/>
    </xf>
    <xf numFmtId="3" fontId="13" fillId="0" borderId="40" xfId="33" applyNumberFormat="1" applyFont="1" applyBorder="1" applyAlignment="1">
      <alignment horizontal="right" vertical="center"/>
    </xf>
    <xf numFmtId="1" fontId="13" fillId="0" borderId="40" xfId="33" applyNumberFormat="1" applyFont="1" applyBorder="1" applyAlignment="1">
      <alignment horizontal="left" vertical="center"/>
    </xf>
    <xf numFmtId="3" fontId="13" fillId="0" borderId="40" xfId="33" applyNumberFormat="1" applyFont="1" applyBorder="1" applyAlignment="1">
      <alignment horizontal="left" vertical="center"/>
    </xf>
    <xf numFmtId="0" fontId="13" fillId="0" borderId="40" xfId="0" applyFont="1" applyBorder="1" applyAlignment="1" applyProtection="1">
      <alignment horizontal="center"/>
      <protection hidden="1"/>
    </xf>
    <xf numFmtId="0" fontId="13" fillId="0" borderId="40" xfId="0" applyFont="1" applyBorder="1" applyAlignment="1" applyProtection="1">
      <alignment horizontal="center"/>
      <protection locked="0"/>
    </xf>
    <xf numFmtId="0" fontId="13" fillId="0" borderId="40" xfId="0" applyFont="1" applyBorder="1" applyAlignment="1">
      <alignment vertical="center" wrapText="1"/>
    </xf>
    <xf numFmtId="0" fontId="13" fillId="0" borderId="40" xfId="0" applyFont="1" applyBorder="1" applyAlignment="1">
      <alignment horizontal="center" vertical="center" wrapText="1"/>
    </xf>
    <xf numFmtId="3" fontId="13" fillId="0" borderId="40" xfId="2" applyNumberFormat="1" applyFont="1" applyBorder="1" applyAlignment="1" applyProtection="1">
      <alignment horizontal="right" vertical="center"/>
      <protection locked="0"/>
    </xf>
    <xf numFmtId="49" fontId="13" fillId="0" borderId="40" xfId="2" applyFont="1" applyBorder="1" applyAlignment="1" applyProtection="1">
      <alignment horizontal="center" vertical="center"/>
      <protection locked="0"/>
    </xf>
    <xf numFmtId="0" fontId="13" fillId="0" borderId="40" xfId="0" applyFont="1" applyBorder="1"/>
    <xf numFmtId="0" fontId="13" fillId="0" borderId="40" xfId="0" applyFont="1" applyBorder="1" applyAlignment="1">
      <alignment horizontal="left"/>
    </xf>
    <xf numFmtId="0" fontId="13" fillId="0" borderId="40" xfId="0" applyFont="1" applyBorder="1" applyAlignment="1" applyProtection="1">
      <alignment horizontal="center" vertical="center" wrapText="1"/>
      <protection locked="0"/>
    </xf>
    <xf numFmtId="0" fontId="13" fillId="0" borderId="45" xfId="0" applyFont="1" applyBorder="1" applyAlignment="1">
      <alignment horizontal="left"/>
    </xf>
    <xf numFmtId="0" fontId="13" fillId="0" borderId="43" xfId="0" applyFont="1" applyBorder="1" applyAlignment="1">
      <alignment horizontal="center"/>
    </xf>
    <xf numFmtId="3" fontId="13" fillId="0" borderId="43" xfId="33" applyNumberFormat="1" applyFont="1" applyBorder="1" applyAlignment="1">
      <alignment horizontal="right" vertical="center"/>
    </xf>
    <xf numFmtId="1" fontId="13" fillId="0" borderId="43" xfId="33" applyNumberFormat="1" applyFont="1" applyBorder="1" applyAlignment="1">
      <alignment horizontal="left" vertical="center"/>
    </xf>
    <xf numFmtId="0" fontId="13" fillId="0" borderId="43" xfId="0" applyFont="1" applyBorder="1" applyAlignment="1" applyProtection="1">
      <alignment horizontal="center"/>
      <protection hidden="1"/>
    </xf>
    <xf numFmtId="0" fontId="13" fillId="0" borderId="43" xfId="0" applyFont="1" applyBorder="1" applyAlignment="1" applyProtection="1">
      <alignment horizontal="center"/>
      <protection locked="0"/>
    </xf>
    <xf numFmtId="0" fontId="13" fillId="0" borderId="43" xfId="0" applyFont="1" applyBorder="1" applyAlignment="1">
      <alignment vertical="center" wrapText="1"/>
    </xf>
    <xf numFmtId="0" fontId="13" fillId="0" borderId="43" xfId="0" applyFont="1" applyBorder="1" applyAlignment="1">
      <alignment horizontal="center" vertical="center" wrapText="1"/>
    </xf>
    <xf numFmtId="3" fontId="13" fillId="0" borderId="43" xfId="2" applyNumberFormat="1" applyFont="1" applyBorder="1" applyAlignment="1" applyProtection="1">
      <alignment horizontal="right" vertical="center"/>
      <protection locked="0"/>
    </xf>
    <xf numFmtId="49" fontId="13" fillId="0" borderId="43" xfId="2" applyFont="1" applyBorder="1" applyAlignment="1" applyProtection="1">
      <alignment horizontal="center" vertical="center"/>
      <protection locked="0"/>
    </xf>
    <xf numFmtId="0" fontId="13" fillId="0" borderId="43" xfId="0" applyFont="1" applyBorder="1"/>
    <xf numFmtId="0" fontId="13" fillId="0" borderId="43" xfId="0" applyFont="1" applyBorder="1" applyAlignment="1">
      <alignment horizontal="left"/>
    </xf>
    <xf numFmtId="3" fontId="13" fillId="0" borderId="43" xfId="33" applyNumberFormat="1" applyFont="1" applyBorder="1" applyAlignment="1">
      <alignment horizontal="left" vertical="center" wrapText="1"/>
    </xf>
    <xf numFmtId="0" fontId="13" fillId="0" borderId="15" xfId="33" applyFont="1" applyBorder="1" applyAlignment="1">
      <alignment horizontal="left" vertical="center"/>
    </xf>
    <xf numFmtId="0" fontId="13" fillId="0" borderId="0" xfId="34" applyFont="1" applyAlignment="1" applyProtection="1">
      <alignment horizontal="left"/>
      <protection hidden="1"/>
    </xf>
    <xf numFmtId="3" fontId="13" fillId="0" borderId="15" xfId="33" applyNumberFormat="1" applyFont="1" applyBorder="1" applyAlignment="1">
      <alignment horizontal="right" vertical="center"/>
    </xf>
    <xf numFmtId="3" fontId="13" fillId="0" borderId="15" xfId="33" applyNumberFormat="1" applyFont="1" applyBorder="1" applyAlignment="1">
      <alignment horizontal="left" vertical="center" wrapText="1"/>
    </xf>
    <xf numFmtId="0" fontId="13" fillId="0" borderId="15" xfId="0" applyFont="1" applyBorder="1" applyAlignment="1">
      <alignment vertical="center" wrapText="1"/>
    </xf>
    <xf numFmtId="0" fontId="13" fillId="0" borderId="15" xfId="0" applyFont="1" applyBorder="1" applyAlignment="1">
      <alignment horizontal="center" vertical="center" wrapText="1"/>
    </xf>
    <xf numFmtId="3" fontId="13" fillId="0" borderId="15" xfId="2" applyNumberFormat="1" applyFont="1" applyBorder="1" applyAlignment="1" applyProtection="1">
      <alignment horizontal="right" vertical="center"/>
      <protection locked="0"/>
    </xf>
    <xf numFmtId="49" fontId="13" fillId="0" borderId="15" xfId="2" applyFont="1" applyBorder="1" applyAlignment="1" applyProtection="1">
      <alignment horizontal="center" vertical="center"/>
      <protection locked="0"/>
    </xf>
    <xf numFmtId="0" fontId="13" fillId="0" borderId="15" xfId="0" applyFont="1" applyBorder="1"/>
    <xf numFmtId="0" fontId="13" fillId="0" borderId="15" xfId="0" applyFont="1" applyBorder="1" applyAlignment="1">
      <alignment horizontal="left"/>
    </xf>
    <xf numFmtId="171" fontId="13" fillId="0" borderId="25" xfId="0" applyNumberFormat="1" applyFont="1" applyBorder="1" applyAlignment="1" applyProtection="1">
      <alignment horizontal="center" vertical="center" wrapText="1"/>
      <protection locked="0"/>
    </xf>
    <xf numFmtId="0" fontId="13" fillId="0" borderId="25" xfId="0" applyFont="1" applyBorder="1" applyAlignment="1" applyProtection="1">
      <alignment horizontal="justify" vertical="center" wrapText="1"/>
      <protection locked="0"/>
    </xf>
    <xf numFmtId="1" fontId="13" fillId="0" borderId="25" xfId="0" applyNumberFormat="1" applyFont="1" applyBorder="1" applyAlignment="1" applyProtection="1">
      <alignment horizontal="center" vertical="center" wrapText="1"/>
      <protection hidden="1"/>
    </xf>
    <xf numFmtId="1" fontId="13" fillId="0" borderId="25" xfId="0" applyNumberFormat="1" applyFont="1" applyBorder="1" applyAlignment="1" applyProtection="1">
      <alignment horizontal="center" vertical="center" wrapText="1"/>
      <protection locked="0"/>
    </xf>
    <xf numFmtId="0" fontId="37" fillId="0" borderId="25" xfId="0" applyFont="1" applyBorder="1" applyAlignment="1" applyProtection="1">
      <alignment horizontal="left" vertical="center" wrapText="1"/>
      <protection locked="0"/>
    </xf>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171" fontId="13" fillId="0" borderId="35" xfId="0" applyNumberFormat="1" applyFont="1" applyBorder="1" applyAlignment="1" applyProtection="1">
      <alignment horizontal="center" vertical="center" wrapText="1"/>
      <protection locked="0"/>
    </xf>
    <xf numFmtId="0" fontId="13" fillId="0" borderId="41" xfId="0" applyFont="1" applyBorder="1" applyProtection="1">
      <protection hidden="1"/>
    </xf>
    <xf numFmtId="1" fontId="13" fillId="0" borderId="25" xfId="0" applyNumberFormat="1" applyFont="1" applyBorder="1" applyAlignment="1" applyProtection="1">
      <alignment horizontal="left" vertical="center" wrapText="1"/>
      <protection hidden="1"/>
    </xf>
    <xf numFmtId="174" fontId="13" fillId="0" borderId="25" xfId="0" applyNumberFormat="1" applyFont="1" applyBorder="1" applyAlignment="1" applyProtection="1">
      <alignment horizontal="center" vertical="center" wrapText="1"/>
      <protection locked="0"/>
    </xf>
    <xf numFmtId="0" fontId="13" fillId="0" borderId="25" xfId="0" applyFont="1" applyBorder="1" applyAlignment="1" applyProtection="1">
      <alignment vertical="center" wrapText="1"/>
      <protection locked="0"/>
    </xf>
    <xf numFmtId="0" fontId="13" fillId="0" borderId="25" xfId="2" applyNumberFormat="1" applyFont="1" applyBorder="1" applyAlignment="1" applyProtection="1">
      <alignment horizontal="center" vertical="center"/>
      <protection locked="0"/>
    </xf>
    <xf numFmtId="0" fontId="13" fillId="0" borderId="47" xfId="0" applyFont="1" applyBorder="1" applyAlignment="1" applyProtection="1">
      <alignment horizontal="center" vertical="center" wrapText="1"/>
      <protection locked="0"/>
    </xf>
    <xf numFmtId="0" fontId="13" fillId="0" borderId="47" xfId="0" applyFont="1" applyBorder="1" applyAlignment="1" applyProtection="1">
      <alignment wrapText="1"/>
      <protection locked="0"/>
    </xf>
    <xf numFmtId="0" fontId="13" fillId="0" borderId="47" xfId="0" applyFont="1" applyBorder="1" applyAlignment="1" applyProtection="1">
      <alignment horizontal="justify" vertical="center" wrapText="1"/>
      <protection locked="0"/>
    </xf>
    <xf numFmtId="0" fontId="13" fillId="0" borderId="0" xfId="0" applyFont="1" applyProtection="1">
      <protection locked="0"/>
    </xf>
    <xf numFmtId="0" fontId="13" fillId="0" borderId="47" xfId="0" applyFont="1" applyBorder="1" applyAlignment="1" applyProtection="1">
      <alignment vertical="center" wrapText="1"/>
      <protection locked="0"/>
    </xf>
    <xf numFmtId="0" fontId="13" fillId="0" borderId="47" xfId="0" applyFont="1" applyBorder="1" applyAlignment="1" applyProtection="1">
      <alignment horizontal="center"/>
      <protection locked="0" hidden="1"/>
    </xf>
    <xf numFmtId="0" fontId="13" fillId="0" borderId="0" xfId="0" applyFont="1" applyAlignment="1" applyProtection="1">
      <alignment vertical="center" wrapText="1"/>
      <protection hidden="1"/>
    </xf>
    <xf numFmtId="1" fontId="13" fillId="0" borderId="47" xfId="33" applyNumberFormat="1" applyFont="1" applyBorder="1" applyAlignment="1">
      <alignment horizontal="left" vertical="center"/>
    </xf>
    <xf numFmtId="0" fontId="13" fillId="0" borderId="47" xfId="0" applyFont="1" applyBorder="1" applyAlignment="1" applyProtection="1">
      <alignment horizontal="left" vertical="center" wrapText="1"/>
      <protection locked="0"/>
    </xf>
    <xf numFmtId="171" fontId="13" fillId="0" borderId="47" xfId="0" applyNumberFormat="1" applyFont="1" applyBorder="1" applyAlignment="1" applyProtection="1">
      <alignment horizontal="center" vertical="center" wrapText="1"/>
      <protection locked="0"/>
    </xf>
    <xf numFmtId="3" fontId="13" fillId="0" borderId="47" xfId="0" applyNumberFormat="1" applyFont="1" applyBorder="1" applyAlignment="1" applyProtection="1">
      <alignment horizontal="right" vertical="center" wrapText="1"/>
      <protection locked="0"/>
    </xf>
    <xf numFmtId="0" fontId="13" fillId="0" borderId="47" xfId="0" applyFont="1" applyBorder="1" applyAlignment="1">
      <alignment vertical="center" wrapText="1"/>
    </xf>
    <xf numFmtId="1" fontId="13" fillId="0" borderId="47" xfId="0" applyNumberFormat="1" applyFont="1" applyBorder="1" applyAlignment="1" applyProtection="1">
      <alignment horizontal="center" vertical="center" wrapText="1"/>
      <protection hidden="1"/>
    </xf>
    <xf numFmtId="3" fontId="13" fillId="0" borderId="47" xfId="2" applyNumberFormat="1" applyFont="1" applyBorder="1" applyAlignment="1" applyProtection="1">
      <alignment horizontal="right" vertical="center"/>
      <protection locked="0"/>
    </xf>
    <xf numFmtId="1" fontId="13" fillId="0" borderId="47" xfId="0" applyNumberFormat="1" applyFont="1" applyBorder="1" applyAlignment="1" applyProtection="1">
      <alignment horizontal="center" vertical="center" wrapText="1"/>
      <protection locked="0"/>
    </xf>
    <xf numFmtId="0" fontId="37" fillId="0" borderId="48" xfId="0" applyFont="1" applyBorder="1" applyAlignment="1" applyProtection="1">
      <alignment horizontal="left" vertical="center" wrapText="1"/>
      <protection locked="0"/>
    </xf>
    <xf numFmtId="0" fontId="13" fillId="0" borderId="47" xfId="0" applyFont="1" applyBorder="1" applyProtection="1">
      <protection hidden="1"/>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5"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0" defaultTableStyle="TableStyleMedium2" defaultPivotStyle="PivotStyleLight16"/>
  <colors>
    <mruColors>
      <color rgb="FF9966FF"/>
      <color rgb="FF9933FF"/>
      <color rgb="FFCC66FF"/>
      <color rgb="FF6600FF"/>
      <color rgb="FFFFFF99"/>
      <color rgb="FFCC0000"/>
      <color rgb="FFFF66CC"/>
      <color rgb="FFFF3399"/>
      <color rgb="FF00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34" Type="http://schemas.openxmlformats.org/officeDocument/2006/relationships/theme" Target="theme/theme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calcChain" Target="calcChain.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sharedStrings" Target="sharedString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styles" Target="styles.xml"/><Relationship Id="rId8" Type="http://schemas.openxmlformats.org/officeDocument/2006/relationships/externalLink" Target="externalLinks/externalLink5.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2587471</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CP%20VS%200%20ID%20250309\PAA%20VS%200%20CP-%20ALCANCE.xlsx" TargetMode="External"/><Relationship Id="rId1" Type="http://schemas.openxmlformats.org/officeDocument/2006/relationships/externalLinkPath" Target="/MININTEROR/PAA/PLAN%20ANUAL%20DE%20ADQUISICIONES/PAA%202024/PAA%202024/CP%20VS%200%20ID%20250309/PAA%20VS%200%20CP-%20ALCANCE.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L%20VS%200%20ID%20255440\PAA%20VS%200%20DAL%20ALCANCE.xlsx" TargetMode="External"/><Relationship Id="rId1" Type="http://schemas.openxmlformats.org/officeDocument/2006/relationships/externalLinkPath" Target="/MININTEROR/PAA/PLAN%20ANUAL%20DE%20ADQUISICIONES/PAA%202024/PAA%202024/DAL%20VS%200%20ID%20255440/PAA%20VS%200%20DAL%20ALCANCE.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R%20VS%200%20ID%20255581\PAA%20DAR%20VS%200%20ALCANCE.xlsx" TargetMode="External"/><Relationship Id="rId1" Type="http://schemas.openxmlformats.org/officeDocument/2006/relationships/externalLinkPath" Target="/MININTEROR/PAA/PLAN%20ANUAL%20DE%20ADQUISICIONES/PAA%202024/PAA%202024/DAR%20VS%200%20ID%20255581/PAA%20DAR%20VS%200%20ALCANCE.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luis.pulido\OneDrive%20-%20mininterior.gov.co%20(1)\000%20Asuntos%20Religiosos\Administrativo\Financiera%20DAR\PAA%202024\PAA%20DAR%202024%20LDPB%20V2.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 Id="rId1"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HH%20VS%200%20ID%20255744\PAA%20VS%200%20DDHH%20ALCANCE.xlsx" TargetMode="External"/><Relationship Id="rId1" Type="http://schemas.openxmlformats.org/officeDocument/2006/relationships/externalLinkPath" Target="/MININTEROR/PAA/PLAN%20ANUAL%20DE%20ADQUISICIONES/PAA%202024/PAA%202024/DDHH%20VS%200%20ID%20255744/PAA%20VS%200%20DDHH%20ALCANCE.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DH%20VS%204\PAA%20DDH%20VS%204.xlsx" TargetMode="External"/><Relationship Id="rId1" Type="http://schemas.openxmlformats.org/officeDocument/2006/relationships/externalLinkPath" Target="/MININTEROR/PAA/PLAN%20ANUAL%20DE%20ADQUISICIONES/PAA%202024/PAA%202024/PAA%20VS%206/DDH%20VS%204/PAA%20DDH%20VS%204.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PCAC%20VS%200%20255425\PAA%20VS%200%20DDPCAC%20ALCANCE.xlsx" TargetMode="External"/><Relationship Id="rId1" Type="http://schemas.openxmlformats.org/officeDocument/2006/relationships/externalLinkPath" Target="/MININTEROR/PAA/PLAN%20ANUAL%20DE%20ADQUISICIONES/PAA%202024/PAA%202024/DDPCAC%20VS%200%20255425/PAA%20VS%200%20DDPCAC%20ALCANCE.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DPCAC%20VS%202\PAA%20VS%202%20DDPCAC.xlsx" TargetMode="External"/><Relationship Id="rId1" Type="http://schemas.openxmlformats.org/officeDocument/2006/relationships/externalLinkPath" Target="/MININTEROR/PAA/PLAN%20ANUAL%20DE%20ADQUISICIONES/PAA%202024/PAA%202024/PAA%20VS%205/DDPCAC%20VS%202/PAA%20VS%202%20DDPCAC.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SCCG%20VS%200%20ID%20255486\PAA%20VS%200%20DSCCG%20ALCANCE.xlsx" TargetMode="External"/><Relationship Id="rId1" Type="http://schemas.openxmlformats.org/officeDocument/2006/relationships/externalLinkPath" Target="/MININTEROR/PAA/PLAN%20ANUAL%20DE%20ADQUISICIONES/PAA%202024/PAA%202024/DSCCG%20VS%200%20ID%20255486/PAA%20VS%200%20DSCCG%20ALCANCE.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ndra.orjuela\Downloads\FORMATO%20PLAN%20ANUAL%20DE%20ADQUISICIONES%202024%20MININTERIOR-PRELIMINAR1.1.xlsx" TargetMode="External"/><Relationship Id="rId1" Type="http://schemas.openxmlformats.org/officeDocument/2006/relationships/externalLinkPath" Target="file:///C:\Users\sandra.orjuela\Downloads\FORMATO%20PLAN%20ANUAL%20DE%20ADQUISICIONES%202024%20MININTERIOR-PRELIMINAR1.1.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DSCCG%20VS%202%20ID%20263954\PAA%20DSCCG%20VS%202.xlsx" TargetMode="External"/><Relationship Id="rId1" Type="http://schemas.openxmlformats.org/officeDocument/2006/relationships/externalLinkPath" Target="/MININTEROR/PAA/PLAN%20ANUAL%20DE%20ADQUISICIONES/PAA%202024/PAA%202024/PAA%20VS%202/DSCCG%20VS%202%20ID%20263954/PAA%20DSCCG%20VS%202.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GAPV%20VS%200%20ID%20254387\PAA%20VS%200%20GAPV%20ALCANCE.xlsx" TargetMode="External"/><Relationship Id="rId1" Type="http://schemas.openxmlformats.org/officeDocument/2006/relationships/externalLinkPath" Target="/MININTEROR/PAA/PLAN%20ANUAL%20DE%20ADQUISICIONES/PAA%202024/PAA%202024/GAPV%20VS%200%20ID%20254387/PAA%20VS%200%20GAPV%20ALCANCE.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AP%20VS%200%20ID%20254705\PAA%20VS%20O%20OAP%20ALCANCE.xlsx" TargetMode="External"/><Relationship Id="rId1" Type="http://schemas.openxmlformats.org/officeDocument/2006/relationships/externalLinkPath" Target="/MININTEROR/PAA/PLAN%20ANUAL%20DE%20ADQUISICIONES/PAA%202024/PAA%202024/OAP%20VS%200%20ID%20254705/PAA%20VS%20O%20OAP%20ALCANCE.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IP%20VS%200%20ID%20255442\PAA%20VS%200%20OIP%20ALCANCE%20II.xlsx" TargetMode="External"/><Relationship Id="rId1" Type="http://schemas.openxmlformats.org/officeDocument/2006/relationships/externalLinkPath" Target="/MININTEROR/PAA/PLAN%20ANUAL%20DE%20ADQUISICIONES/PAA%202024/PAA%202024/OIP%20VS%200%20ID%20255442/PAA%20VS%200%20OIP%20ALCANCE%20II.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GGT%20VS%200%20ID%20249223\PAA%20VS%200%20SGGT%20ALCANCE%20II.xlsx" TargetMode="External"/><Relationship Id="rId1" Type="http://schemas.openxmlformats.org/officeDocument/2006/relationships/externalLinkPath" Target="/MININTEROR/PAA/PLAN%20ANUAL%20DE%20ADQUISICIONES/PAA%202024/PAA%202024/SGGT%20VS%200%20ID%20249223/PAA%20VS%200%20SGGT%20ALCANCE%20II.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PSCC%20VS%200%20ID%20255341\PAA%20VS%200%20SPSCC%20ALCANCE.xlsx" TargetMode="External"/><Relationship Id="rId1" Type="http://schemas.openxmlformats.org/officeDocument/2006/relationships/externalLinkPath" Target="/MININTEROR/PAA/PLAN%20ANUAL%20DE%20ADQUISICIONES/PAA%202024/PAA%202024/SPSCC%20VS%200%20ID%20255341/PAA%20VS%200%20SPSCC%20ALCANCE.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SPSCC%20VS%202\PAA%20SPSCC%20VS%202.xlsx" TargetMode="External"/><Relationship Id="rId1" Type="http://schemas.openxmlformats.org/officeDocument/2006/relationships/externalLinkPath" Target="/MININTEROR/PAA/PLAN%20ANUAL%20DE%20ADQUISICIONES/PAA%202024/PAA%202024/PAA%20VS%203/SPSCC%20VS%202/PAA%20SPSCC%20VS%202.xlsx" TargetMode="External"/></Relationships>
</file>

<file path=xl/externalLinks/_rels/externalLink2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VICEMINISTERIO%20DEL%20DIALOGO%20VS%200\PAA%20VICE%20DIALOGO%20VS%200.xlsx" TargetMode="External"/><Relationship Id="rId1" Type="http://schemas.openxmlformats.org/officeDocument/2006/relationships/externalLinkPath" Target="/MININTEROR/PAA/PLAN%20ANUAL%20DE%20ADQUISICIONES/PAA%202024/PAA%202024/VICEMINISTERIO%20DEL%20DIALOGO%20VS%200/PAA%20VICE%20DIALOGO%20VS%200.xlsx"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GITEP%20VS%201%20ID%20264229\PAA%20VS%201%20GITEP.xlsx" TargetMode="External"/><Relationship Id="rId1" Type="http://schemas.openxmlformats.org/officeDocument/2006/relationships/externalLinkPath" Target="/MININTEROR/PAA/PLAN%20ANUAL%20DE%20ADQUISICIONES/PAA%202024/PAA%202024/PAA%20VS%202/GITEP%20VS%201%20ID%20264229/PAA%20VS%201%20GITEP.xlsx"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GITEP%20VS%202\PAA%20VS%202%20VDG.xlsx" TargetMode="External"/><Relationship Id="rId1" Type="http://schemas.openxmlformats.org/officeDocument/2006/relationships/externalLinkPath" Target="/MININTEROR/PAA/PLAN%20ANUAL%20DE%20ADQUISICIONES/PAA%202024/PAA%202024/PAA%20VS%206/GITEP%20VS%202/PAA%20VS%202%20VDG.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CP%20VS%202\PAA%20CP%20VS%202.xlsx" TargetMode="External"/><Relationship Id="rId1" Type="http://schemas.openxmlformats.org/officeDocument/2006/relationships/externalLinkPath" Target="/MININTEROR/PAA/PLAN%20ANUAL%20DE%20ADQUISICIONES/PAA%202024/PAA%202024/PAA%20VS%203/CP%20VS%202/PAA%20CP%20VS%202.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Users\claudia.torres\Downloads\PAA%20SAF%202021%20Preliminar%20Py%20Inv%20(1)%20(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CP%20VS%204\PAA%20VS%202%20CP.xlsx" TargetMode="External"/><Relationship Id="rId1" Type="http://schemas.openxmlformats.org/officeDocument/2006/relationships/externalLinkPath" Target="/MININTEROR/PAA/PLAN%20ANUAL%20DE%20ADQUISICIONES/PAA%202024/PAA%202024/PAA%20VS%205/CP%20VS%204/PAA%20VS%202%20CP.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CP%20VS%205\PAA%20VS%205%20CP.xlsx" TargetMode="External"/><Relationship Id="rId1" Type="http://schemas.openxmlformats.org/officeDocument/2006/relationships/externalLinkPath" Target="/MININTEROR/PAA/PLAN%20ANUAL%20DE%20ADQUISICIONES/PAA%202024/PAA%202024/PAA%20VS%206/CP%20VS%205/PAA%20VS%205%20CP.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CNARP%20VS%200%20255474\PAA%20VS%200%20DACNARP%20ALCANCE.xlsx" TargetMode="External"/><Relationship Id="rId1" Type="http://schemas.openxmlformats.org/officeDocument/2006/relationships/externalLinkPath" Target="/MININTEROR/PAA/PLAN%20ANUAL%20DE%20ADQUISICIONES/PAA%202024/PAA%202024/DACNARP%20VS%200%20255474/PAA%20VS%200%20DACNARP%20ALCANCE.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IRM%20VS%200%20ID%20251070\PAA%20VS%200%20DAIRM%20ALCANCE.xlsx" TargetMode="External"/><Relationship Id="rId1" Type="http://schemas.openxmlformats.org/officeDocument/2006/relationships/externalLinkPath" Target="/MININTEROR/PAA/PLAN%20ANUAL%20DE%20ADQUISICIONES/PAA%202024/PAA%202024/DAIRM%20VS%200%20ID%20251070/PAA%20VS%200%20DAIRM%20ALCANCE.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AIRM%20VS%202\PAA%20DAIRM%20VS%202.xlsx" TargetMode="External"/><Relationship Id="rId1" Type="http://schemas.openxmlformats.org/officeDocument/2006/relationships/externalLinkPath" Target="/MININTEROR/PAA/PLAN%20ANUAL%20DE%20ADQUISICIONES/PAA%202024/PAA%202024/PAA%20VS%205/DAIRM%20VS%202/PAA%20DAIRM%20VS%20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FORMATO PAA"/>
      <sheetName val="Hoja1"/>
      <sheetName val="Parámetros"/>
    </sheetNames>
    <sheetDataSet>
      <sheetData sheetId="0" refreshError="1"/>
      <sheetData sheetId="1" refreshError="1"/>
      <sheetData sheetId="2" refreshError="1"/>
      <sheetData sheetId="3"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refreshError="1"/>
      <sheetData sheetId="1" refreshError="1"/>
      <sheetData sheetId="2"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quisiciones"/>
      <sheetName val="Hoja1"/>
      <sheetName val="Archivo datos"/>
    </sheetNames>
    <sheetDataSet>
      <sheetData sheetId="0" refreshError="1"/>
      <sheetData sheetId="1" refreshError="1"/>
      <sheetData sheetId="2" refreshError="1">
        <row r="1">
          <cell r="D1" t="str">
            <v>Ubicación</v>
          </cell>
          <cell r="E1" t="str">
            <v>Código</v>
          </cell>
          <cell r="G1" t="str">
            <v>Código</v>
          </cell>
          <cell r="H1" t="str">
            <v>Modalidad de selección</v>
          </cell>
        </row>
        <row r="2">
          <cell r="D2" t="str">
            <v>Distrito Capital de Bogotá</v>
          </cell>
          <cell r="E2" t="str">
            <v>CO-DC</v>
          </cell>
          <cell r="G2" t="str">
            <v>CCE-01</v>
          </cell>
          <cell r="H2" t="str">
            <v>Solicitud de información a los Proveedores</v>
          </cell>
        </row>
        <row r="3">
          <cell r="D3" t="str">
            <v>Bogotá</v>
          </cell>
          <cell r="E3" t="str">
            <v>CO-DC-11001</v>
          </cell>
          <cell r="G3" t="str">
            <v>CCE-02</v>
          </cell>
          <cell r="H3" t="str">
            <v>Licitación pública</v>
          </cell>
        </row>
        <row r="4">
          <cell r="D4" t="str">
            <v>Amazonas</v>
          </cell>
          <cell r="E4" t="str">
            <v>CO-AMA</v>
          </cell>
          <cell r="G4" t="str">
            <v>CCE-03</v>
          </cell>
          <cell r="H4" t="str">
            <v>Concurso de méritos con precalificación</v>
          </cell>
        </row>
        <row r="5">
          <cell r="D5" t="str">
            <v>Leticia</v>
          </cell>
          <cell r="E5" t="str">
            <v>CO-AMA-91001</v>
          </cell>
          <cell r="G5" t="str">
            <v>CCE-04</v>
          </cell>
          <cell r="H5" t="str">
            <v>Concurso de méritos abierto</v>
          </cell>
        </row>
        <row r="6">
          <cell r="D6" t="str">
            <v>El Encanto</v>
          </cell>
          <cell r="E6" t="str">
            <v>CO-AMA-91263</v>
          </cell>
          <cell r="G6" t="str">
            <v>CCE-05</v>
          </cell>
          <cell r="H6" t="str">
            <v>Contratación directa</v>
          </cell>
        </row>
        <row r="7">
          <cell r="D7" t="str">
            <v>La Chorrera</v>
          </cell>
          <cell r="E7" t="str">
            <v>CO-AMA-91405</v>
          </cell>
          <cell r="G7" t="str">
            <v>CCE-06</v>
          </cell>
          <cell r="H7" t="str">
            <v>Selección abreviada menor cuantía</v>
          </cell>
        </row>
        <row r="8">
          <cell r="D8" t="str">
            <v>La Pedrera</v>
          </cell>
          <cell r="E8" t="str">
            <v>CO-AMA-91407</v>
          </cell>
          <cell r="G8" t="str">
            <v>CCE-07</v>
          </cell>
          <cell r="H8" t="str">
            <v>Selección abreviada subasta inversa</v>
          </cell>
        </row>
        <row r="9">
          <cell r="D9" t="str">
            <v>La Victoria</v>
          </cell>
          <cell r="E9" t="str">
            <v>CO-AMA-91430</v>
          </cell>
          <cell r="G9" t="str">
            <v>CCE-10</v>
          </cell>
          <cell r="H9" t="str">
            <v>Mínima cuantía</v>
          </cell>
        </row>
        <row r="10">
          <cell r="D10" t="str">
            <v>Miriti - Paraná</v>
          </cell>
          <cell r="E10" t="str">
            <v>CO-AMA-91460</v>
          </cell>
          <cell r="G10" t="str">
            <v>CCE-11||01</v>
          </cell>
          <cell r="H10" t="str">
            <v>Publicación contratación régimen especial - Selección de comisionista</v>
          </cell>
        </row>
        <row r="11">
          <cell r="D11" t="str">
            <v>Puerto Alegría</v>
          </cell>
          <cell r="E11" t="str">
            <v>CO-AMA-91530</v>
          </cell>
          <cell r="G11" t="str">
            <v>CCE-11||02</v>
          </cell>
          <cell r="H11" t="str">
            <v>Publicación contratación régimen especial - Enajenación de bienes para intermediarios idóneos</v>
          </cell>
        </row>
        <row r="12">
          <cell r="D12" t="str">
            <v>Puerto Arica</v>
          </cell>
          <cell r="E12" t="str">
            <v>CO-AMA-91536</v>
          </cell>
          <cell r="G12" t="str">
            <v>CCE-11||03</v>
          </cell>
          <cell r="H12" t="str">
            <v>Publicación contratación régimen especial - Régimen especial</v>
          </cell>
        </row>
        <row r="13">
          <cell r="D13" t="str">
            <v>Puerto Nariño</v>
          </cell>
          <cell r="E13" t="str">
            <v>CO-AMA-91540</v>
          </cell>
          <cell r="G13" t="str">
            <v>CCE-11||04</v>
          </cell>
          <cell r="H13" t="str">
            <v>Publicación contratación régimen especial - Banco multilateral y organismos multilaterales</v>
          </cell>
        </row>
        <row r="14">
          <cell r="D14" t="str">
            <v>Puerto Santander</v>
          </cell>
          <cell r="E14" t="str">
            <v>CO-AMA-91669</v>
          </cell>
          <cell r="G14" t="str">
            <v>CCE-99</v>
          </cell>
          <cell r="H14" t="str">
            <v>Seléccion abreviada - acuerdo marco</v>
          </cell>
        </row>
        <row r="15">
          <cell r="D15" t="str">
            <v>Tarapacá</v>
          </cell>
          <cell r="E15" t="str">
            <v>CO-AMA-91798</v>
          </cell>
        </row>
        <row r="16">
          <cell r="D16" t="str">
            <v>Antioquia</v>
          </cell>
          <cell r="E16" t="str">
            <v>CO-ANT</v>
          </cell>
        </row>
        <row r="17">
          <cell r="D17" t="str">
            <v>Medellín</v>
          </cell>
          <cell r="E17" t="str">
            <v>CO-ANT-05001</v>
          </cell>
        </row>
        <row r="18">
          <cell r="D18" t="str">
            <v>Abejorral</v>
          </cell>
          <cell r="E18" t="str">
            <v>CO-ANT-05002</v>
          </cell>
        </row>
        <row r="19">
          <cell r="D19" t="str">
            <v>Abriaquí</v>
          </cell>
          <cell r="E19" t="str">
            <v>CO-ANT-05004</v>
          </cell>
        </row>
        <row r="20">
          <cell r="D20" t="str">
            <v>Alejandría</v>
          </cell>
          <cell r="E20" t="str">
            <v>CO-ANT-05021</v>
          </cell>
        </row>
        <row r="21">
          <cell r="D21" t="str">
            <v>Amagá</v>
          </cell>
          <cell r="E21" t="str">
            <v>CO-ANT-05030</v>
          </cell>
        </row>
        <row r="22">
          <cell r="D22" t="str">
            <v>Amalfi</v>
          </cell>
          <cell r="E22" t="str">
            <v>CO-ANT-05031</v>
          </cell>
        </row>
        <row r="23">
          <cell r="D23" t="str">
            <v>Andes</v>
          </cell>
          <cell r="E23" t="str">
            <v>CO-ANT-05034</v>
          </cell>
        </row>
        <row r="24">
          <cell r="D24" t="str">
            <v>Angelópolis</v>
          </cell>
          <cell r="E24" t="str">
            <v>CO-ANT-05036</v>
          </cell>
        </row>
        <row r="25">
          <cell r="D25" t="str">
            <v>Angostura</v>
          </cell>
          <cell r="E25" t="str">
            <v>CO-ANT-05038</v>
          </cell>
        </row>
        <row r="26">
          <cell r="D26" t="str">
            <v>Anorí</v>
          </cell>
          <cell r="E26" t="str">
            <v>CO-ANT-05040</v>
          </cell>
        </row>
        <row r="27">
          <cell r="D27" t="str">
            <v>Santafé De Antioquia</v>
          </cell>
          <cell r="E27" t="str">
            <v>CO-ANT-05042</v>
          </cell>
        </row>
        <row r="28">
          <cell r="D28" t="str">
            <v>Anza</v>
          </cell>
          <cell r="E28" t="str">
            <v>CO-ANT-05044</v>
          </cell>
        </row>
        <row r="29">
          <cell r="D29" t="str">
            <v>Apartadó</v>
          </cell>
          <cell r="E29" t="str">
            <v>CO-ANT-05045</v>
          </cell>
        </row>
        <row r="30">
          <cell r="D30" t="str">
            <v>Arboletes</v>
          </cell>
          <cell r="E30" t="str">
            <v>CO-ANT-05051</v>
          </cell>
        </row>
        <row r="31">
          <cell r="D31" t="str">
            <v>Argelia</v>
          </cell>
          <cell r="E31" t="str">
            <v>CO-ANT-05055</v>
          </cell>
        </row>
        <row r="32">
          <cell r="D32" t="str">
            <v>Armenia</v>
          </cell>
          <cell r="E32" t="str">
            <v>CO-ANT-05059</v>
          </cell>
        </row>
        <row r="33">
          <cell r="D33" t="str">
            <v>Barbosa</v>
          </cell>
          <cell r="E33" t="str">
            <v>CO-ANT-05079</v>
          </cell>
        </row>
        <row r="34">
          <cell r="D34" t="str">
            <v>Belmira</v>
          </cell>
          <cell r="E34" t="str">
            <v>CO-ANT-05086</v>
          </cell>
        </row>
        <row r="35">
          <cell r="D35" t="str">
            <v>Bello</v>
          </cell>
          <cell r="E35" t="str">
            <v>CO-ANT-05088</v>
          </cell>
        </row>
        <row r="36">
          <cell r="D36" t="str">
            <v>Betania</v>
          </cell>
          <cell r="E36" t="str">
            <v>CO-ANT-05091</v>
          </cell>
        </row>
        <row r="37">
          <cell r="D37" t="str">
            <v>Betulia</v>
          </cell>
          <cell r="E37" t="str">
            <v>CO-ANT-05093</v>
          </cell>
        </row>
        <row r="38">
          <cell r="D38" t="str">
            <v>Ciudad Bolívar</v>
          </cell>
          <cell r="E38" t="str">
            <v>CO-ANT-05101</v>
          </cell>
        </row>
        <row r="39">
          <cell r="D39" t="str">
            <v>Briceño</v>
          </cell>
          <cell r="E39" t="str">
            <v>CO-ANT-05107</v>
          </cell>
        </row>
        <row r="40">
          <cell r="D40" t="str">
            <v>Buriticá</v>
          </cell>
          <cell r="E40" t="str">
            <v>CO-ANT-05113</v>
          </cell>
        </row>
        <row r="41">
          <cell r="D41" t="str">
            <v>Cáceres</v>
          </cell>
          <cell r="E41" t="str">
            <v>CO-ANT-05120</v>
          </cell>
        </row>
        <row r="42">
          <cell r="D42" t="str">
            <v>Caicedo</v>
          </cell>
          <cell r="E42" t="str">
            <v>CO-ANT-05125</v>
          </cell>
        </row>
        <row r="43">
          <cell r="D43" t="str">
            <v>Caldas</v>
          </cell>
          <cell r="E43" t="str">
            <v>CO-ANT-05129</v>
          </cell>
        </row>
        <row r="44">
          <cell r="D44" t="str">
            <v>Campamento</v>
          </cell>
          <cell r="E44" t="str">
            <v>CO-ANT-05134</v>
          </cell>
        </row>
        <row r="45">
          <cell r="D45" t="str">
            <v>Cañasgordas</v>
          </cell>
          <cell r="E45" t="str">
            <v>CO-ANT-05138</v>
          </cell>
        </row>
        <row r="46">
          <cell r="D46" t="str">
            <v>Caracolí</v>
          </cell>
          <cell r="E46" t="str">
            <v>CO-ANT-05142</v>
          </cell>
        </row>
        <row r="47">
          <cell r="D47" t="str">
            <v>Caramanta</v>
          </cell>
          <cell r="E47" t="str">
            <v>CO-ANT-05145</v>
          </cell>
        </row>
        <row r="48">
          <cell r="D48" t="str">
            <v>Carepa</v>
          </cell>
          <cell r="E48" t="str">
            <v>CO-ANT-05147</v>
          </cell>
        </row>
        <row r="49">
          <cell r="D49" t="str">
            <v>El Carmen De Viboral</v>
          </cell>
          <cell r="E49" t="str">
            <v>CO-ANT-05148</v>
          </cell>
        </row>
        <row r="50">
          <cell r="D50" t="str">
            <v>Carolina</v>
          </cell>
          <cell r="E50" t="str">
            <v>CO-ANT-05150</v>
          </cell>
        </row>
        <row r="51">
          <cell r="D51" t="str">
            <v>Caucasia</v>
          </cell>
          <cell r="E51" t="str">
            <v>CO-ANT-05154</v>
          </cell>
        </row>
        <row r="52">
          <cell r="D52" t="str">
            <v>Chigorodó</v>
          </cell>
          <cell r="E52" t="str">
            <v>CO-ANT-05172</v>
          </cell>
        </row>
        <row r="53">
          <cell r="D53" t="str">
            <v>Cisneros</v>
          </cell>
          <cell r="E53" t="str">
            <v>CO-ANT-05190</v>
          </cell>
        </row>
        <row r="54">
          <cell r="D54" t="str">
            <v>Cocorná</v>
          </cell>
          <cell r="E54" t="str">
            <v>CO-ANT-05197</v>
          </cell>
        </row>
        <row r="55">
          <cell r="D55" t="str">
            <v>Concepción</v>
          </cell>
          <cell r="E55" t="str">
            <v>CO-ANT-05206</v>
          </cell>
        </row>
        <row r="56">
          <cell r="D56" t="str">
            <v>Concordia</v>
          </cell>
          <cell r="E56" t="str">
            <v>CO-ANT-05209</v>
          </cell>
        </row>
        <row r="57">
          <cell r="D57" t="str">
            <v>Copacabana</v>
          </cell>
          <cell r="E57" t="str">
            <v>CO-ANT-05212</v>
          </cell>
        </row>
        <row r="58">
          <cell r="D58" t="str">
            <v>Dabeiba</v>
          </cell>
          <cell r="E58" t="str">
            <v>CO-ANT-05234</v>
          </cell>
        </row>
        <row r="59">
          <cell r="D59" t="str">
            <v>Don Matías</v>
          </cell>
          <cell r="E59" t="str">
            <v>CO-ANT-05237</v>
          </cell>
        </row>
        <row r="60">
          <cell r="D60" t="str">
            <v>Ebéjico</v>
          </cell>
          <cell r="E60" t="str">
            <v>CO-ANT-05240</v>
          </cell>
        </row>
        <row r="61">
          <cell r="D61" t="str">
            <v>El Bagre</v>
          </cell>
          <cell r="E61" t="str">
            <v>CO-ANT-05250</v>
          </cell>
        </row>
        <row r="62">
          <cell r="D62" t="str">
            <v>Entrerrios</v>
          </cell>
          <cell r="E62" t="str">
            <v>CO-ANT-05264</v>
          </cell>
        </row>
        <row r="63">
          <cell r="D63" t="str">
            <v>Envigado</v>
          </cell>
          <cell r="E63" t="str">
            <v>CO-ANT-05266</v>
          </cell>
        </row>
        <row r="64">
          <cell r="D64" t="str">
            <v>Fredonia</v>
          </cell>
          <cell r="E64" t="str">
            <v>CO-ANT-05282</v>
          </cell>
        </row>
        <row r="65">
          <cell r="D65" t="str">
            <v>Frontino</v>
          </cell>
          <cell r="E65" t="str">
            <v>CO-ANT-05284</v>
          </cell>
        </row>
        <row r="66">
          <cell r="D66" t="str">
            <v>Giraldo</v>
          </cell>
          <cell r="E66" t="str">
            <v>CO-ANT-05306</v>
          </cell>
        </row>
        <row r="67">
          <cell r="D67" t="str">
            <v>Girardota</v>
          </cell>
          <cell r="E67" t="str">
            <v>CO-ANT-05308</v>
          </cell>
        </row>
        <row r="68">
          <cell r="D68" t="str">
            <v>Gómez Plata</v>
          </cell>
          <cell r="E68" t="str">
            <v>CO-ANT-05310</v>
          </cell>
        </row>
        <row r="69">
          <cell r="D69" t="str">
            <v>Granada</v>
          </cell>
          <cell r="E69" t="str">
            <v>CO-ANT-05313</v>
          </cell>
        </row>
        <row r="70">
          <cell r="D70" t="str">
            <v>Guadalupe</v>
          </cell>
          <cell r="E70" t="str">
            <v>CO-ANT-05315</v>
          </cell>
        </row>
        <row r="71">
          <cell r="D71" t="str">
            <v>Guarne</v>
          </cell>
          <cell r="E71" t="str">
            <v>CO-ANT-05318</v>
          </cell>
        </row>
        <row r="72">
          <cell r="D72" t="str">
            <v>Guatape</v>
          </cell>
          <cell r="E72" t="str">
            <v>CO-ANT-05321</v>
          </cell>
        </row>
        <row r="73">
          <cell r="D73" t="str">
            <v>Heliconia</v>
          </cell>
          <cell r="E73" t="str">
            <v>CO-ANT-05347</v>
          </cell>
        </row>
        <row r="74">
          <cell r="D74" t="str">
            <v>Hispania</v>
          </cell>
          <cell r="E74" t="str">
            <v>CO-ANT-05353</v>
          </cell>
        </row>
        <row r="75">
          <cell r="D75" t="str">
            <v>Itagui</v>
          </cell>
          <cell r="E75" t="str">
            <v>CO-ANT-05360</v>
          </cell>
        </row>
        <row r="76">
          <cell r="D76" t="str">
            <v>Ituango</v>
          </cell>
          <cell r="E76" t="str">
            <v>CO-ANT-05361</v>
          </cell>
        </row>
        <row r="77">
          <cell r="D77" t="str">
            <v>Jardín</v>
          </cell>
          <cell r="E77" t="str">
            <v>CO-ANT-05364</v>
          </cell>
        </row>
        <row r="78">
          <cell r="D78" t="str">
            <v>Jericó</v>
          </cell>
          <cell r="E78" t="str">
            <v>CO-ANT-05368</v>
          </cell>
        </row>
        <row r="79">
          <cell r="D79" t="str">
            <v>La Ceja</v>
          </cell>
          <cell r="E79" t="str">
            <v>CO-ANT-05376</v>
          </cell>
        </row>
        <row r="80">
          <cell r="D80" t="str">
            <v>La Estrella</v>
          </cell>
          <cell r="E80" t="str">
            <v>CO-ANT-05380</v>
          </cell>
        </row>
        <row r="81">
          <cell r="D81" t="str">
            <v>La Pintada</v>
          </cell>
          <cell r="E81" t="str">
            <v>CO-ANT-05390</v>
          </cell>
        </row>
        <row r="82">
          <cell r="D82" t="str">
            <v>La Unión</v>
          </cell>
          <cell r="E82" t="str">
            <v>CO-ANT-05400</v>
          </cell>
        </row>
        <row r="83">
          <cell r="D83" t="str">
            <v>Liborina</v>
          </cell>
          <cell r="E83" t="str">
            <v>CO-ANT-05411</v>
          </cell>
        </row>
        <row r="84">
          <cell r="D84" t="str">
            <v>Maceo</v>
          </cell>
          <cell r="E84" t="str">
            <v>CO-ANT-05425</v>
          </cell>
        </row>
        <row r="85">
          <cell r="D85" t="str">
            <v>Marinilla</v>
          </cell>
          <cell r="E85" t="str">
            <v>CO-ANT-05440</v>
          </cell>
        </row>
        <row r="86">
          <cell r="D86" t="str">
            <v>Montebello</v>
          </cell>
          <cell r="E86" t="str">
            <v>CO-ANT-05467</v>
          </cell>
        </row>
        <row r="87">
          <cell r="D87" t="str">
            <v>Murindó</v>
          </cell>
          <cell r="E87" t="str">
            <v>CO-ANT-05475</v>
          </cell>
        </row>
        <row r="88">
          <cell r="D88" t="str">
            <v>Mutatá</v>
          </cell>
          <cell r="E88" t="str">
            <v>CO-ANT-05480</v>
          </cell>
        </row>
        <row r="89">
          <cell r="D89" t="str">
            <v>Nariño</v>
          </cell>
          <cell r="E89" t="str">
            <v>CO-ANT-05483</v>
          </cell>
        </row>
        <row r="90">
          <cell r="D90" t="str">
            <v>Necoclí</v>
          </cell>
          <cell r="E90" t="str">
            <v>CO-ANT-05490</v>
          </cell>
        </row>
        <row r="91">
          <cell r="D91" t="str">
            <v>Nechí</v>
          </cell>
          <cell r="E91" t="str">
            <v>CO-ANT-05495</v>
          </cell>
        </row>
        <row r="92">
          <cell r="D92" t="str">
            <v>Olaya</v>
          </cell>
          <cell r="E92" t="str">
            <v>CO-ANT-05501</v>
          </cell>
        </row>
        <row r="93">
          <cell r="D93" t="str">
            <v>Peñol</v>
          </cell>
          <cell r="E93" t="str">
            <v>CO-ANT-05541</v>
          </cell>
        </row>
        <row r="94">
          <cell r="D94" t="str">
            <v>Peque</v>
          </cell>
          <cell r="E94" t="str">
            <v>CO-ANT-05543</v>
          </cell>
        </row>
        <row r="95">
          <cell r="D95" t="str">
            <v>Pueblorrico</v>
          </cell>
          <cell r="E95" t="str">
            <v>CO-ANT-05576</v>
          </cell>
        </row>
        <row r="96">
          <cell r="D96" t="str">
            <v>Puerto Berrío</v>
          </cell>
          <cell r="E96" t="str">
            <v>CO-ANT-05579</v>
          </cell>
        </row>
        <row r="97">
          <cell r="D97" t="str">
            <v>Puerto Nare</v>
          </cell>
          <cell r="E97" t="str">
            <v>CO-ANT-05585</v>
          </cell>
        </row>
        <row r="98">
          <cell r="D98" t="str">
            <v>Puerto Triunfo</v>
          </cell>
          <cell r="E98" t="str">
            <v>CO-ANT-05591</v>
          </cell>
        </row>
        <row r="99">
          <cell r="D99" t="str">
            <v>Remedios</v>
          </cell>
          <cell r="E99" t="str">
            <v>CO-ANT-05604</v>
          </cell>
        </row>
        <row r="100">
          <cell r="D100" t="str">
            <v>Retiro</v>
          </cell>
          <cell r="E100" t="str">
            <v>CO-ANT-05607</v>
          </cell>
        </row>
        <row r="101">
          <cell r="D101" t="str">
            <v>Rionegro</v>
          </cell>
          <cell r="E101" t="str">
            <v>CO-ANT-05615</v>
          </cell>
        </row>
        <row r="102">
          <cell r="D102" t="str">
            <v>Sabanalarga</v>
          </cell>
          <cell r="E102" t="str">
            <v>CO-ANT-05628</v>
          </cell>
        </row>
        <row r="103">
          <cell r="D103" t="str">
            <v>Sabaneta</v>
          </cell>
          <cell r="E103" t="str">
            <v>CO-ANT-05631</v>
          </cell>
        </row>
        <row r="104">
          <cell r="D104" t="str">
            <v>Salgar</v>
          </cell>
          <cell r="E104" t="str">
            <v>CO-ANT-05642</v>
          </cell>
        </row>
        <row r="105">
          <cell r="D105" t="str">
            <v>San Andrés</v>
          </cell>
          <cell r="E105" t="str">
            <v>CO-ANT-05647</v>
          </cell>
        </row>
        <row r="106">
          <cell r="D106" t="str">
            <v>San Carlos</v>
          </cell>
          <cell r="E106" t="str">
            <v>CO-ANT-05649</v>
          </cell>
        </row>
        <row r="107">
          <cell r="D107" t="str">
            <v>San Francisco</v>
          </cell>
          <cell r="E107" t="str">
            <v>CO-ANT-05652</v>
          </cell>
        </row>
        <row r="108">
          <cell r="D108" t="str">
            <v>San Jerónimo</v>
          </cell>
          <cell r="E108" t="str">
            <v>CO-ANT-05656</v>
          </cell>
        </row>
        <row r="109">
          <cell r="D109" t="str">
            <v>San José De La Montaña</v>
          </cell>
          <cell r="E109" t="str">
            <v>CO-ANT-05658</v>
          </cell>
        </row>
        <row r="110">
          <cell r="D110" t="str">
            <v>San Juan De Urabá</v>
          </cell>
          <cell r="E110" t="str">
            <v>CO-ANT-05659</v>
          </cell>
        </row>
        <row r="111">
          <cell r="D111" t="str">
            <v>San Luis</v>
          </cell>
          <cell r="E111" t="str">
            <v>CO-ANT-05660</v>
          </cell>
        </row>
        <row r="112">
          <cell r="D112" t="str">
            <v>San Pedro</v>
          </cell>
          <cell r="E112" t="str">
            <v>CO-ANT-05664</v>
          </cell>
        </row>
        <row r="113">
          <cell r="D113" t="str">
            <v>San Pedro De Uraba</v>
          </cell>
          <cell r="E113" t="str">
            <v>CO-ANT-05665</v>
          </cell>
        </row>
        <row r="114">
          <cell r="D114" t="str">
            <v>San Rafael</v>
          </cell>
          <cell r="E114" t="str">
            <v>CO-ANT-05667</v>
          </cell>
        </row>
        <row r="115">
          <cell r="D115" t="str">
            <v>San Roque</v>
          </cell>
          <cell r="E115" t="str">
            <v>CO-ANT-05670</v>
          </cell>
        </row>
        <row r="116">
          <cell r="D116" t="str">
            <v>San Vicente</v>
          </cell>
          <cell r="E116" t="str">
            <v>CO-ANT-05674</v>
          </cell>
        </row>
        <row r="117">
          <cell r="D117" t="str">
            <v>Santa Bárbara</v>
          </cell>
          <cell r="E117" t="str">
            <v>CO-ANT-05679</v>
          </cell>
        </row>
        <row r="118">
          <cell r="D118" t="str">
            <v>Santa Rosa De Osos</v>
          </cell>
          <cell r="E118" t="str">
            <v>CO-ANT-05686</v>
          </cell>
        </row>
        <row r="119">
          <cell r="D119" t="str">
            <v>Santo Domingo</v>
          </cell>
          <cell r="E119" t="str">
            <v>CO-ANT-05690</v>
          </cell>
        </row>
        <row r="120">
          <cell r="D120" t="str">
            <v>El Santuario</v>
          </cell>
          <cell r="E120" t="str">
            <v>CO-ANT-05697</v>
          </cell>
        </row>
        <row r="121">
          <cell r="D121" t="str">
            <v>Segovia</v>
          </cell>
          <cell r="E121" t="str">
            <v>CO-ANT-05736</v>
          </cell>
        </row>
        <row r="122">
          <cell r="D122" t="str">
            <v>Sonson</v>
          </cell>
          <cell r="E122" t="str">
            <v>CO-ANT-05756</v>
          </cell>
        </row>
        <row r="123">
          <cell r="D123" t="str">
            <v>Sopetrán</v>
          </cell>
          <cell r="E123" t="str">
            <v>CO-ANT-05761</v>
          </cell>
        </row>
        <row r="124">
          <cell r="D124" t="str">
            <v>Támesis</v>
          </cell>
          <cell r="E124" t="str">
            <v>CO-ANT-05789</v>
          </cell>
        </row>
        <row r="125">
          <cell r="D125" t="str">
            <v>Tarazá</v>
          </cell>
          <cell r="E125" t="str">
            <v>CO-ANT-05790</v>
          </cell>
        </row>
        <row r="126">
          <cell r="D126" t="str">
            <v>Tarso</v>
          </cell>
          <cell r="E126" t="str">
            <v>CO-ANT-05792</v>
          </cell>
        </row>
        <row r="127">
          <cell r="D127" t="str">
            <v>Titiribí</v>
          </cell>
          <cell r="E127" t="str">
            <v>CO-ANT-05809</v>
          </cell>
        </row>
        <row r="128">
          <cell r="D128" t="str">
            <v>Toledo</v>
          </cell>
          <cell r="E128" t="str">
            <v>CO-ANT-05819</v>
          </cell>
        </row>
        <row r="129">
          <cell r="D129" t="str">
            <v>Turbo</v>
          </cell>
          <cell r="E129" t="str">
            <v>CO-ANT-05837</v>
          </cell>
        </row>
        <row r="130">
          <cell r="D130" t="str">
            <v>Uramita</v>
          </cell>
          <cell r="E130" t="str">
            <v>CO-ANT-05842</v>
          </cell>
        </row>
        <row r="131">
          <cell r="D131" t="str">
            <v>Urrao</v>
          </cell>
          <cell r="E131" t="str">
            <v>CO-ANT-05847</v>
          </cell>
        </row>
        <row r="132">
          <cell r="D132" t="str">
            <v>Valdivia</v>
          </cell>
          <cell r="E132" t="str">
            <v>CO-ANT-05854</v>
          </cell>
        </row>
        <row r="133">
          <cell r="D133" t="str">
            <v>Valparaíso</v>
          </cell>
          <cell r="E133" t="str">
            <v>CO-ANT-05856</v>
          </cell>
        </row>
        <row r="134">
          <cell r="D134" t="str">
            <v>Vegachí</v>
          </cell>
          <cell r="E134" t="str">
            <v>CO-ANT-05858</v>
          </cell>
        </row>
        <row r="135">
          <cell r="D135" t="str">
            <v>Venecia</v>
          </cell>
          <cell r="E135" t="str">
            <v>CO-ANT-05861</v>
          </cell>
        </row>
        <row r="136">
          <cell r="D136" t="str">
            <v>Vigía Del Fuerte</v>
          </cell>
          <cell r="E136" t="str">
            <v>CO-ANT-05873</v>
          </cell>
        </row>
        <row r="137">
          <cell r="D137" t="str">
            <v>Yalí</v>
          </cell>
          <cell r="E137" t="str">
            <v>CO-ANT-05885</v>
          </cell>
        </row>
        <row r="138">
          <cell r="D138" t="str">
            <v>Yarumal</v>
          </cell>
          <cell r="E138" t="str">
            <v>CO-ANT-05887</v>
          </cell>
        </row>
        <row r="139">
          <cell r="D139" t="str">
            <v>Yolombó</v>
          </cell>
          <cell r="E139" t="str">
            <v>CO-ANT-05890</v>
          </cell>
        </row>
        <row r="140">
          <cell r="D140" t="str">
            <v>Yondó</v>
          </cell>
          <cell r="E140" t="str">
            <v>CO-ANT-05893</v>
          </cell>
        </row>
        <row r="141">
          <cell r="D141" t="str">
            <v>Zaragoza</v>
          </cell>
          <cell r="E141" t="str">
            <v>CO-ANT-05895</v>
          </cell>
        </row>
        <row r="142">
          <cell r="D142" t="str">
            <v>Arauca</v>
          </cell>
          <cell r="E142" t="str">
            <v>CO-ARA</v>
          </cell>
        </row>
        <row r="143">
          <cell r="D143" t="str">
            <v>Arauca</v>
          </cell>
          <cell r="E143" t="str">
            <v>CO-ARA-81001</v>
          </cell>
        </row>
        <row r="144">
          <cell r="D144" t="str">
            <v>Arauquita</v>
          </cell>
          <cell r="E144" t="str">
            <v>CO-ARA-81065</v>
          </cell>
        </row>
        <row r="145">
          <cell r="D145" t="str">
            <v>Cravo Norte</v>
          </cell>
          <cell r="E145" t="str">
            <v>CO-ARA-81220</v>
          </cell>
        </row>
        <row r="146">
          <cell r="D146" t="str">
            <v>Fortul</v>
          </cell>
          <cell r="E146" t="str">
            <v>CO-ARA-81300</v>
          </cell>
        </row>
        <row r="147">
          <cell r="D147" t="str">
            <v>Puerto Rondón</v>
          </cell>
          <cell r="E147" t="str">
            <v>CO-ARA-81591</v>
          </cell>
        </row>
        <row r="148">
          <cell r="D148" t="str">
            <v>Saravena</v>
          </cell>
          <cell r="E148" t="str">
            <v>CO-ARA-81736</v>
          </cell>
        </row>
        <row r="149">
          <cell r="D149" t="str">
            <v>Tame</v>
          </cell>
          <cell r="E149" t="str">
            <v>CO-ARA-81794</v>
          </cell>
        </row>
        <row r="150">
          <cell r="D150" t="str">
            <v>Atlántico</v>
          </cell>
          <cell r="E150" t="str">
            <v>CO-ATL</v>
          </cell>
        </row>
        <row r="151">
          <cell r="D151" t="str">
            <v>Barranquilla</v>
          </cell>
          <cell r="E151" t="str">
            <v>CO-ATL-08001</v>
          </cell>
        </row>
        <row r="152">
          <cell r="D152" t="str">
            <v>Baranoa</v>
          </cell>
          <cell r="E152" t="str">
            <v>CO-ATL-08078</v>
          </cell>
        </row>
        <row r="153">
          <cell r="D153" t="str">
            <v>Campo De La Cruz</v>
          </cell>
          <cell r="E153" t="str">
            <v>CO-ATL-08137</v>
          </cell>
        </row>
        <row r="154">
          <cell r="D154" t="str">
            <v>Candelaria</v>
          </cell>
          <cell r="E154" t="str">
            <v>CO-ATL-08141</v>
          </cell>
        </row>
        <row r="155">
          <cell r="D155" t="str">
            <v>Galapa</v>
          </cell>
          <cell r="E155" t="str">
            <v>CO-ATL-08296</v>
          </cell>
        </row>
        <row r="156">
          <cell r="D156" t="str">
            <v>Juan De Acosta</v>
          </cell>
          <cell r="E156" t="str">
            <v>CO-ATL-08372</v>
          </cell>
        </row>
        <row r="157">
          <cell r="D157" t="str">
            <v>Luruaco</v>
          </cell>
          <cell r="E157" t="str">
            <v>CO-ATL-08421</v>
          </cell>
        </row>
        <row r="158">
          <cell r="D158" t="str">
            <v>Malambo</v>
          </cell>
          <cell r="E158" t="str">
            <v>CO-ATL-08433</v>
          </cell>
        </row>
        <row r="159">
          <cell r="D159" t="str">
            <v>Manatí</v>
          </cell>
          <cell r="E159" t="str">
            <v>CO-ATL-08436</v>
          </cell>
        </row>
        <row r="160">
          <cell r="D160" t="str">
            <v>Palmar De Varela</v>
          </cell>
          <cell r="E160" t="str">
            <v>CO-ATL-08520</v>
          </cell>
        </row>
        <row r="161">
          <cell r="D161" t="str">
            <v>Piojó</v>
          </cell>
          <cell r="E161" t="str">
            <v>CO-ATL-08549</v>
          </cell>
        </row>
        <row r="162">
          <cell r="D162" t="str">
            <v>Polonuevo</v>
          </cell>
          <cell r="E162" t="str">
            <v>CO-ATL-08558</v>
          </cell>
        </row>
        <row r="163">
          <cell r="D163" t="str">
            <v>Ponedera</v>
          </cell>
          <cell r="E163" t="str">
            <v>CO-ATL-08560</v>
          </cell>
        </row>
        <row r="164">
          <cell r="D164" t="str">
            <v>Puerto Colombia</v>
          </cell>
          <cell r="E164" t="str">
            <v>CO-ATL-08573</v>
          </cell>
        </row>
        <row r="165">
          <cell r="D165" t="str">
            <v>Repelón</v>
          </cell>
          <cell r="E165" t="str">
            <v>CO-ATL-08606</v>
          </cell>
        </row>
        <row r="166">
          <cell r="D166" t="str">
            <v>Sabanagrande</v>
          </cell>
          <cell r="E166" t="str">
            <v>CO-ATL-08634</v>
          </cell>
        </row>
        <row r="167">
          <cell r="D167" t="str">
            <v>Sabanalarga</v>
          </cell>
          <cell r="E167" t="str">
            <v>CO-ATL-08638</v>
          </cell>
        </row>
        <row r="168">
          <cell r="D168" t="str">
            <v>Santa Lucía</v>
          </cell>
          <cell r="E168" t="str">
            <v>CO-ATL-08675</v>
          </cell>
        </row>
        <row r="169">
          <cell r="D169" t="str">
            <v>Santo Tomás</v>
          </cell>
          <cell r="E169" t="str">
            <v>CO-ATL-08685</v>
          </cell>
        </row>
        <row r="170">
          <cell r="D170" t="str">
            <v>Soledad</v>
          </cell>
          <cell r="E170" t="str">
            <v>CO-ATL-08758</v>
          </cell>
        </row>
        <row r="171">
          <cell r="D171" t="str">
            <v>Suan</v>
          </cell>
          <cell r="E171" t="str">
            <v>CO-ATL-08770</v>
          </cell>
        </row>
        <row r="172">
          <cell r="D172" t="str">
            <v>Tubará</v>
          </cell>
          <cell r="E172" t="str">
            <v>CO-ATL-08832</v>
          </cell>
        </row>
        <row r="173">
          <cell r="D173" t="str">
            <v>Usiacurí</v>
          </cell>
          <cell r="E173" t="str">
            <v>CO-ATL-08849</v>
          </cell>
        </row>
        <row r="174">
          <cell r="D174" t="str">
            <v>Bolívar</v>
          </cell>
          <cell r="E174" t="str">
            <v>CO-BOL</v>
          </cell>
        </row>
        <row r="175">
          <cell r="D175" t="str">
            <v>Cartagena</v>
          </cell>
          <cell r="E175" t="str">
            <v>CO-BOL-13001</v>
          </cell>
        </row>
        <row r="176">
          <cell r="D176" t="str">
            <v>Achí</v>
          </cell>
          <cell r="E176" t="str">
            <v>CO-BOL-13006</v>
          </cell>
        </row>
        <row r="177">
          <cell r="D177" t="str">
            <v>Altos Del Rosario</v>
          </cell>
          <cell r="E177" t="str">
            <v>CO-BOL-13030</v>
          </cell>
        </row>
        <row r="178">
          <cell r="D178" t="str">
            <v>Arenal</v>
          </cell>
          <cell r="E178" t="str">
            <v>CO-BOL-13042</v>
          </cell>
        </row>
        <row r="179">
          <cell r="D179" t="str">
            <v>Arjona</v>
          </cell>
          <cell r="E179" t="str">
            <v>CO-BOL-13052</v>
          </cell>
        </row>
        <row r="180">
          <cell r="D180" t="str">
            <v>Arroyohondo</v>
          </cell>
          <cell r="E180" t="str">
            <v>CO-BOL-13062</v>
          </cell>
        </row>
        <row r="181">
          <cell r="D181" t="str">
            <v>Barranco De Loba</v>
          </cell>
          <cell r="E181" t="str">
            <v>CO-BOL-13074</v>
          </cell>
        </row>
        <row r="182">
          <cell r="D182" t="str">
            <v>Calamar</v>
          </cell>
          <cell r="E182" t="str">
            <v>CO-BOL-13140</v>
          </cell>
        </row>
        <row r="183">
          <cell r="D183" t="str">
            <v>Cantagallo</v>
          </cell>
          <cell r="E183" t="str">
            <v>CO-BOL-13160</v>
          </cell>
        </row>
        <row r="184">
          <cell r="D184" t="str">
            <v>Cicuco</v>
          </cell>
          <cell r="E184" t="str">
            <v>CO-BOL-13188</v>
          </cell>
        </row>
        <row r="185">
          <cell r="D185" t="str">
            <v>Córdoba</v>
          </cell>
          <cell r="E185" t="str">
            <v>CO-BOL-13212</v>
          </cell>
        </row>
        <row r="186">
          <cell r="D186" t="str">
            <v>Clemencia</v>
          </cell>
          <cell r="E186" t="str">
            <v>CO-BOL-13222</v>
          </cell>
        </row>
        <row r="187">
          <cell r="D187" t="str">
            <v>El Carmen De Bolívar</v>
          </cell>
          <cell r="E187" t="str">
            <v>CO-BOL-13244</v>
          </cell>
        </row>
        <row r="188">
          <cell r="D188" t="str">
            <v>El Guamo</v>
          </cell>
          <cell r="E188" t="str">
            <v>CO-BOL-13248</v>
          </cell>
        </row>
        <row r="189">
          <cell r="D189" t="str">
            <v>El Peñón</v>
          </cell>
          <cell r="E189" t="str">
            <v>CO-BOL-13268</v>
          </cell>
        </row>
        <row r="190">
          <cell r="D190" t="str">
            <v>Hatillo De Loba</v>
          </cell>
          <cell r="E190" t="str">
            <v>CO-BOL-13300</v>
          </cell>
        </row>
        <row r="191">
          <cell r="D191" t="str">
            <v>Magangué</v>
          </cell>
          <cell r="E191" t="str">
            <v>CO-BOL-13430</v>
          </cell>
        </row>
        <row r="192">
          <cell r="D192" t="str">
            <v>Mahates</v>
          </cell>
          <cell r="E192" t="str">
            <v>CO-BOL-13433</v>
          </cell>
        </row>
        <row r="193">
          <cell r="D193" t="str">
            <v>Margarita</v>
          </cell>
          <cell r="E193" t="str">
            <v>CO-BOL-13440</v>
          </cell>
        </row>
        <row r="194">
          <cell r="D194" t="str">
            <v>María La Baja</v>
          </cell>
          <cell r="E194" t="str">
            <v>CO-BOL-13442</v>
          </cell>
        </row>
        <row r="195">
          <cell r="D195" t="str">
            <v>Montecristo</v>
          </cell>
          <cell r="E195" t="str">
            <v>CO-BOL-13458</v>
          </cell>
        </row>
        <row r="196">
          <cell r="D196" t="str">
            <v>Mompós</v>
          </cell>
          <cell r="E196" t="str">
            <v>CO-BOL-13468</v>
          </cell>
        </row>
        <row r="197">
          <cell r="D197" t="str">
            <v>Morales</v>
          </cell>
          <cell r="E197" t="str">
            <v>CO-BOL-13473</v>
          </cell>
        </row>
        <row r="198">
          <cell r="D198" t="str">
            <v>Pinillos</v>
          </cell>
          <cell r="E198" t="str">
            <v>CO-BOL-13549</v>
          </cell>
        </row>
        <row r="199">
          <cell r="D199" t="str">
            <v>Regidor</v>
          </cell>
          <cell r="E199" t="str">
            <v>CO-BOL-13580</v>
          </cell>
        </row>
        <row r="200">
          <cell r="D200" t="str">
            <v>Río Viejo</v>
          </cell>
          <cell r="E200" t="str">
            <v>CO-BOL-13600</v>
          </cell>
        </row>
        <row r="201">
          <cell r="D201" t="str">
            <v>San Cristóbal</v>
          </cell>
          <cell r="E201" t="str">
            <v>CO-BOL-13620</v>
          </cell>
        </row>
        <row r="202">
          <cell r="D202" t="str">
            <v>San Estanislao</v>
          </cell>
          <cell r="E202" t="str">
            <v>CO-BOL-13647</v>
          </cell>
        </row>
        <row r="203">
          <cell r="D203" t="str">
            <v>San Fernando</v>
          </cell>
          <cell r="E203" t="str">
            <v>CO-BOL-13650</v>
          </cell>
        </row>
        <row r="204">
          <cell r="D204" t="str">
            <v>San Jacinto</v>
          </cell>
          <cell r="E204" t="str">
            <v>CO-BOL-13654</v>
          </cell>
        </row>
        <row r="205">
          <cell r="D205" t="str">
            <v>San Jacinto Del Cauca</v>
          </cell>
          <cell r="E205" t="str">
            <v>CO-BOL-13655</v>
          </cell>
        </row>
        <row r="206">
          <cell r="D206" t="str">
            <v>San Juan Nepomuceno</v>
          </cell>
          <cell r="E206" t="str">
            <v>CO-BOL-13657</v>
          </cell>
        </row>
        <row r="207">
          <cell r="D207" t="str">
            <v>San Martín De Loba</v>
          </cell>
          <cell r="E207" t="str">
            <v>CO-BOL-13667</v>
          </cell>
        </row>
        <row r="208">
          <cell r="D208" t="str">
            <v>San Pablo</v>
          </cell>
          <cell r="E208" t="str">
            <v>CO-BOL-13670</v>
          </cell>
        </row>
        <row r="209">
          <cell r="D209" t="str">
            <v>Santa Catalina</v>
          </cell>
          <cell r="E209" t="str">
            <v>CO-BOL-13673</v>
          </cell>
        </row>
        <row r="210">
          <cell r="D210" t="str">
            <v>Santa Rosa</v>
          </cell>
          <cell r="E210" t="str">
            <v>CO-BOL-13683</v>
          </cell>
        </row>
        <row r="211">
          <cell r="D211" t="str">
            <v>Santa Rosa Del Sur</v>
          </cell>
          <cell r="E211" t="str">
            <v>CO-BOL-13688</v>
          </cell>
        </row>
        <row r="212">
          <cell r="D212" t="str">
            <v>Simití</v>
          </cell>
          <cell r="E212" t="str">
            <v>CO-BOL-13744</v>
          </cell>
        </row>
        <row r="213">
          <cell r="D213" t="str">
            <v>Soplaviento</v>
          </cell>
          <cell r="E213" t="str">
            <v>CO-BOL-13760</v>
          </cell>
        </row>
        <row r="214">
          <cell r="D214" t="str">
            <v>Talaigua Nuevo</v>
          </cell>
          <cell r="E214" t="str">
            <v>CO-BOL-13780</v>
          </cell>
        </row>
        <row r="215">
          <cell r="D215" t="str">
            <v>Tiquisio</v>
          </cell>
          <cell r="E215" t="str">
            <v>CO-BOL-13810</v>
          </cell>
        </row>
        <row r="216">
          <cell r="D216" t="str">
            <v>Turbaco</v>
          </cell>
          <cell r="E216" t="str">
            <v>CO-BOL-13836</v>
          </cell>
        </row>
        <row r="217">
          <cell r="D217" t="str">
            <v>Turbaná</v>
          </cell>
          <cell r="E217" t="str">
            <v>CO-BOL-13838</v>
          </cell>
        </row>
        <row r="218">
          <cell r="D218" t="str">
            <v>Villanueva</v>
          </cell>
          <cell r="E218" t="str">
            <v>CO-BOL-13873</v>
          </cell>
        </row>
        <row r="219">
          <cell r="D219" t="str">
            <v>Zambrano</v>
          </cell>
          <cell r="E219" t="str">
            <v>CO-BOL-13894</v>
          </cell>
        </row>
        <row r="220">
          <cell r="D220" t="str">
            <v>Boyacá</v>
          </cell>
          <cell r="E220" t="str">
            <v>CO-BOY</v>
          </cell>
        </row>
        <row r="221">
          <cell r="D221" t="str">
            <v>Tunja</v>
          </cell>
          <cell r="E221" t="str">
            <v>CO-BOY-15001</v>
          </cell>
        </row>
        <row r="222">
          <cell r="D222" t="str">
            <v>Almeida</v>
          </cell>
          <cell r="E222" t="str">
            <v>CO-BOY-15022</v>
          </cell>
        </row>
        <row r="223">
          <cell r="D223" t="str">
            <v>Aquitania</v>
          </cell>
          <cell r="E223" t="str">
            <v>CO-BOY-15047</v>
          </cell>
        </row>
        <row r="224">
          <cell r="D224" t="str">
            <v>Arcabuco</v>
          </cell>
          <cell r="E224" t="str">
            <v>CO-BOY-15051</v>
          </cell>
        </row>
        <row r="225">
          <cell r="D225" t="str">
            <v>Belén</v>
          </cell>
          <cell r="E225" t="str">
            <v>CO-BOY-15087</v>
          </cell>
        </row>
        <row r="226">
          <cell r="D226" t="str">
            <v>Berbeo</v>
          </cell>
          <cell r="E226" t="str">
            <v>CO-BOY-15090</v>
          </cell>
        </row>
        <row r="227">
          <cell r="D227" t="str">
            <v>Betéitiva</v>
          </cell>
          <cell r="E227" t="str">
            <v>CO-BOY-15092</v>
          </cell>
        </row>
        <row r="228">
          <cell r="D228" t="str">
            <v>Boavita</v>
          </cell>
          <cell r="E228" t="str">
            <v>CO-BOY-15097</v>
          </cell>
        </row>
        <row r="229">
          <cell r="D229" t="str">
            <v>Boyacá</v>
          </cell>
          <cell r="E229" t="str">
            <v>CO-BOY-15104</v>
          </cell>
        </row>
        <row r="230">
          <cell r="D230" t="str">
            <v>Briceño</v>
          </cell>
          <cell r="E230" t="str">
            <v>CO-BOY-15106</v>
          </cell>
        </row>
        <row r="231">
          <cell r="D231" t="str">
            <v>Buenavista</v>
          </cell>
          <cell r="E231" t="str">
            <v>CO-BOY-15109</v>
          </cell>
        </row>
        <row r="232">
          <cell r="D232" t="str">
            <v>Busbanzá</v>
          </cell>
          <cell r="E232" t="str">
            <v>CO-BOY-15114</v>
          </cell>
        </row>
        <row r="233">
          <cell r="D233" t="str">
            <v>Caldas</v>
          </cell>
          <cell r="E233" t="str">
            <v>CO-BOY-15131</v>
          </cell>
        </row>
        <row r="234">
          <cell r="D234" t="str">
            <v>Campohermoso</v>
          </cell>
          <cell r="E234" t="str">
            <v>CO-BOY-15135</v>
          </cell>
        </row>
        <row r="235">
          <cell r="D235" t="str">
            <v>Cerinza</v>
          </cell>
          <cell r="E235" t="str">
            <v>CO-BOY-15162</v>
          </cell>
        </row>
        <row r="236">
          <cell r="D236" t="str">
            <v>Chinavita</v>
          </cell>
          <cell r="E236" t="str">
            <v>CO-BOY-15172</v>
          </cell>
        </row>
        <row r="237">
          <cell r="D237" t="str">
            <v>Chiquinquirá</v>
          </cell>
          <cell r="E237" t="str">
            <v>CO-BOY-15176</v>
          </cell>
        </row>
        <row r="238">
          <cell r="D238" t="str">
            <v>Chiscas</v>
          </cell>
          <cell r="E238" t="str">
            <v>CO-BOY-15180</v>
          </cell>
        </row>
        <row r="239">
          <cell r="D239" t="str">
            <v>Chita</v>
          </cell>
          <cell r="E239" t="str">
            <v>CO-BOY-15183</v>
          </cell>
        </row>
        <row r="240">
          <cell r="D240" t="str">
            <v>Chitaraque</v>
          </cell>
          <cell r="E240" t="str">
            <v>CO-BOY-15185</v>
          </cell>
        </row>
        <row r="241">
          <cell r="D241" t="str">
            <v>Chivatá</v>
          </cell>
          <cell r="E241" t="str">
            <v>CO-BOY-15187</v>
          </cell>
        </row>
        <row r="242">
          <cell r="D242" t="str">
            <v>Ciénega</v>
          </cell>
          <cell r="E242" t="str">
            <v>CO-BOY-15189</v>
          </cell>
        </row>
        <row r="243">
          <cell r="D243" t="str">
            <v>Cómbita</v>
          </cell>
          <cell r="E243" t="str">
            <v>CO-BOY-15204</v>
          </cell>
        </row>
        <row r="244">
          <cell r="D244" t="str">
            <v>Coper</v>
          </cell>
          <cell r="E244" t="str">
            <v>CO-BOY-15212</v>
          </cell>
        </row>
        <row r="245">
          <cell r="D245" t="str">
            <v>Corrales</v>
          </cell>
          <cell r="E245" t="str">
            <v>CO-BOY-15215</v>
          </cell>
        </row>
        <row r="246">
          <cell r="D246" t="str">
            <v>Covarachía</v>
          </cell>
          <cell r="E246" t="str">
            <v>CO-BOY-15218</v>
          </cell>
        </row>
        <row r="247">
          <cell r="D247" t="str">
            <v>Cubará</v>
          </cell>
          <cell r="E247" t="str">
            <v>CO-BOY-15223</v>
          </cell>
        </row>
        <row r="248">
          <cell r="D248" t="str">
            <v>Cucaita</v>
          </cell>
          <cell r="E248" t="str">
            <v>CO-BOY-15224</v>
          </cell>
        </row>
        <row r="249">
          <cell r="D249" t="str">
            <v>Cuítiva</v>
          </cell>
          <cell r="E249" t="str">
            <v>CO-BOY-15226</v>
          </cell>
        </row>
        <row r="250">
          <cell r="D250" t="str">
            <v>Chíquiza</v>
          </cell>
          <cell r="E250" t="str">
            <v>CO-BOY-15232</v>
          </cell>
        </row>
        <row r="251">
          <cell r="D251" t="str">
            <v>Chivor</v>
          </cell>
          <cell r="E251" t="str">
            <v>CO-BOY-15236</v>
          </cell>
        </row>
        <row r="252">
          <cell r="D252" t="str">
            <v>Duitama</v>
          </cell>
          <cell r="E252" t="str">
            <v>CO-BOY-15238</v>
          </cell>
        </row>
        <row r="253">
          <cell r="D253" t="str">
            <v>El Cocuy</v>
          </cell>
          <cell r="E253" t="str">
            <v>CO-BOY-15244</v>
          </cell>
        </row>
        <row r="254">
          <cell r="D254" t="str">
            <v>El Espino</v>
          </cell>
          <cell r="E254" t="str">
            <v>CO-BOY-15248</v>
          </cell>
        </row>
        <row r="255">
          <cell r="D255" t="str">
            <v>Firavitoba</v>
          </cell>
          <cell r="E255" t="str">
            <v>CO-BOY-15272</v>
          </cell>
        </row>
        <row r="256">
          <cell r="D256" t="str">
            <v>Floresta</v>
          </cell>
          <cell r="E256" t="str">
            <v>CO-BOY-15276</v>
          </cell>
        </row>
        <row r="257">
          <cell r="D257" t="str">
            <v>Gachantivá</v>
          </cell>
          <cell r="E257" t="str">
            <v>CO-BOY-15293</v>
          </cell>
        </row>
        <row r="258">
          <cell r="D258" t="str">
            <v>Gameza</v>
          </cell>
          <cell r="E258" t="str">
            <v>CO-BOY-15296</v>
          </cell>
        </row>
        <row r="259">
          <cell r="D259" t="str">
            <v>Garagoa</v>
          </cell>
          <cell r="E259" t="str">
            <v>CO-BOY-15299</v>
          </cell>
        </row>
        <row r="260">
          <cell r="D260" t="str">
            <v>Guacamayas</v>
          </cell>
          <cell r="E260" t="str">
            <v>CO-BOY-15317</v>
          </cell>
        </row>
        <row r="261">
          <cell r="D261" t="str">
            <v>Guateque</v>
          </cell>
          <cell r="E261" t="str">
            <v>CO-BOY-15322</v>
          </cell>
        </row>
        <row r="262">
          <cell r="D262" t="str">
            <v>Guayatá</v>
          </cell>
          <cell r="E262" t="str">
            <v>CO-BOY-15325</v>
          </cell>
        </row>
        <row r="263">
          <cell r="D263" t="str">
            <v>Güicán</v>
          </cell>
          <cell r="E263" t="str">
            <v>CO-BOY-15332</v>
          </cell>
        </row>
        <row r="264">
          <cell r="D264" t="str">
            <v>Iza</v>
          </cell>
          <cell r="E264" t="str">
            <v>CO-BOY-15362</v>
          </cell>
        </row>
        <row r="265">
          <cell r="D265" t="str">
            <v>Jenesano</v>
          </cell>
          <cell r="E265" t="str">
            <v>CO-BOY-15367</v>
          </cell>
        </row>
        <row r="266">
          <cell r="D266" t="str">
            <v>Jericó</v>
          </cell>
          <cell r="E266" t="str">
            <v>CO-BOY-15368</v>
          </cell>
        </row>
        <row r="267">
          <cell r="D267" t="str">
            <v>Labranzagrande</v>
          </cell>
          <cell r="E267" t="str">
            <v>CO-BOY-15377</v>
          </cell>
        </row>
        <row r="268">
          <cell r="D268" t="str">
            <v>La Capilla</v>
          </cell>
          <cell r="E268" t="str">
            <v>CO-BOY-15380</v>
          </cell>
        </row>
        <row r="269">
          <cell r="D269" t="str">
            <v>La Victoria</v>
          </cell>
          <cell r="E269" t="str">
            <v>CO-BOY-15401</v>
          </cell>
        </row>
        <row r="270">
          <cell r="D270" t="str">
            <v>La Uvita</v>
          </cell>
          <cell r="E270" t="str">
            <v>CO-BOY-15403</v>
          </cell>
        </row>
        <row r="271">
          <cell r="D271" t="str">
            <v>Villa De Leyva</v>
          </cell>
          <cell r="E271" t="str">
            <v>CO-BOY-15407</v>
          </cell>
        </row>
        <row r="272">
          <cell r="D272" t="str">
            <v>Macanal</v>
          </cell>
          <cell r="E272" t="str">
            <v>CO-BOY-15425</v>
          </cell>
        </row>
        <row r="273">
          <cell r="D273" t="str">
            <v>Maripí</v>
          </cell>
          <cell r="E273" t="str">
            <v>CO-BOY-15442</v>
          </cell>
        </row>
        <row r="274">
          <cell r="D274" t="str">
            <v>Miraflores</v>
          </cell>
          <cell r="E274" t="str">
            <v>CO-BOY-15455</v>
          </cell>
        </row>
        <row r="275">
          <cell r="D275" t="str">
            <v>Mongua</v>
          </cell>
          <cell r="E275" t="str">
            <v>CO-BOY-15464</v>
          </cell>
        </row>
        <row r="276">
          <cell r="D276" t="str">
            <v>Monguí</v>
          </cell>
          <cell r="E276" t="str">
            <v>CO-BOY-15466</v>
          </cell>
        </row>
        <row r="277">
          <cell r="D277" t="str">
            <v>Moniquirá</v>
          </cell>
          <cell r="E277" t="str">
            <v>CO-BOY-15469</v>
          </cell>
        </row>
        <row r="278">
          <cell r="D278" t="str">
            <v>Motavita</v>
          </cell>
          <cell r="E278" t="str">
            <v>CO-BOY-15476</v>
          </cell>
        </row>
        <row r="279">
          <cell r="D279" t="str">
            <v>Muzo</v>
          </cell>
          <cell r="E279" t="str">
            <v>CO-BOY-15480</v>
          </cell>
        </row>
        <row r="280">
          <cell r="D280" t="str">
            <v>Nobsa</v>
          </cell>
          <cell r="E280" t="str">
            <v>CO-BOY-15491</v>
          </cell>
        </row>
        <row r="281">
          <cell r="D281" t="str">
            <v>Nuevo Colón</v>
          </cell>
          <cell r="E281" t="str">
            <v>CO-BOY-15494</v>
          </cell>
        </row>
        <row r="282">
          <cell r="D282" t="str">
            <v>Oicatá</v>
          </cell>
          <cell r="E282" t="str">
            <v>CO-BOY-15500</v>
          </cell>
        </row>
        <row r="283">
          <cell r="D283" t="str">
            <v>Otanche</v>
          </cell>
          <cell r="E283" t="str">
            <v>CO-BOY-15507</v>
          </cell>
        </row>
        <row r="284">
          <cell r="D284" t="str">
            <v>Pachavita</v>
          </cell>
          <cell r="E284" t="str">
            <v>CO-BOY-15511</v>
          </cell>
        </row>
        <row r="285">
          <cell r="D285" t="str">
            <v>Páez</v>
          </cell>
          <cell r="E285" t="str">
            <v>CO-BOY-15514</v>
          </cell>
        </row>
        <row r="286">
          <cell r="D286" t="str">
            <v>Paipa</v>
          </cell>
          <cell r="E286" t="str">
            <v>CO-BOY-15516</v>
          </cell>
        </row>
        <row r="287">
          <cell r="D287" t="str">
            <v>Pajarito</v>
          </cell>
          <cell r="E287" t="str">
            <v>CO-BOY-15518</v>
          </cell>
        </row>
        <row r="288">
          <cell r="D288" t="str">
            <v>Panqueba</v>
          </cell>
          <cell r="E288" t="str">
            <v>CO-BOY-15522</v>
          </cell>
        </row>
        <row r="289">
          <cell r="D289" t="str">
            <v>Pauna</v>
          </cell>
          <cell r="E289" t="str">
            <v>CO-BOY-15531</v>
          </cell>
        </row>
        <row r="290">
          <cell r="D290" t="str">
            <v>Paya</v>
          </cell>
          <cell r="E290" t="str">
            <v>CO-BOY-15533</v>
          </cell>
        </row>
        <row r="291">
          <cell r="D291" t="str">
            <v>Paz De Río</v>
          </cell>
          <cell r="E291" t="str">
            <v>CO-BOY-15537</v>
          </cell>
        </row>
        <row r="292">
          <cell r="D292" t="str">
            <v>Pesca</v>
          </cell>
          <cell r="E292" t="str">
            <v>CO-BOY-15542</v>
          </cell>
        </row>
        <row r="293">
          <cell r="D293" t="str">
            <v>Pisba</v>
          </cell>
          <cell r="E293" t="str">
            <v>CO-BOY-15550</v>
          </cell>
        </row>
        <row r="294">
          <cell r="D294" t="str">
            <v>Puerto Boyacá</v>
          </cell>
          <cell r="E294" t="str">
            <v>CO-BOY-15572</v>
          </cell>
        </row>
        <row r="295">
          <cell r="D295" t="str">
            <v>Quípama</v>
          </cell>
          <cell r="E295" t="str">
            <v>CO-BOY-15580</v>
          </cell>
        </row>
        <row r="296">
          <cell r="D296" t="str">
            <v>Ramiriquí</v>
          </cell>
          <cell r="E296" t="str">
            <v>CO-BOY-15599</v>
          </cell>
        </row>
        <row r="297">
          <cell r="D297" t="str">
            <v>Ráquira</v>
          </cell>
          <cell r="E297" t="str">
            <v>CO-BOY-15600</v>
          </cell>
        </row>
        <row r="298">
          <cell r="D298" t="str">
            <v>Rondón</v>
          </cell>
          <cell r="E298" t="str">
            <v>CO-BOY-15621</v>
          </cell>
        </row>
        <row r="299">
          <cell r="D299" t="str">
            <v>Saboyá</v>
          </cell>
          <cell r="E299" t="str">
            <v>CO-BOY-15632</v>
          </cell>
        </row>
        <row r="300">
          <cell r="D300" t="str">
            <v>Sáchica</v>
          </cell>
          <cell r="E300" t="str">
            <v>CO-BOY-15638</v>
          </cell>
        </row>
        <row r="301">
          <cell r="D301" t="str">
            <v>Samacá</v>
          </cell>
          <cell r="E301" t="str">
            <v>CO-BOY-15646</v>
          </cell>
        </row>
        <row r="302">
          <cell r="D302" t="str">
            <v>San Eduardo</v>
          </cell>
          <cell r="E302" t="str">
            <v>CO-BOY-15660</v>
          </cell>
        </row>
        <row r="303">
          <cell r="D303" t="str">
            <v>San José De Pare</v>
          </cell>
          <cell r="E303" t="str">
            <v>CO-BOY-15664</v>
          </cell>
        </row>
        <row r="304">
          <cell r="D304" t="str">
            <v>San Luis De Gaceno</v>
          </cell>
          <cell r="E304" t="str">
            <v>CO-BOY-15667</v>
          </cell>
        </row>
        <row r="305">
          <cell r="D305" t="str">
            <v>San Mateo</v>
          </cell>
          <cell r="E305" t="str">
            <v>CO-BOY-15673</v>
          </cell>
        </row>
        <row r="306">
          <cell r="D306" t="str">
            <v>San Miguel De Sema</v>
          </cell>
          <cell r="E306" t="str">
            <v>CO-BOY-15676</v>
          </cell>
        </row>
        <row r="307">
          <cell r="D307" t="str">
            <v>San Pablo De Borbur</v>
          </cell>
          <cell r="E307" t="str">
            <v>CO-BOY-15681</v>
          </cell>
        </row>
        <row r="308">
          <cell r="D308" t="str">
            <v>Santana</v>
          </cell>
          <cell r="E308" t="str">
            <v>CO-BOY-15686</v>
          </cell>
        </row>
        <row r="309">
          <cell r="D309" t="str">
            <v>Santa María</v>
          </cell>
          <cell r="E309" t="str">
            <v>CO-BOY-15690</v>
          </cell>
        </row>
        <row r="310">
          <cell r="D310" t="str">
            <v>Santa Rosa De Viterbo</v>
          </cell>
          <cell r="E310" t="str">
            <v>CO-BOY-15693</v>
          </cell>
        </row>
        <row r="311">
          <cell r="D311" t="str">
            <v>Santa Sofía</v>
          </cell>
          <cell r="E311" t="str">
            <v>CO-BOY-15696</v>
          </cell>
        </row>
        <row r="312">
          <cell r="D312" t="str">
            <v>Sativanorte</v>
          </cell>
          <cell r="E312" t="str">
            <v>CO-BOY-15720</v>
          </cell>
        </row>
        <row r="313">
          <cell r="D313" t="str">
            <v>Sativasur</v>
          </cell>
          <cell r="E313" t="str">
            <v>CO-BOY-15723</v>
          </cell>
        </row>
        <row r="314">
          <cell r="D314" t="str">
            <v>Siachoque</v>
          </cell>
          <cell r="E314" t="str">
            <v>CO-BOY-15740</v>
          </cell>
        </row>
        <row r="315">
          <cell r="D315" t="str">
            <v>Soatá</v>
          </cell>
          <cell r="E315" t="str">
            <v>CO-BOY-15753</v>
          </cell>
        </row>
        <row r="316">
          <cell r="D316" t="str">
            <v>Socotá</v>
          </cell>
          <cell r="E316" t="str">
            <v>CO-BOY-15755</v>
          </cell>
        </row>
        <row r="317">
          <cell r="D317" t="str">
            <v>Socha</v>
          </cell>
          <cell r="E317" t="str">
            <v>CO-BOY-15757</v>
          </cell>
        </row>
        <row r="318">
          <cell r="D318" t="str">
            <v>Sogamoso</v>
          </cell>
          <cell r="E318" t="str">
            <v>CO-BOY-15759</v>
          </cell>
        </row>
        <row r="319">
          <cell r="D319" t="str">
            <v>Somondoco</v>
          </cell>
          <cell r="E319" t="str">
            <v>CO-BOY-15761</v>
          </cell>
        </row>
        <row r="320">
          <cell r="D320" t="str">
            <v>Sora</v>
          </cell>
          <cell r="E320" t="str">
            <v>CO-BOY-15762</v>
          </cell>
        </row>
        <row r="321">
          <cell r="D321" t="str">
            <v>Sotaquirá</v>
          </cell>
          <cell r="E321" t="str">
            <v>CO-BOY-15763</v>
          </cell>
        </row>
        <row r="322">
          <cell r="D322" t="str">
            <v>Soracá</v>
          </cell>
          <cell r="E322" t="str">
            <v>CO-BOY-15764</v>
          </cell>
        </row>
        <row r="323">
          <cell r="D323" t="str">
            <v>Susacón</v>
          </cell>
          <cell r="E323" t="str">
            <v>CO-BOY-15774</v>
          </cell>
        </row>
        <row r="324">
          <cell r="D324" t="str">
            <v>Sutamarchán</v>
          </cell>
          <cell r="E324" t="str">
            <v>CO-BOY-15776</v>
          </cell>
        </row>
        <row r="325">
          <cell r="D325" t="str">
            <v>Sutatenza</v>
          </cell>
          <cell r="E325" t="str">
            <v>CO-BOY-15778</v>
          </cell>
        </row>
        <row r="326">
          <cell r="D326" t="str">
            <v>Tasco</v>
          </cell>
          <cell r="E326" t="str">
            <v>CO-BOY-15790</v>
          </cell>
        </row>
        <row r="327">
          <cell r="D327" t="str">
            <v>Tenza</v>
          </cell>
          <cell r="E327" t="str">
            <v>CO-BOY-15798</v>
          </cell>
        </row>
        <row r="328">
          <cell r="D328" t="str">
            <v>Tibaná</v>
          </cell>
          <cell r="E328" t="str">
            <v>CO-BOY-15804</v>
          </cell>
        </row>
        <row r="329">
          <cell r="D329" t="str">
            <v>Tibasosa</v>
          </cell>
          <cell r="E329" t="str">
            <v>CO-BOY-15806</v>
          </cell>
        </row>
        <row r="330">
          <cell r="D330" t="str">
            <v>Tinjacá</v>
          </cell>
          <cell r="E330" t="str">
            <v>CO-BOY-15808</v>
          </cell>
        </row>
        <row r="331">
          <cell r="D331" t="str">
            <v>Tipacoque</v>
          </cell>
          <cell r="E331" t="str">
            <v>CO-BOY-15810</v>
          </cell>
        </row>
        <row r="332">
          <cell r="D332" t="str">
            <v>Toca</v>
          </cell>
          <cell r="E332" t="str">
            <v>CO-BOY-15814</v>
          </cell>
        </row>
        <row r="333">
          <cell r="D333" t="str">
            <v>Togüí</v>
          </cell>
          <cell r="E333" t="str">
            <v>CO-BOY-15816</v>
          </cell>
        </row>
        <row r="334">
          <cell r="D334" t="str">
            <v>Tópaga</v>
          </cell>
          <cell r="E334" t="str">
            <v>CO-BOY-15820</v>
          </cell>
        </row>
        <row r="335">
          <cell r="D335" t="str">
            <v>Tota</v>
          </cell>
          <cell r="E335" t="str">
            <v>CO-BOY-15822</v>
          </cell>
        </row>
        <row r="336">
          <cell r="D336" t="str">
            <v>Tununguá</v>
          </cell>
          <cell r="E336" t="str">
            <v>CO-BOY-15832</v>
          </cell>
        </row>
        <row r="337">
          <cell r="D337" t="str">
            <v>Turmequé</v>
          </cell>
          <cell r="E337" t="str">
            <v>CO-BOY-15835</v>
          </cell>
        </row>
        <row r="338">
          <cell r="D338" t="str">
            <v>Tuta</v>
          </cell>
          <cell r="E338" t="str">
            <v>CO-BOY-15837</v>
          </cell>
        </row>
        <row r="339">
          <cell r="D339" t="str">
            <v>Tutazá</v>
          </cell>
          <cell r="E339" t="str">
            <v>CO-BOY-15839</v>
          </cell>
        </row>
        <row r="340">
          <cell r="D340" t="str">
            <v>Umbita</v>
          </cell>
          <cell r="E340" t="str">
            <v>CO-BOY-15842</v>
          </cell>
        </row>
        <row r="341">
          <cell r="D341" t="str">
            <v>Ventaquemada</v>
          </cell>
          <cell r="E341" t="str">
            <v>CO-BOY-15861</v>
          </cell>
        </row>
        <row r="342">
          <cell r="D342" t="str">
            <v>Viracachá</v>
          </cell>
          <cell r="E342" t="str">
            <v>CO-BOY-15879</v>
          </cell>
        </row>
        <row r="343">
          <cell r="D343" t="str">
            <v>Zetaquira</v>
          </cell>
          <cell r="E343" t="str">
            <v>CO-BOY-15897</v>
          </cell>
        </row>
        <row r="344">
          <cell r="D344" t="str">
            <v>Caldas</v>
          </cell>
          <cell r="E344" t="str">
            <v>CO-CAL</v>
          </cell>
        </row>
        <row r="345">
          <cell r="D345" t="str">
            <v>Manizales</v>
          </cell>
          <cell r="E345" t="str">
            <v>CO-CAL-17001</v>
          </cell>
        </row>
        <row r="346">
          <cell r="D346" t="str">
            <v>Aguadas</v>
          </cell>
          <cell r="E346" t="str">
            <v>CO-CAL-17013</v>
          </cell>
        </row>
        <row r="347">
          <cell r="D347" t="str">
            <v>Anserma</v>
          </cell>
          <cell r="E347" t="str">
            <v>CO-CAL-17042</v>
          </cell>
        </row>
        <row r="348">
          <cell r="D348" t="str">
            <v>Aranzazu</v>
          </cell>
          <cell r="E348" t="str">
            <v>CO-CAL-17050</v>
          </cell>
        </row>
        <row r="349">
          <cell r="D349" t="str">
            <v>Belalcázar</v>
          </cell>
          <cell r="E349" t="str">
            <v>CO-CAL-17088</v>
          </cell>
        </row>
        <row r="350">
          <cell r="D350" t="str">
            <v>Chinchiná</v>
          </cell>
          <cell r="E350" t="str">
            <v>CO-CAL-17174</v>
          </cell>
        </row>
        <row r="351">
          <cell r="D351" t="str">
            <v>Filadelfia</v>
          </cell>
          <cell r="E351" t="str">
            <v>CO-CAL-17272</v>
          </cell>
        </row>
        <row r="352">
          <cell r="D352" t="str">
            <v>La Dorada</v>
          </cell>
          <cell r="E352" t="str">
            <v>CO-CAL-17380</v>
          </cell>
        </row>
        <row r="353">
          <cell r="D353" t="str">
            <v>La Merced</v>
          </cell>
          <cell r="E353" t="str">
            <v>CO-CAL-17388</v>
          </cell>
        </row>
        <row r="354">
          <cell r="D354" t="str">
            <v>Manzanares</v>
          </cell>
          <cell r="E354" t="str">
            <v>CO-CAL-17433</v>
          </cell>
        </row>
        <row r="355">
          <cell r="D355" t="str">
            <v>Marmato</v>
          </cell>
          <cell r="E355" t="str">
            <v>CO-CAL-17442</v>
          </cell>
        </row>
        <row r="356">
          <cell r="D356" t="str">
            <v>Marquetalia</v>
          </cell>
          <cell r="E356" t="str">
            <v>CO-CAL-17444</v>
          </cell>
        </row>
        <row r="357">
          <cell r="D357" t="str">
            <v>Marulanda</v>
          </cell>
          <cell r="E357" t="str">
            <v>CO-CAL-17446</v>
          </cell>
        </row>
        <row r="358">
          <cell r="D358" t="str">
            <v>Neira</v>
          </cell>
          <cell r="E358" t="str">
            <v>CO-CAL-17486</v>
          </cell>
        </row>
        <row r="359">
          <cell r="D359" t="str">
            <v>Norcasia</v>
          </cell>
          <cell r="E359" t="str">
            <v>CO-CAL-17495</v>
          </cell>
        </row>
        <row r="360">
          <cell r="D360" t="str">
            <v>Pácora</v>
          </cell>
          <cell r="E360" t="str">
            <v>CO-CAL-17513</v>
          </cell>
        </row>
        <row r="361">
          <cell r="D361" t="str">
            <v>Palestina</v>
          </cell>
          <cell r="E361" t="str">
            <v>CO-CAL-17524</v>
          </cell>
        </row>
        <row r="362">
          <cell r="D362" t="str">
            <v>Pensilvania</v>
          </cell>
          <cell r="E362" t="str">
            <v>CO-CAL-17541</v>
          </cell>
        </row>
        <row r="363">
          <cell r="D363" t="str">
            <v>Riosucio</v>
          </cell>
          <cell r="E363" t="str">
            <v>CO-CAL-17614</v>
          </cell>
        </row>
        <row r="364">
          <cell r="D364" t="str">
            <v>Risaralda</v>
          </cell>
          <cell r="E364" t="str">
            <v>CO-CAL-17616</v>
          </cell>
        </row>
        <row r="365">
          <cell r="D365" t="str">
            <v>Salamina</v>
          </cell>
          <cell r="E365" t="str">
            <v>CO-CAL-17653</v>
          </cell>
        </row>
        <row r="366">
          <cell r="D366" t="str">
            <v>Samaná</v>
          </cell>
          <cell r="E366" t="str">
            <v>CO-CAL-17662</v>
          </cell>
        </row>
        <row r="367">
          <cell r="D367" t="str">
            <v>San José</v>
          </cell>
          <cell r="E367" t="str">
            <v>CO-CAL-17665</v>
          </cell>
        </row>
        <row r="368">
          <cell r="D368" t="str">
            <v>Supía</v>
          </cell>
          <cell r="E368" t="str">
            <v>CO-CAL-17777</v>
          </cell>
        </row>
        <row r="369">
          <cell r="D369" t="str">
            <v>Victoria</v>
          </cell>
          <cell r="E369" t="str">
            <v>CO-CAL-17867</v>
          </cell>
        </row>
        <row r="370">
          <cell r="D370" t="str">
            <v>Villamaría</v>
          </cell>
          <cell r="E370" t="str">
            <v>CO-CAL-17873</v>
          </cell>
        </row>
        <row r="371">
          <cell r="D371" t="str">
            <v>Viterbo</v>
          </cell>
          <cell r="E371" t="str">
            <v>CO-CAL-17877</v>
          </cell>
        </row>
        <row r="372">
          <cell r="D372" t="str">
            <v>Caquetá</v>
          </cell>
          <cell r="E372" t="str">
            <v>CO-CAQ</v>
          </cell>
        </row>
        <row r="373">
          <cell r="D373" t="str">
            <v>Florencia</v>
          </cell>
          <cell r="E373" t="str">
            <v>CO-CAQ-18001</v>
          </cell>
        </row>
        <row r="374">
          <cell r="D374" t="str">
            <v>Albania</v>
          </cell>
          <cell r="E374" t="str">
            <v>CO-CAQ-18029</v>
          </cell>
        </row>
        <row r="375">
          <cell r="D375" t="str">
            <v>Belén De Los Andaquies</v>
          </cell>
          <cell r="E375" t="str">
            <v>CO-CAQ-18094</v>
          </cell>
        </row>
        <row r="376">
          <cell r="D376" t="str">
            <v>Cartagena Del Chairá</v>
          </cell>
          <cell r="E376" t="str">
            <v>CO-CAQ-18150</v>
          </cell>
        </row>
        <row r="377">
          <cell r="D377" t="str">
            <v>Curillo</v>
          </cell>
          <cell r="E377" t="str">
            <v>CO-CAQ-18205</v>
          </cell>
        </row>
        <row r="378">
          <cell r="D378" t="str">
            <v>El Doncello</v>
          </cell>
          <cell r="E378" t="str">
            <v>CO-CAQ-18247</v>
          </cell>
        </row>
        <row r="379">
          <cell r="D379" t="str">
            <v>El Paujil</v>
          </cell>
          <cell r="E379" t="str">
            <v>CO-CAQ-18256</v>
          </cell>
        </row>
        <row r="380">
          <cell r="D380" t="str">
            <v>La Montañita</v>
          </cell>
          <cell r="E380" t="str">
            <v>CO-CAQ-18410</v>
          </cell>
        </row>
        <row r="381">
          <cell r="D381" t="str">
            <v>Milán</v>
          </cell>
          <cell r="E381" t="str">
            <v>CO-CAQ-18460</v>
          </cell>
        </row>
        <row r="382">
          <cell r="D382" t="str">
            <v>Morelia</v>
          </cell>
          <cell r="E382" t="str">
            <v>CO-CAQ-18479</v>
          </cell>
        </row>
        <row r="383">
          <cell r="D383" t="str">
            <v>Puerto Rico</v>
          </cell>
          <cell r="E383" t="str">
            <v>CO-CAQ-18592</v>
          </cell>
        </row>
        <row r="384">
          <cell r="D384" t="str">
            <v>San José Del Fragua</v>
          </cell>
          <cell r="E384" t="str">
            <v>CO-CAQ-18610</v>
          </cell>
        </row>
        <row r="385">
          <cell r="D385" t="str">
            <v>San Vicente Del Caguán</v>
          </cell>
          <cell r="E385" t="str">
            <v>CO-CAQ-18753</v>
          </cell>
        </row>
        <row r="386">
          <cell r="D386" t="str">
            <v>Solano</v>
          </cell>
          <cell r="E386" t="str">
            <v>CO-CAQ-18756</v>
          </cell>
        </row>
        <row r="387">
          <cell r="D387" t="str">
            <v>Solita</v>
          </cell>
          <cell r="E387" t="str">
            <v>CO-CAQ-18785</v>
          </cell>
        </row>
        <row r="388">
          <cell r="D388" t="str">
            <v>Valparaíso</v>
          </cell>
          <cell r="E388" t="str">
            <v>CO-CAQ-18860</v>
          </cell>
        </row>
        <row r="389">
          <cell r="D389" t="str">
            <v>Casanare</v>
          </cell>
          <cell r="E389" t="str">
            <v>CO-CAS</v>
          </cell>
        </row>
        <row r="390">
          <cell r="D390" t="str">
            <v>Yopal</v>
          </cell>
          <cell r="E390" t="str">
            <v>CO-CAS-85001</v>
          </cell>
        </row>
        <row r="391">
          <cell r="D391" t="str">
            <v>Aguazul</v>
          </cell>
          <cell r="E391" t="str">
            <v>CO-CAS-85010</v>
          </cell>
        </row>
        <row r="392">
          <cell r="D392" t="str">
            <v>Chameza</v>
          </cell>
          <cell r="E392" t="str">
            <v>CO-CAS-85015</v>
          </cell>
        </row>
        <row r="393">
          <cell r="D393" t="str">
            <v>Hato Corozal</v>
          </cell>
          <cell r="E393" t="str">
            <v>CO-CAS-85125</v>
          </cell>
        </row>
        <row r="394">
          <cell r="D394" t="str">
            <v>La Salina</v>
          </cell>
          <cell r="E394" t="str">
            <v>CO-CAS-85136</v>
          </cell>
        </row>
        <row r="395">
          <cell r="D395" t="str">
            <v>Maní</v>
          </cell>
          <cell r="E395" t="str">
            <v>CO-CAS-85139</v>
          </cell>
        </row>
        <row r="396">
          <cell r="D396" t="str">
            <v>Monterrey</v>
          </cell>
          <cell r="E396" t="str">
            <v>CO-CAS-85162</v>
          </cell>
        </row>
        <row r="397">
          <cell r="D397" t="str">
            <v>Nunchía</v>
          </cell>
          <cell r="E397" t="str">
            <v>CO-CAS-85225</v>
          </cell>
        </row>
        <row r="398">
          <cell r="D398" t="str">
            <v>Orocué</v>
          </cell>
          <cell r="E398" t="str">
            <v>CO-CAS-85230</v>
          </cell>
        </row>
        <row r="399">
          <cell r="D399" t="str">
            <v>Paz De Ariporo</v>
          </cell>
          <cell r="E399" t="str">
            <v>CO-CAS-85250</v>
          </cell>
        </row>
        <row r="400">
          <cell r="D400" t="str">
            <v>Pore</v>
          </cell>
          <cell r="E400" t="str">
            <v>CO-CAS-85263</v>
          </cell>
        </row>
        <row r="401">
          <cell r="D401" t="str">
            <v>Recetor</v>
          </cell>
          <cell r="E401" t="str">
            <v>CO-CAS-85279</v>
          </cell>
        </row>
        <row r="402">
          <cell r="D402" t="str">
            <v>Sabanalarga</v>
          </cell>
          <cell r="E402" t="str">
            <v>CO-CAS-85300</v>
          </cell>
        </row>
        <row r="403">
          <cell r="D403" t="str">
            <v>Sácama</v>
          </cell>
          <cell r="E403" t="str">
            <v>CO-CAS-85315</v>
          </cell>
        </row>
        <row r="404">
          <cell r="D404" t="str">
            <v>San Luis De Palenque</v>
          </cell>
          <cell r="E404" t="str">
            <v>CO-CAS-85325</v>
          </cell>
        </row>
        <row r="405">
          <cell r="D405" t="str">
            <v>Támara</v>
          </cell>
          <cell r="E405" t="str">
            <v>CO-CAS-85400</v>
          </cell>
        </row>
        <row r="406">
          <cell r="D406" t="str">
            <v>Tauramena</v>
          </cell>
          <cell r="E406" t="str">
            <v>CO-CAS-85410</v>
          </cell>
        </row>
        <row r="407">
          <cell r="D407" t="str">
            <v>Trinidad</v>
          </cell>
          <cell r="E407" t="str">
            <v>CO-CAS-85430</v>
          </cell>
        </row>
        <row r="408">
          <cell r="D408" t="str">
            <v>Villanueva</v>
          </cell>
          <cell r="E408" t="str">
            <v>CO-CAS-85440</v>
          </cell>
        </row>
        <row r="409">
          <cell r="D409" t="str">
            <v>Cauca</v>
          </cell>
          <cell r="E409" t="str">
            <v>CO-CAU</v>
          </cell>
        </row>
        <row r="410">
          <cell r="D410" t="str">
            <v>Popayán</v>
          </cell>
          <cell r="E410" t="str">
            <v>CO-CAU-19001</v>
          </cell>
        </row>
        <row r="411">
          <cell r="D411" t="str">
            <v>Almaguer</v>
          </cell>
          <cell r="E411" t="str">
            <v>CO-CAU-19022</v>
          </cell>
        </row>
        <row r="412">
          <cell r="D412" t="str">
            <v>Argelia</v>
          </cell>
          <cell r="E412" t="str">
            <v>CO-CAU-19050</v>
          </cell>
        </row>
        <row r="413">
          <cell r="D413" t="str">
            <v>Balboa</v>
          </cell>
          <cell r="E413" t="str">
            <v>CO-CAU-19075</v>
          </cell>
        </row>
        <row r="414">
          <cell r="D414" t="str">
            <v>Bolívar</v>
          </cell>
          <cell r="E414" t="str">
            <v>CO-CAU-19100</v>
          </cell>
        </row>
        <row r="415">
          <cell r="D415" t="str">
            <v>Buenos Aires</v>
          </cell>
          <cell r="E415" t="str">
            <v>CO-CAU-19110</v>
          </cell>
        </row>
        <row r="416">
          <cell r="D416" t="str">
            <v>Cajibío</v>
          </cell>
          <cell r="E416" t="str">
            <v>CO-CAU-19130</v>
          </cell>
        </row>
        <row r="417">
          <cell r="D417" t="str">
            <v>Caldono</v>
          </cell>
          <cell r="E417" t="str">
            <v>CO-CAU-19137</v>
          </cell>
        </row>
        <row r="418">
          <cell r="D418" t="str">
            <v>Caloto</v>
          </cell>
          <cell r="E418" t="str">
            <v>CO-CAU-19142</v>
          </cell>
        </row>
        <row r="419">
          <cell r="D419" t="str">
            <v>Corinto</v>
          </cell>
          <cell r="E419" t="str">
            <v>CO-CAU-19212</v>
          </cell>
        </row>
        <row r="420">
          <cell r="D420" t="str">
            <v>El Tambo</v>
          </cell>
          <cell r="E420" t="str">
            <v>CO-CAU-19256</v>
          </cell>
        </row>
        <row r="421">
          <cell r="D421" t="str">
            <v>Florencia</v>
          </cell>
          <cell r="E421" t="str">
            <v>CO-CAU-19290</v>
          </cell>
        </row>
        <row r="422">
          <cell r="D422" t="str">
            <v>Guapi</v>
          </cell>
          <cell r="E422" t="str">
            <v>CO-CAU-19318</v>
          </cell>
        </row>
        <row r="423">
          <cell r="D423" t="str">
            <v>Inzá</v>
          </cell>
          <cell r="E423" t="str">
            <v>CO-CAU-19355</v>
          </cell>
        </row>
        <row r="424">
          <cell r="D424" t="str">
            <v>Jambaló</v>
          </cell>
          <cell r="E424" t="str">
            <v>CO-CAU-19364</v>
          </cell>
        </row>
        <row r="425">
          <cell r="D425" t="str">
            <v>La Sierra</v>
          </cell>
          <cell r="E425" t="str">
            <v>CO-CAU-19392</v>
          </cell>
        </row>
        <row r="426">
          <cell r="D426" t="str">
            <v>La Vega</v>
          </cell>
          <cell r="E426" t="str">
            <v>CO-CAU-19397</v>
          </cell>
        </row>
        <row r="427">
          <cell r="D427" t="str">
            <v>López</v>
          </cell>
          <cell r="E427" t="str">
            <v>CO-CAU-19418</v>
          </cell>
        </row>
        <row r="428">
          <cell r="D428" t="str">
            <v>Mercaderes</v>
          </cell>
          <cell r="E428" t="str">
            <v>CO-CAU-19450</v>
          </cell>
        </row>
        <row r="429">
          <cell r="D429" t="str">
            <v>Miranda</v>
          </cell>
          <cell r="E429" t="str">
            <v>CO-CAU-19455</v>
          </cell>
        </row>
        <row r="430">
          <cell r="D430" t="str">
            <v>Morales</v>
          </cell>
          <cell r="E430" t="str">
            <v>CO-CAU-19473</v>
          </cell>
        </row>
        <row r="431">
          <cell r="D431" t="str">
            <v>Padilla</v>
          </cell>
          <cell r="E431" t="str">
            <v>CO-CAU-19513</v>
          </cell>
        </row>
        <row r="432">
          <cell r="D432" t="str">
            <v>Paez</v>
          </cell>
          <cell r="E432" t="str">
            <v>CO-CAU-19517</v>
          </cell>
        </row>
        <row r="433">
          <cell r="D433" t="str">
            <v>Patía</v>
          </cell>
          <cell r="E433" t="str">
            <v>CO-CAU-19532</v>
          </cell>
        </row>
        <row r="434">
          <cell r="D434" t="str">
            <v>Piamonte</v>
          </cell>
          <cell r="E434" t="str">
            <v>CO-CAU-19533</v>
          </cell>
        </row>
        <row r="435">
          <cell r="D435" t="str">
            <v>Piendamó</v>
          </cell>
          <cell r="E435" t="str">
            <v>CO-CAU-19548</v>
          </cell>
        </row>
        <row r="436">
          <cell r="D436" t="str">
            <v>Puerto Tejada</v>
          </cell>
          <cell r="E436" t="str">
            <v>CO-CAU-19573</v>
          </cell>
        </row>
        <row r="437">
          <cell r="D437" t="str">
            <v>Puracé</v>
          </cell>
          <cell r="E437" t="str">
            <v>CO-CAU-19585</v>
          </cell>
        </row>
        <row r="438">
          <cell r="D438" t="str">
            <v>Rosas</v>
          </cell>
          <cell r="E438" t="str">
            <v>CO-CAU-19622</v>
          </cell>
        </row>
        <row r="439">
          <cell r="D439" t="str">
            <v>San Sebastián</v>
          </cell>
          <cell r="E439" t="str">
            <v>CO-CAU-19693</v>
          </cell>
        </row>
        <row r="440">
          <cell r="D440" t="str">
            <v>Santander De Quilichao</v>
          </cell>
          <cell r="E440" t="str">
            <v>CO-CAU-19698</v>
          </cell>
        </row>
        <row r="441">
          <cell r="D441" t="str">
            <v>Santa Rosa</v>
          </cell>
          <cell r="E441" t="str">
            <v>CO-CAU-19701</v>
          </cell>
        </row>
        <row r="442">
          <cell r="D442" t="str">
            <v>Silvia</v>
          </cell>
          <cell r="E442" t="str">
            <v>CO-CAU-19743</v>
          </cell>
        </row>
        <row r="443">
          <cell r="D443" t="str">
            <v>Sotara</v>
          </cell>
          <cell r="E443" t="str">
            <v>CO-CAU-19760</v>
          </cell>
        </row>
        <row r="444">
          <cell r="D444" t="str">
            <v>Suárez</v>
          </cell>
          <cell r="E444" t="str">
            <v>CO-CAU-19780</v>
          </cell>
        </row>
        <row r="445">
          <cell r="D445" t="str">
            <v>Sucre</v>
          </cell>
          <cell r="E445" t="str">
            <v>CO-CAU-19785</v>
          </cell>
        </row>
        <row r="446">
          <cell r="D446" t="str">
            <v>Timbío</v>
          </cell>
          <cell r="E446" t="str">
            <v>CO-CAU-19807</v>
          </cell>
        </row>
        <row r="447">
          <cell r="D447" t="str">
            <v>Timbiquí</v>
          </cell>
          <cell r="E447" t="str">
            <v>CO-CAU-19809</v>
          </cell>
        </row>
        <row r="448">
          <cell r="D448" t="str">
            <v>Toribio</v>
          </cell>
          <cell r="E448" t="str">
            <v>CO-CAU-19821</v>
          </cell>
        </row>
        <row r="449">
          <cell r="D449" t="str">
            <v>Totoró</v>
          </cell>
          <cell r="E449" t="str">
            <v>CO-CAU-19824</v>
          </cell>
        </row>
        <row r="450">
          <cell r="D450" t="str">
            <v>Villa Rica</v>
          </cell>
          <cell r="E450" t="str">
            <v>CO-CAU-19845</v>
          </cell>
        </row>
        <row r="451">
          <cell r="D451" t="str">
            <v>Cesar</v>
          </cell>
          <cell r="E451" t="str">
            <v>CO-CES</v>
          </cell>
        </row>
        <row r="452">
          <cell r="D452" t="str">
            <v>Valledupar</v>
          </cell>
          <cell r="E452" t="str">
            <v>CO-CES-20001</v>
          </cell>
        </row>
        <row r="453">
          <cell r="D453" t="str">
            <v>Aguachica</v>
          </cell>
          <cell r="E453" t="str">
            <v>CO-CES-20011</v>
          </cell>
        </row>
        <row r="454">
          <cell r="D454" t="str">
            <v>Agustín Codazzi</v>
          </cell>
          <cell r="E454" t="str">
            <v>CO-CES-20013</v>
          </cell>
        </row>
        <row r="455">
          <cell r="D455" t="str">
            <v>Astrea</v>
          </cell>
          <cell r="E455" t="str">
            <v>CO-CES-20032</v>
          </cell>
        </row>
        <row r="456">
          <cell r="D456" t="str">
            <v>Becerril</v>
          </cell>
          <cell r="E456" t="str">
            <v>CO-CES-20045</v>
          </cell>
        </row>
        <row r="457">
          <cell r="D457" t="str">
            <v>Bosconia</v>
          </cell>
          <cell r="E457" t="str">
            <v>CO-CES-20060</v>
          </cell>
        </row>
        <row r="458">
          <cell r="D458" t="str">
            <v>Chimichagua</v>
          </cell>
          <cell r="E458" t="str">
            <v>CO-CES-20175</v>
          </cell>
        </row>
        <row r="459">
          <cell r="D459" t="str">
            <v>Chiriguaná</v>
          </cell>
          <cell r="E459" t="str">
            <v>CO-CES-20178</v>
          </cell>
        </row>
        <row r="460">
          <cell r="D460" t="str">
            <v>Curumaní</v>
          </cell>
          <cell r="E460" t="str">
            <v>CO-CES-20228</v>
          </cell>
        </row>
        <row r="461">
          <cell r="D461" t="str">
            <v>El Copey</v>
          </cell>
          <cell r="E461" t="str">
            <v>CO-CES-20238</v>
          </cell>
        </row>
        <row r="462">
          <cell r="D462" t="str">
            <v>El Paso</v>
          </cell>
          <cell r="E462" t="str">
            <v>CO-CES-20250</v>
          </cell>
        </row>
        <row r="463">
          <cell r="D463" t="str">
            <v>Gamarra</v>
          </cell>
          <cell r="E463" t="str">
            <v>CO-CES-20295</v>
          </cell>
        </row>
        <row r="464">
          <cell r="D464" t="str">
            <v>González</v>
          </cell>
          <cell r="E464" t="str">
            <v>CO-CES-20310</v>
          </cell>
        </row>
        <row r="465">
          <cell r="D465" t="str">
            <v>La Gloria</v>
          </cell>
          <cell r="E465" t="str">
            <v>CO-CES-20383</v>
          </cell>
        </row>
        <row r="466">
          <cell r="D466" t="str">
            <v>La Jagua De Ibirico</v>
          </cell>
          <cell r="E466" t="str">
            <v>CO-CES-20400</v>
          </cell>
        </row>
        <row r="467">
          <cell r="D467" t="str">
            <v>Manaure</v>
          </cell>
          <cell r="E467" t="str">
            <v>CO-CES-20443</v>
          </cell>
        </row>
        <row r="468">
          <cell r="D468" t="str">
            <v>Pailitas</v>
          </cell>
          <cell r="E468" t="str">
            <v>CO-CES-20517</v>
          </cell>
        </row>
        <row r="469">
          <cell r="D469" t="str">
            <v>Pelaya</v>
          </cell>
          <cell r="E469" t="str">
            <v>CO-CES-20550</v>
          </cell>
        </row>
        <row r="470">
          <cell r="D470" t="str">
            <v>Pueblo Bello</v>
          </cell>
          <cell r="E470" t="str">
            <v>CO-CES-20570</v>
          </cell>
        </row>
        <row r="471">
          <cell r="D471" t="str">
            <v>Río De Oro</v>
          </cell>
          <cell r="E471" t="str">
            <v>CO-CES-20614</v>
          </cell>
        </row>
        <row r="472">
          <cell r="D472" t="str">
            <v>La Paz</v>
          </cell>
          <cell r="E472" t="str">
            <v>CO-CES-20621</v>
          </cell>
        </row>
        <row r="473">
          <cell r="D473" t="str">
            <v>San Alberto</v>
          </cell>
          <cell r="E473" t="str">
            <v>CO-CES-20710</v>
          </cell>
        </row>
        <row r="474">
          <cell r="D474" t="str">
            <v>San Diego</v>
          </cell>
          <cell r="E474" t="str">
            <v>CO-CES-20750</v>
          </cell>
        </row>
        <row r="475">
          <cell r="D475" t="str">
            <v>San Martín</v>
          </cell>
          <cell r="E475" t="str">
            <v>CO-CES-20770</v>
          </cell>
        </row>
        <row r="476">
          <cell r="D476" t="str">
            <v>Tamalameque</v>
          </cell>
          <cell r="E476" t="str">
            <v>CO-CES-20787</v>
          </cell>
        </row>
        <row r="477">
          <cell r="D477" t="str">
            <v>Córdoba</v>
          </cell>
          <cell r="E477" t="str">
            <v>CO-COR</v>
          </cell>
        </row>
        <row r="478">
          <cell r="D478" t="str">
            <v>Montería</v>
          </cell>
          <cell r="E478" t="str">
            <v>CO-COR-23001</v>
          </cell>
        </row>
        <row r="479">
          <cell r="D479" t="str">
            <v>Ayapel</v>
          </cell>
          <cell r="E479" t="str">
            <v>CO-COR-23068</v>
          </cell>
        </row>
        <row r="480">
          <cell r="D480" t="str">
            <v>Buenavista</v>
          </cell>
          <cell r="E480" t="str">
            <v>CO-COR-23079</v>
          </cell>
        </row>
        <row r="481">
          <cell r="D481" t="str">
            <v>Canalete</v>
          </cell>
          <cell r="E481" t="str">
            <v>CO-COR-23090</v>
          </cell>
        </row>
        <row r="482">
          <cell r="D482" t="str">
            <v>Cereté</v>
          </cell>
          <cell r="E482" t="str">
            <v>CO-COR-23162</v>
          </cell>
        </row>
        <row r="483">
          <cell r="D483" t="str">
            <v>Chimá</v>
          </cell>
          <cell r="E483" t="str">
            <v>CO-COR-23168</v>
          </cell>
        </row>
        <row r="484">
          <cell r="D484" t="str">
            <v>Chinú</v>
          </cell>
          <cell r="E484" t="str">
            <v>CO-COR-23182</v>
          </cell>
        </row>
        <row r="485">
          <cell r="D485" t="str">
            <v>Ciénaga De Oro</v>
          </cell>
          <cell r="E485" t="str">
            <v>CO-COR-23189</v>
          </cell>
        </row>
        <row r="486">
          <cell r="D486" t="str">
            <v>Cotorra</v>
          </cell>
          <cell r="E486" t="str">
            <v>CO-COR-23300</v>
          </cell>
        </row>
        <row r="487">
          <cell r="D487" t="str">
            <v>La Apartada</v>
          </cell>
          <cell r="E487" t="str">
            <v>CO-COR-23350</v>
          </cell>
        </row>
        <row r="488">
          <cell r="D488" t="str">
            <v>Lorica</v>
          </cell>
          <cell r="E488" t="str">
            <v>CO-COR-23417</v>
          </cell>
        </row>
        <row r="489">
          <cell r="D489" t="str">
            <v>Los Córdobas</v>
          </cell>
          <cell r="E489" t="str">
            <v>CO-COR-23419</v>
          </cell>
        </row>
        <row r="490">
          <cell r="D490" t="str">
            <v>Momil</v>
          </cell>
          <cell r="E490" t="str">
            <v>CO-COR-23464</v>
          </cell>
        </row>
        <row r="491">
          <cell r="D491" t="str">
            <v>Montelíbano</v>
          </cell>
          <cell r="E491" t="str">
            <v>CO-COR-23466</v>
          </cell>
        </row>
        <row r="492">
          <cell r="D492" t="str">
            <v>Moñitos</v>
          </cell>
          <cell r="E492" t="str">
            <v>CO-COR-23500</v>
          </cell>
        </row>
        <row r="493">
          <cell r="D493" t="str">
            <v>Planeta Rica</v>
          </cell>
          <cell r="E493" t="str">
            <v>CO-COR-23555</v>
          </cell>
        </row>
        <row r="494">
          <cell r="D494" t="str">
            <v>Pueblo Nuevo</v>
          </cell>
          <cell r="E494" t="str">
            <v>CO-COR-23570</v>
          </cell>
        </row>
        <row r="495">
          <cell r="D495" t="str">
            <v>Puerto Escondido</v>
          </cell>
          <cell r="E495" t="str">
            <v>CO-COR-23574</v>
          </cell>
        </row>
        <row r="496">
          <cell r="D496" t="str">
            <v>Puerto Libertador</v>
          </cell>
          <cell r="E496" t="str">
            <v>CO-COR-23580</v>
          </cell>
        </row>
        <row r="497">
          <cell r="D497" t="str">
            <v>Purísima</v>
          </cell>
          <cell r="E497" t="str">
            <v>CO-COR-23586</v>
          </cell>
        </row>
        <row r="498">
          <cell r="D498" t="str">
            <v>Sahagún</v>
          </cell>
          <cell r="E498" t="str">
            <v>CO-COR-23660</v>
          </cell>
        </row>
        <row r="499">
          <cell r="D499" t="str">
            <v>San Andrés Sotavento</v>
          </cell>
          <cell r="E499" t="str">
            <v>CO-COR-23670</v>
          </cell>
        </row>
        <row r="500">
          <cell r="D500" t="str">
            <v>San Antero</v>
          </cell>
          <cell r="E500" t="str">
            <v>CO-COR-23672</v>
          </cell>
        </row>
        <row r="501">
          <cell r="D501" t="str">
            <v>San Bernardo Del Viento</v>
          </cell>
          <cell r="E501" t="str">
            <v>CO-COR-23675</v>
          </cell>
        </row>
        <row r="502">
          <cell r="D502" t="str">
            <v>San Carlos</v>
          </cell>
          <cell r="E502" t="str">
            <v>CO-COR-23678</v>
          </cell>
        </row>
        <row r="503">
          <cell r="D503" t="str">
            <v>San Pelayo</v>
          </cell>
          <cell r="E503" t="str">
            <v>CO-COR-23686</v>
          </cell>
        </row>
        <row r="504">
          <cell r="D504" t="str">
            <v>Tierralta</v>
          </cell>
          <cell r="E504" t="str">
            <v>CO-COR-23807</v>
          </cell>
        </row>
        <row r="505">
          <cell r="D505" t="str">
            <v>Valencia</v>
          </cell>
          <cell r="E505" t="str">
            <v>CO-COR-23855</v>
          </cell>
        </row>
        <row r="506">
          <cell r="D506" t="str">
            <v>Cundinamarca</v>
          </cell>
          <cell r="E506" t="str">
            <v>CO-CUN</v>
          </cell>
        </row>
        <row r="507">
          <cell r="D507" t="str">
            <v>Agua De Dios</v>
          </cell>
          <cell r="E507" t="str">
            <v>CO-CUN-25001</v>
          </cell>
        </row>
        <row r="508">
          <cell r="D508" t="str">
            <v>Albán</v>
          </cell>
          <cell r="E508" t="str">
            <v>CO-CUN-25019</v>
          </cell>
        </row>
        <row r="509">
          <cell r="D509" t="str">
            <v>Anapoima</v>
          </cell>
          <cell r="E509" t="str">
            <v>CO-CUN-25035</v>
          </cell>
        </row>
        <row r="510">
          <cell r="D510" t="str">
            <v>Anolaima</v>
          </cell>
          <cell r="E510" t="str">
            <v>CO-CUN-25040</v>
          </cell>
        </row>
        <row r="511">
          <cell r="D511" t="str">
            <v>Arbeláez</v>
          </cell>
          <cell r="E511" t="str">
            <v>CO-CUN-25053</v>
          </cell>
        </row>
        <row r="512">
          <cell r="D512" t="str">
            <v>Beltrán</v>
          </cell>
          <cell r="E512" t="str">
            <v>CO-CUN-25086</v>
          </cell>
        </row>
        <row r="513">
          <cell r="D513" t="str">
            <v>Bituima</v>
          </cell>
          <cell r="E513" t="str">
            <v>CO-CUN-25095</v>
          </cell>
        </row>
        <row r="514">
          <cell r="D514" t="str">
            <v>Bojacá</v>
          </cell>
          <cell r="E514" t="str">
            <v>CO-CUN-25099</v>
          </cell>
        </row>
        <row r="515">
          <cell r="D515" t="str">
            <v>Cabrera</v>
          </cell>
          <cell r="E515" t="str">
            <v>CO-CUN-25120</v>
          </cell>
        </row>
        <row r="516">
          <cell r="D516" t="str">
            <v>Cachipay</v>
          </cell>
          <cell r="E516" t="str">
            <v>CO-CUN-25123</v>
          </cell>
        </row>
        <row r="517">
          <cell r="D517" t="str">
            <v>Cajicá</v>
          </cell>
          <cell r="E517" t="str">
            <v>CO-CUN-25126</v>
          </cell>
        </row>
        <row r="518">
          <cell r="D518" t="str">
            <v>Caparrapí</v>
          </cell>
          <cell r="E518" t="str">
            <v>CO-CUN-25148</v>
          </cell>
        </row>
        <row r="519">
          <cell r="D519" t="str">
            <v>Caqueza</v>
          </cell>
          <cell r="E519" t="str">
            <v>CO-CUN-25151</v>
          </cell>
        </row>
        <row r="520">
          <cell r="D520" t="str">
            <v>Carmen De Carupa</v>
          </cell>
          <cell r="E520" t="str">
            <v>CO-CUN-25154</v>
          </cell>
        </row>
        <row r="521">
          <cell r="D521" t="str">
            <v>Chaguaní</v>
          </cell>
          <cell r="E521" t="str">
            <v>CO-CUN-25168</v>
          </cell>
        </row>
        <row r="522">
          <cell r="D522" t="str">
            <v>Chía</v>
          </cell>
          <cell r="E522" t="str">
            <v>CO-CUN-25175</v>
          </cell>
        </row>
        <row r="523">
          <cell r="D523" t="str">
            <v>Chipaque</v>
          </cell>
          <cell r="E523" t="str">
            <v>CO-CUN-25178</v>
          </cell>
        </row>
        <row r="524">
          <cell r="D524" t="str">
            <v>Choachí</v>
          </cell>
          <cell r="E524" t="str">
            <v>CO-CUN-25181</v>
          </cell>
        </row>
        <row r="525">
          <cell r="D525" t="str">
            <v>Chocontá</v>
          </cell>
          <cell r="E525" t="str">
            <v>CO-CUN-25183</v>
          </cell>
        </row>
        <row r="526">
          <cell r="D526" t="str">
            <v>Cogua</v>
          </cell>
          <cell r="E526" t="str">
            <v>CO-CUN-25200</v>
          </cell>
        </row>
        <row r="527">
          <cell r="D527" t="str">
            <v>Cota</v>
          </cell>
          <cell r="E527" t="str">
            <v>CO-CUN-25214</v>
          </cell>
        </row>
        <row r="528">
          <cell r="D528" t="str">
            <v>Cucunubá</v>
          </cell>
          <cell r="E528" t="str">
            <v>CO-CUN-25224</v>
          </cell>
        </row>
        <row r="529">
          <cell r="D529" t="str">
            <v>El Colegio</v>
          </cell>
          <cell r="E529" t="str">
            <v>CO-CUN-25245</v>
          </cell>
        </row>
        <row r="530">
          <cell r="D530" t="str">
            <v>El Peñón</v>
          </cell>
          <cell r="E530" t="str">
            <v>CO-CUN-25258</v>
          </cell>
        </row>
        <row r="531">
          <cell r="D531" t="str">
            <v>El Rosal</v>
          </cell>
          <cell r="E531" t="str">
            <v>CO-CUN-25260</v>
          </cell>
        </row>
        <row r="532">
          <cell r="D532" t="str">
            <v>Facatativá</v>
          </cell>
          <cell r="E532" t="str">
            <v>CO-CUN-25269</v>
          </cell>
        </row>
        <row r="533">
          <cell r="D533" t="str">
            <v>Fomeque</v>
          </cell>
          <cell r="E533" t="str">
            <v>CO-CUN-25279</v>
          </cell>
        </row>
        <row r="534">
          <cell r="D534" t="str">
            <v>Fosca</v>
          </cell>
          <cell r="E534" t="str">
            <v>CO-CUN-25281</v>
          </cell>
        </row>
        <row r="535">
          <cell r="D535" t="str">
            <v>Funza</v>
          </cell>
          <cell r="E535" t="str">
            <v>CO-CUN-25286</v>
          </cell>
        </row>
        <row r="536">
          <cell r="D536" t="str">
            <v>Fúquene</v>
          </cell>
          <cell r="E536" t="str">
            <v>CO-CUN-25288</v>
          </cell>
        </row>
        <row r="537">
          <cell r="D537" t="str">
            <v>Fusagasugá</v>
          </cell>
          <cell r="E537" t="str">
            <v>CO-CUN-25290</v>
          </cell>
        </row>
        <row r="538">
          <cell r="D538" t="str">
            <v>Gachala</v>
          </cell>
          <cell r="E538" t="str">
            <v>CO-CUN-25293</v>
          </cell>
        </row>
        <row r="539">
          <cell r="D539" t="str">
            <v>Gachancipá</v>
          </cell>
          <cell r="E539" t="str">
            <v>CO-CUN-25295</v>
          </cell>
        </row>
        <row r="540">
          <cell r="D540" t="str">
            <v>Gachetá</v>
          </cell>
          <cell r="E540" t="str">
            <v>CO-CUN-25297</v>
          </cell>
        </row>
        <row r="541">
          <cell r="D541" t="str">
            <v>Gama</v>
          </cell>
          <cell r="E541" t="str">
            <v>CO-CUN-25299</v>
          </cell>
        </row>
        <row r="542">
          <cell r="D542" t="str">
            <v>Girardot</v>
          </cell>
          <cell r="E542" t="str">
            <v>CO-CUN-25307</v>
          </cell>
        </row>
        <row r="543">
          <cell r="D543" t="str">
            <v>Granada</v>
          </cell>
          <cell r="E543" t="str">
            <v>CO-CUN-25312</v>
          </cell>
        </row>
        <row r="544">
          <cell r="D544" t="str">
            <v>Guachetá</v>
          </cell>
          <cell r="E544" t="str">
            <v>CO-CUN-25317</v>
          </cell>
        </row>
        <row r="545">
          <cell r="D545" t="str">
            <v>Guaduas</v>
          </cell>
          <cell r="E545" t="str">
            <v>CO-CUN-25320</v>
          </cell>
        </row>
        <row r="546">
          <cell r="D546" t="str">
            <v>Guasca</v>
          </cell>
          <cell r="E546" t="str">
            <v>CO-CUN-25322</v>
          </cell>
        </row>
        <row r="547">
          <cell r="D547" t="str">
            <v>Guataquí</v>
          </cell>
          <cell r="E547" t="str">
            <v>CO-CUN-25324</v>
          </cell>
        </row>
        <row r="548">
          <cell r="D548" t="str">
            <v>Guatavita</v>
          </cell>
          <cell r="E548" t="str">
            <v>CO-CUN-25326</v>
          </cell>
        </row>
        <row r="549">
          <cell r="D549" t="str">
            <v>Guayabal De Siquima</v>
          </cell>
          <cell r="E549" t="str">
            <v>CO-CUN-25328</v>
          </cell>
        </row>
        <row r="550">
          <cell r="D550" t="str">
            <v>Guayabetal</v>
          </cell>
          <cell r="E550" t="str">
            <v>CO-CUN-25335</v>
          </cell>
        </row>
        <row r="551">
          <cell r="D551" t="str">
            <v>Gutiérrez</v>
          </cell>
          <cell r="E551" t="str">
            <v>CO-CUN-25339</v>
          </cell>
        </row>
        <row r="552">
          <cell r="D552" t="str">
            <v>Jerusalén</v>
          </cell>
          <cell r="E552" t="str">
            <v>CO-CUN-25368</v>
          </cell>
        </row>
        <row r="553">
          <cell r="D553" t="str">
            <v>Junín</v>
          </cell>
          <cell r="E553" t="str">
            <v>CO-CUN-25372</v>
          </cell>
        </row>
        <row r="554">
          <cell r="D554" t="str">
            <v>La Calera</v>
          </cell>
          <cell r="E554" t="str">
            <v>CO-CUN-25377</v>
          </cell>
        </row>
        <row r="555">
          <cell r="D555" t="str">
            <v>La Mesa</v>
          </cell>
          <cell r="E555" t="str">
            <v>CO-CUN-25386</v>
          </cell>
        </row>
        <row r="556">
          <cell r="D556" t="str">
            <v>La Palma</v>
          </cell>
          <cell r="E556" t="str">
            <v>CO-CUN-25394</v>
          </cell>
        </row>
        <row r="557">
          <cell r="D557" t="str">
            <v>La Peña</v>
          </cell>
          <cell r="E557" t="str">
            <v>CO-CUN-25398</v>
          </cell>
        </row>
        <row r="558">
          <cell r="D558" t="str">
            <v>La Vega</v>
          </cell>
          <cell r="E558" t="str">
            <v>CO-CUN-25402</v>
          </cell>
        </row>
        <row r="559">
          <cell r="D559" t="str">
            <v>Lenguazaque</v>
          </cell>
          <cell r="E559" t="str">
            <v>CO-CUN-25407</v>
          </cell>
        </row>
        <row r="560">
          <cell r="D560" t="str">
            <v>Macheta</v>
          </cell>
          <cell r="E560" t="str">
            <v>CO-CUN-25426</v>
          </cell>
        </row>
        <row r="561">
          <cell r="D561" t="str">
            <v>Madrid</v>
          </cell>
          <cell r="E561" t="str">
            <v>CO-CUN-25430</v>
          </cell>
        </row>
        <row r="562">
          <cell r="D562" t="str">
            <v>Manta</v>
          </cell>
          <cell r="E562" t="str">
            <v>CO-CUN-25436</v>
          </cell>
        </row>
        <row r="563">
          <cell r="D563" t="str">
            <v>Medina</v>
          </cell>
          <cell r="E563" t="str">
            <v>CO-CUN-25438</v>
          </cell>
        </row>
        <row r="564">
          <cell r="D564" t="str">
            <v>Mosquera</v>
          </cell>
          <cell r="E564" t="str">
            <v>CO-CUN-25473</v>
          </cell>
        </row>
        <row r="565">
          <cell r="D565" t="str">
            <v>Nariño</v>
          </cell>
          <cell r="E565" t="str">
            <v>CO-CUN-25483</v>
          </cell>
        </row>
        <row r="566">
          <cell r="D566" t="str">
            <v>Nemocón</v>
          </cell>
          <cell r="E566" t="str">
            <v>CO-CUN-25486</v>
          </cell>
        </row>
        <row r="567">
          <cell r="D567" t="str">
            <v>Nilo</v>
          </cell>
          <cell r="E567" t="str">
            <v>CO-CUN-25488</v>
          </cell>
        </row>
        <row r="568">
          <cell r="D568" t="str">
            <v>Nimaima</v>
          </cell>
          <cell r="E568" t="str">
            <v>CO-CUN-25489</v>
          </cell>
        </row>
        <row r="569">
          <cell r="D569" t="str">
            <v>Nocaima</v>
          </cell>
          <cell r="E569" t="str">
            <v>CO-CUN-25491</v>
          </cell>
        </row>
        <row r="570">
          <cell r="D570" t="str">
            <v>Venecia</v>
          </cell>
          <cell r="E570" t="str">
            <v>CO-CUN-25506</v>
          </cell>
        </row>
        <row r="571">
          <cell r="D571" t="str">
            <v>Pacho</v>
          </cell>
          <cell r="E571" t="str">
            <v>CO-CUN-25513</v>
          </cell>
        </row>
        <row r="572">
          <cell r="D572" t="str">
            <v>Paime</v>
          </cell>
          <cell r="E572" t="str">
            <v>CO-CUN-25518</v>
          </cell>
        </row>
        <row r="573">
          <cell r="D573" t="str">
            <v>Pandi</v>
          </cell>
          <cell r="E573" t="str">
            <v>CO-CUN-25524</v>
          </cell>
        </row>
        <row r="574">
          <cell r="D574" t="str">
            <v>Paratebueno</v>
          </cell>
          <cell r="E574" t="str">
            <v>CO-CUN-25530</v>
          </cell>
        </row>
        <row r="575">
          <cell r="D575" t="str">
            <v>Pasca</v>
          </cell>
          <cell r="E575" t="str">
            <v>CO-CUN-25535</v>
          </cell>
        </row>
        <row r="576">
          <cell r="D576" t="str">
            <v>Puerto Salgar</v>
          </cell>
          <cell r="E576" t="str">
            <v>CO-CUN-25572</v>
          </cell>
        </row>
        <row r="577">
          <cell r="D577" t="str">
            <v>Pulí</v>
          </cell>
          <cell r="E577" t="str">
            <v>CO-CUN-25580</v>
          </cell>
        </row>
        <row r="578">
          <cell r="D578" t="str">
            <v>Quebradanegra</v>
          </cell>
          <cell r="E578" t="str">
            <v>CO-CUN-25592</v>
          </cell>
        </row>
        <row r="579">
          <cell r="D579" t="str">
            <v>Quetame</v>
          </cell>
          <cell r="E579" t="str">
            <v>CO-CUN-25594</v>
          </cell>
        </row>
        <row r="580">
          <cell r="D580" t="str">
            <v>Quipile</v>
          </cell>
          <cell r="E580" t="str">
            <v>CO-CUN-25596</v>
          </cell>
        </row>
        <row r="581">
          <cell r="D581" t="str">
            <v>Apulo</v>
          </cell>
          <cell r="E581" t="str">
            <v>CO-CUN-25599</v>
          </cell>
        </row>
        <row r="582">
          <cell r="D582" t="str">
            <v>Ricaurte</v>
          </cell>
          <cell r="E582" t="str">
            <v>CO-CUN-25612</v>
          </cell>
        </row>
        <row r="583">
          <cell r="D583" t="str">
            <v>San Antonio Del Tequendama</v>
          </cell>
          <cell r="E583" t="str">
            <v>CO-CUN-25645</v>
          </cell>
        </row>
        <row r="584">
          <cell r="D584" t="str">
            <v>San Bernardo</v>
          </cell>
          <cell r="E584" t="str">
            <v>CO-CUN-25649</v>
          </cell>
        </row>
        <row r="585">
          <cell r="D585" t="str">
            <v>San Cayetano</v>
          </cell>
          <cell r="E585" t="str">
            <v>CO-CUN-25653</v>
          </cell>
        </row>
        <row r="586">
          <cell r="D586" t="str">
            <v>San Francisco</v>
          </cell>
          <cell r="E586" t="str">
            <v>CO-CUN-25658</v>
          </cell>
        </row>
        <row r="587">
          <cell r="D587" t="str">
            <v>San Juan De Río Seco</v>
          </cell>
          <cell r="E587" t="str">
            <v>CO-CUN-25662</v>
          </cell>
        </row>
        <row r="588">
          <cell r="D588" t="str">
            <v>Sasaima</v>
          </cell>
          <cell r="E588" t="str">
            <v>CO-CUN-25718</v>
          </cell>
        </row>
        <row r="589">
          <cell r="D589" t="str">
            <v>Sesquilé</v>
          </cell>
          <cell r="E589" t="str">
            <v>CO-CUN-25736</v>
          </cell>
        </row>
        <row r="590">
          <cell r="D590" t="str">
            <v>Sibaté</v>
          </cell>
          <cell r="E590" t="str">
            <v>CO-CUN-25740</v>
          </cell>
        </row>
        <row r="591">
          <cell r="D591" t="str">
            <v>Silvania</v>
          </cell>
          <cell r="E591" t="str">
            <v>CO-CUN-25743</v>
          </cell>
        </row>
        <row r="592">
          <cell r="D592" t="str">
            <v>Simijaca</v>
          </cell>
          <cell r="E592" t="str">
            <v>CO-CUN-25745</v>
          </cell>
        </row>
        <row r="593">
          <cell r="D593" t="str">
            <v>Soacha</v>
          </cell>
          <cell r="E593" t="str">
            <v>CO-CUN-25754</v>
          </cell>
        </row>
        <row r="594">
          <cell r="D594" t="str">
            <v>Sopó</v>
          </cell>
          <cell r="E594" t="str">
            <v>CO-CUN-25758</v>
          </cell>
        </row>
        <row r="595">
          <cell r="D595" t="str">
            <v>Subachoque</v>
          </cell>
          <cell r="E595" t="str">
            <v>CO-CUN-25769</v>
          </cell>
        </row>
        <row r="596">
          <cell r="D596" t="str">
            <v>Suesca</v>
          </cell>
          <cell r="E596" t="str">
            <v>CO-CUN-25772</v>
          </cell>
        </row>
        <row r="597">
          <cell r="D597" t="str">
            <v>Supatá</v>
          </cell>
          <cell r="E597" t="str">
            <v>CO-CUN-25777</v>
          </cell>
        </row>
        <row r="598">
          <cell r="D598" t="str">
            <v>Susa</v>
          </cell>
          <cell r="E598" t="str">
            <v>CO-CUN-25779</v>
          </cell>
        </row>
        <row r="599">
          <cell r="D599" t="str">
            <v>Sutatausa</v>
          </cell>
          <cell r="E599" t="str">
            <v>CO-CUN-25781</v>
          </cell>
        </row>
        <row r="600">
          <cell r="D600" t="str">
            <v>Tabio</v>
          </cell>
          <cell r="E600" t="str">
            <v>CO-CUN-25785</v>
          </cell>
        </row>
        <row r="601">
          <cell r="D601" t="str">
            <v>Tausa</v>
          </cell>
          <cell r="E601" t="str">
            <v>CO-CUN-25793</v>
          </cell>
        </row>
        <row r="602">
          <cell r="D602" t="str">
            <v>Tena</v>
          </cell>
          <cell r="E602" t="str">
            <v>CO-CUN-25797</v>
          </cell>
        </row>
        <row r="603">
          <cell r="D603" t="str">
            <v>Tenjo</v>
          </cell>
          <cell r="E603" t="str">
            <v>CO-CUN-25799</v>
          </cell>
        </row>
        <row r="604">
          <cell r="D604" t="str">
            <v>Tibacuy</v>
          </cell>
          <cell r="E604" t="str">
            <v>CO-CUN-25805</v>
          </cell>
        </row>
        <row r="605">
          <cell r="D605" t="str">
            <v>Tibirita</v>
          </cell>
          <cell r="E605" t="str">
            <v>CO-CUN-25807</v>
          </cell>
        </row>
        <row r="606">
          <cell r="D606" t="str">
            <v>Tocaima</v>
          </cell>
          <cell r="E606" t="str">
            <v>CO-CUN-25815</v>
          </cell>
        </row>
        <row r="607">
          <cell r="D607" t="str">
            <v>Tocancipá</v>
          </cell>
          <cell r="E607" t="str">
            <v>CO-CUN-25817</v>
          </cell>
        </row>
        <row r="608">
          <cell r="D608" t="str">
            <v>Topaipí</v>
          </cell>
          <cell r="E608" t="str">
            <v>CO-CUN-25823</v>
          </cell>
        </row>
        <row r="609">
          <cell r="D609" t="str">
            <v>Ubalá</v>
          </cell>
          <cell r="E609" t="str">
            <v>CO-CUN-25839</v>
          </cell>
        </row>
        <row r="610">
          <cell r="D610" t="str">
            <v>Ubaque</v>
          </cell>
          <cell r="E610" t="str">
            <v>CO-CUN-25841</v>
          </cell>
        </row>
        <row r="611">
          <cell r="D611" t="str">
            <v>Villa De San Diego De Ubate</v>
          </cell>
          <cell r="E611" t="str">
            <v>CO-CUN-25843</v>
          </cell>
        </row>
        <row r="612">
          <cell r="D612" t="str">
            <v>Une</v>
          </cell>
          <cell r="E612" t="str">
            <v>CO-CUN-25845</v>
          </cell>
        </row>
        <row r="613">
          <cell r="D613" t="str">
            <v>Útica</v>
          </cell>
          <cell r="E613" t="str">
            <v>CO-CUN-25851</v>
          </cell>
        </row>
        <row r="614">
          <cell r="D614" t="str">
            <v>Vergara</v>
          </cell>
          <cell r="E614" t="str">
            <v>CO-CUN-25862</v>
          </cell>
        </row>
        <row r="615">
          <cell r="D615" t="str">
            <v>Vianí</v>
          </cell>
          <cell r="E615" t="str">
            <v>CO-CUN-25867</v>
          </cell>
        </row>
        <row r="616">
          <cell r="D616" t="str">
            <v>Villagómez</v>
          </cell>
          <cell r="E616" t="str">
            <v>CO-CUN-25871</v>
          </cell>
        </row>
        <row r="617">
          <cell r="D617" t="str">
            <v>Villapinzón</v>
          </cell>
          <cell r="E617" t="str">
            <v>CO-CUN-25873</v>
          </cell>
        </row>
        <row r="618">
          <cell r="D618" t="str">
            <v>Villeta</v>
          </cell>
          <cell r="E618" t="str">
            <v>CO-CUN-25875</v>
          </cell>
        </row>
        <row r="619">
          <cell r="D619" t="str">
            <v>Viotá</v>
          </cell>
          <cell r="E619" t="str">
            <v>CO-CUN-25878</v>
          </cell>
        </row>
        <row r="620">
          <cell r="D620" t="str">
            <v>Yacopí</v>
          </cell>
          <cell r="E620" t="str">
            <v>CO-CUN-25885</v>
          </cell>
        </row>
        <row r="621">
          <cell r="D621" t="str">
            <v>Zipacón</v>
          </cell>
          <cell r="E621" t="str">
            <v>CO-CUN-25898</v>
          </cell>
        </row>
        <row r="622">
          <cell r="D622" t="str">
            <v>Zipaquirá</v>
          </cell>
          <cell r="E622" t="str">
            <v>CO-CUN-25899</v>
          </cell>
        </row>
        <row r="623">
          <cell r="D623" t="str">
            <v>Chocó</v>
          </cell>
          <cell r="E623" t="str">
            <v>CO-CHO</v>
          </cell>
        </row>
        <row r="624">
          <cell r="D624" t="str">
            <v>Quibdó</v>
          </cell>
          <cell r="E624" t="str">
            <v>CO-CHO-27001</v>
          </cell>
        </row>
        <row r="625">
          <cell r="D625" t="str">
            <v>Acandí</v>
          </cell>
          <cell r="E625" t="str">
            <v>CO-CHO-27006</v>
          </cell>
        </row>
        <row r="626">
          <cell r="D626" t="str">
            <v>Alto Baudo</v>
          </cell>
          <cell r="E626" t="str">
            <v>CO-CHO-27025</v>
          </cell>
        </row>
        <row r="627">
          <cell r="D627" t="str">
            <v>Atrato</v>
          </cell>
          <cell r="E627" t="str">
            <v>CO-CHO-27050</v>
          </cell>
        </row>
        <row r="628">
          <cell r="D628" t="str">
            <v>Bagadó</v>
          </cell>
          <cell r="E628" t="str">
            <v>CO-CHO-27073</v>
          </cell>
        </row>
        <row r="629">
          <cell r="D629" t="str">
            <v>Bahía Solano</v>
          </cell>
          <cell r="E629" t="str">
            <v>CO-CHO-27075</v>
          </cell>
        </row>
        <row r="630">
          <cell r="D630" t="str">
            <v>Bajo Baudó</v>
          </cell>
          <cell r="E630" t="str">
            <v>CO-CHO-27077</v>
          </cell>
        </row>
        <row r="631">
          <cell r="D631" t="str">
            <v>Belén De Bajirá</v>
          </cell>
          <cell r="E631" t="str">
            <v>CO-CHO-27086</v>
          </cell>
        </row>
        <row r="632">
          <cell r="D632" t="str">
            <v>Bojaya</v>
          </cell>
          <cell r="E632" t="str">
            <v>CO-CHO-27099</v>
          </cell>
        </row>
        <row r="633">
          <cell r="D633" t="str">
            <v>El Cantón Del San Pablo</v>
          </cell>
          <cell r="E633" t="str">
            <v>CO-CHO-27135</v>
          </cell>
        </row>
        <row r="634">
          <cell r="D634" t="str">
            <v>Carmen Del Darien</v>
          </cell>
          <cell r="E634" t="str">
            <v>CO-CHO-27150</v>
          </cell>
        </row>
        <row r="635">
          <cell r="D635" t="str">
            <v>Cértegui</v>
          </cell>
          <cell r="E635" t="str">
            <v>CO-CHO-27160</v>
          </cell>
        </row>
        <row r="636">
          <cell r="D636" t="str">
            <v>Condoto</v>
          </cell>
          <cell r="E636" t="str">
            <v>CO-CHO-27205</v>
          </cell>
        </row>
        <row r="637">
          <cell r="D637" t="str">
            <v>El Carmen De Atrato</v>
          </cell>
          <cell r="E637" t="str">
            <v>CO-CHO-27245</v>
          </cell>
        </row>
        <row r="638">
          <cell r="D638" t="str">
            <v>El Litoral Del San Juan</v>
          </cell>
          <cell r="E638" t="str">
            <v>CO-CHO-27250</v>
          </cell>
        </row>
        <row r="639">
          <cell r="D639" t="str">
            <v>Istmina</v>
          </cell>
          <cell r="E639" t="str">
            <v>CO-CHO-27361</v>
          </cell>
        </row>
        <row r="640">
          <cell r="D640" t="str">
            <v>Juradó</v>
          </cell>
          <cell r="E640" t="str">
            <v>CO-CHO-27372</v>
          </cell>
        </row>
        <row r="641">
          <cell r="D641" t="str">
            <v>Lloró</v>
          </cell>
          <cell r="E641" t="str">
            <v>CO-CHO-27413</v>
          </cell>
        </row>
        <row r="642">
          <cell r="D642" t="str">
            <v>Medio Atrato</v>
          </cell>
          <cell r="E642" t="str">
            <v>CO-CHO-27425</v>
          </cell>
        </row>
        <row r="643">
          <cell r="D643" t="str">
            <v>Medio Baudó</v>
          </cell>
          <cell r="E643" t="str">
            <v>CO-CHO-27430</v>
          </cell>
        </row>
        <row r="644">
          <cell r="D644" t="str">
            <v>Medio San Juan</v>
          </cell>
          <cell r="E644" t="str">
            <v>CO-CHO-27450</v>
          </cell>
        </row>
        <row r="645">
          <cell r="D645" t="str">
            <v>Nóvita</v>
          </cell>
          <cell r="E645" t="str">
            <v>CO-CHO-27491</v>
          </cell>
        </row>
        <row r="646">
          <cell r="D646" t="str">
            <v>Nuquí</v>
          </cell>
          <cell r="E646" t="str">
            <v>CO-CHO-27495</v>
          </cell>
        </row>
        <row r="647">
          <cell r="D647" t="str">
            <v>Río Iro</v>
          </cell>
          <cell r="E647" t="str">
            <v>CO-CHO-27580</v>
          </cell>
        </row>
        <row r="648">
          <cell r="D648" t="str">
            <v>Río Quito</v>
          </cell>
          <cell r="E648" t="str">
            <v>CO-CHO-27600</v>
          </cell>
        </row>
        <row r="649">
          <cell r="D649" t="str">
            <v>Riosucio</v>
          </cell>
          <cell r="E649" t="str">
            <v>CO-CHO-27615</v>
          </cell>
        </row>
        <row r="650">
          <cell r="D650" t="str">
            <v>San José Del Palmar</v>
          </cell>
          <cell r="E650" t="str">
            <v>CO-CHO-27660</v>
          </cell>
        </row>
        <row r="651">
          <cell r="D651" t="str">
            <v>Sipí</v>
          </cell>
          <cell r="E651" t="str">
            <v>CO-CHO-27745</v>
          </cell>
        </row>
        <row r="652">
          <cell r="D652" t="str">
            <v>Tadó</v>
          </cell>
          <cell r="E652" t="str">
            <v>CO-CHO-27787</v>
          </cell>
        </row>
        <row r="653">
          <cell r="D653" t="str">
            <v>Unguía</v>
          </cell>
          <cell r="E653" t="str">
            <v>CO-CHO-27800</v>
          </cell>
        </row>
        <row r="654">
          <cell r="D654" t="str">
            <v>Unión Panamericana</v>
          </cell>
          <cell r="E654" t="str">
            <v>CO-CHO-27810</v>
          </cell>
        </row>
        <row r="655">
          <cell r="D655" t="str">
            <v>Guainía</v>
          </cell>
          <cell r="E655" t="str">
            <v>CO-GUA</v>
          </cell>
        </row>
        <row r="656">
          <cell r="D656" t="str">
            <v>Inírida</v>
          </cell>
          <cell r="E656" t="str">
            <v>CO-GUA-94001</v>
          </cell>
        </row>
        <row r="657">
          <cell r="D657" t="str">
            <v>Barranco Minas</v>
          </cell>
          <cell r="E657" t="str">
            <v>CO-GUA-94343</v>
          </cell>
        </row>
        <row r="658">
          <cell r="D658" t="str">
            <v>Mapiripana</v>
          </cell>
          <cell r="E658" t="str">
            <v>CO-GUA-94663</v>
          </cell>
        </row>
        <row r="659">
          <cell r="D659" t="str">
            <v>San Felipe</v>
          </cell>
          <cell r="E659" t="str">
            <v>CO-GUA-94883</v>
          </cell>
        </row>
        <row r="660">
          <cell r="D660" t="str">
            <v>Puerto Colombia</v>
          </cell>
          <cell r="E660" t="str">
            <v>CO-GUA-94884</v>
          </cell>
        </row>
        <row r="661">
          <cell r="D661" t="str">
            <v>La Guadalupe</v>
          </cell>
          <cell r="E661" t="str">
            <v>CO-GUA-94885</v>
          </cell>
        </row>
        <row r="662">
          <cell r="D662" t="str">
            <v>Cacahual</v>
          </cell>
          <cell r="E662" t="str">
            <v>CO-GUA-94886</v>
          </cell>
        </row>
        <row r="663">
          <cell r="D663" t="str">
            <v>Pana Pana</v>
          </cell>
          <cell r="E663" t="str">
            <v>CO-GUA-94887</v>
          </cell>
        </row>
        <row r="664">
          <cell r="D664" t="str">
            <v>Morichal</v>
          </cell>
          <cell r="E664" t="str">
            <v>CO-GUA-94888</v>
          </cell>
        </row>
        <row r="665">
          <cell r="D665" t="str">
            <v>Guaviare</v>
          </cell>
          <cell r="E665" t="str">
            <v>CO-GUV</v>
          </cell>
        </row>
        <row r="666">
          <cell r="D666" t="str">
            <v>San José Del Guaviare</v>
          </cell>
          <cell r="E666" t="str">
            <v>CO-GUV-95001</v>
          </cell>
        </row>
        <row r="667">
          <cell r="D667" t="str">
            <v>Calamar</v>
          </cell>
          <cell r="E667" t="str">
            <v>CO-GUV-95015</v>
          </cell>
        </row>
        <row r="668">
          <cell r="D668" t="str">
            <v>El Retorno</v>
          </cell>
          <cell r="E668" t="str">
            <v>CO-GUV-95025</v>
          </cell>
        </row>
        <row r="669">
          <cell r="D669" t="str">
            <v>Miraflores</v>
          </cell>
          <cell r="E669" t="str">
            <v>CO-GUV-95200</v>
          </cell>
        </row>
        <row r="670">
          <cell r="D670" t="str">
            <v>Huila</v>
          </cell>
          <cell r="E670" t="str">
            <v>CO-HUI</v>
          </cell>
        </row>
        <row r="671">
          <cell r="D671" t="str">
            <v>Neiva</v>
          </cell>
          <cell r="E671" t="str">
            <v>CO-HUI-41001</v>
          </cell>
        </row>
        <row r="672">
          <cell r="D672" t="str">
            <v>Acevedo</v>
          </cell>
          <cell r="E672" t="str">
            <v>CO-HUI-41006</v>
          </cell>
        </row>
        <row r="673">
          <cell r="D673" t="str">
            <v>Agrado</v>
          </cell>
          <cell r="E673" t="str">
            <v>CO-HUI-41013</v>
          </cell>
        </row>
        <row r="674">
          <cell r="D674" t="str">
            <v>Aipe</v>
          </cell>
          <cell r="E674" t="str">
            <v>CO-HUI-41016</v>
          </cell>
        </row>
        <row r="675">
          <cell r="D675" t="str">
            <v>Algeciras</v>
          </cell>
          <cell r="E675" t="str">
            <v>CO-HUI-41020</v>
          </cell>
        </row>
        <row r="676">
          <cell r="D676" t="str">
            <v>Altamira</v>
          </cell>
          <cell r="E676" t="str">
            <v>CO-HUI-41026</v>
          </cell>
        </row>
        <row r="677">
          <cell r="D677" t="str">
            <v>Baraya</v>
          </cell>
          <cell r="E677" t="str">
            <v>CO-HUI-41078</v>
          </cell>
        </row>
        <row r="678">
          <cell r="D678" t="str">
            <v>Campoalegre</v>
          </cell>
          <cell r="E678" t="str">
            <v>CO-HUI-41132</v>
          </cell>
        </row>
        <row r="679">
          <cell r="D679" t="str">
            <v>Colombia</v>
          </cell>
          <cell r="E679" t="str">
            <v>CO-HUI-41206</v>
          </cell>
        </row>
        <row r="680">
          <cell r="D680" t="str">
            <v>Elías</v>
          </cell>
          <cell r="E680" t="str">
            <v>CO-HUI-41244</v>
          </cell>
        </row>
        <row r="681">
          <cell r="D681" t="str">
            <v>Garzón</v>
          </cell>
          <cell r="E681" t="str">
            <v>CO-HUI-41298</v>
          </cell>
        </row>
        <row r="682">
          <cell r="D682" t="str">
            <v>Gigante</v>
          </cell>
          <cell r="E682" t="str">
            <v>CO-HUI-41306</v>
          </cell>
        </row>
        <row r="683">
          <cell r="D683" t="str">
            <v>Guadalupe</v>
          </cell>
          <cell r="E683" t="str">
            <v>CO-HUI-41319</v>
          </cell>
        </row>
        <row r="684">
          <cell r="D684" t="str">
            <v>Hobo</v>
          </cell>
          <cell r="E684" t="str">
            <v>CO-HUI-41349</v>
          </cell>
        </row>
        <row r="685">
          <cell r="D685" t="str">
            <v>Iquira</v>
          </cell>
          <cell r="E685" t="str">
            <v>CO-HUI-41357</v>
          </cell>
        </row>
        <row r="686">
          <cell r="D686" t="str">
            <v>Isnos</v>
          </cell>
          <cell r="E686" t="str">
            <v>CO-HUI-41359</v>
          </cell>
        </row>
        <row r="687">
          <cell r="D687" t="str">
            <v>La Argentina</v>
          </cell>
          <cell r="E687" t="str">
            <v>CO-HUI-41378</v>
          </cell>
        </row>
        <row r="688">
          <cell r="D688" t="str">
            <v>La Plata</v>
          </cell>
          <cell r="E688" t="str">
            <v>CO-HUI-41396</v>
          </cell>
        </row>
        <row r="689">
          <cell r="D689" t="str">
            <v>Nátaga</v>
          </cell>
          <cell r="E689" t="str">
            <v>CO-HUI-41483</v>
          </cell>
        </row>
        <row r="690">
          <cell r="D690" t="str">
            <v>Oporapa</v>
          </cell>
          <cell r="E690" t="str">
            <v>CO-HUI-41503</v>
          </cell>
        </row>
        <row r="691">
          <cell r="D691" t="str">
            <v>Paicol</v>
          </cell>
          <cell r="E691" t="str">
            <v>CO-HUI-41518</v>
          </cell>
        </row>
        <row r="692">
          <cell r="D692" t="str">
            <v>Palermo</v>
          </cell>
          <cell r="E692" t="str">
            <v>CO-HUI-41524</v>
          </cell>
        </row>
        <row r="693">
          <cell r="D693" t="str">
            <v>Palestina</v>
          </cell>
          <cell r="E693" t="str">
            <v>CO-HUI-41530</v>
          </cell>
        </row>
        <row r="694">
          <cell r="D694" t="str">
            <v>Pital</v>
          </cell>
          <cell r="E694" t="str">
            <v>CO-HUI-41548</v>
          </cell>
        </row>
        <row r="695">
          <cell r="D695" t="str">
            <v>Pitalito</v>
          </cell>
          <cell r="E695" t="str">
            <v>CO-HUI-41551</v>
          </cell>
        </row>
        <row r="696">
          <cell r="D696" t="str">
            <v>Rivera</v>
          </cell>
          <cell r="E696" t="str">
            <v>CO-HUI-41615</v>
          </cell>
        </row>
        <row r="697">
          <cell r="D697" t="str">
            <v>Saladoblanco</v>
          </cell>
          <cell r="E697" t="str">
            <v>CO-HUI-41660</v>
          </cell>
        </row>
        <row r="698">
          <cell r="D698" t="str">
            <v>San Agustín</v>
          </cell>
          <cell r="E698" t="str">
            <v>CO-HUI-41668</v>
          </cell>
        </row>
        <row r="699">
          <cell r="D699" t="str">
            <v>Santa María</v>
          </cell>
          <cell r="E699" t="str">
            <v>CO-HUI-41676</v>
          </cell>
        </row>
        <row r="700">
          <cell r="D700" t="str">
            <v>Suaza</v>
          </cell>
          <cell r="E700" t="str">
            <v>CO-HUI-41770</v>
          </cell>
        </row>
        <row r="701">
          <cell r="D701" t="str">
            <v>Tarqui</v>
          </cell>
          <cell r="E701" t="str">
            <v>CO-HUI-41791</v>
          </cell>
        </row>
        <row r="702">
          <cell r="D702" t="str">
            <v>Tesalia</v>
          </cell>
          <cell r="E702" t="str">
            <v>CO-HUI-41797</v>
          </cell>
        </row>
        <row r="703">
          <cell r="D703" t="str">
            <v>Tello</v>
          </cell>
          <cell r="E703" t="str">
            <v>CO-HUI-41799</v>
          </cell>
        </row>
        <row r="704">
          <cell r="D704" t="str">
            <v>Teruel</v>
          </cell>
          <cell r="E704" t="str">
            <v>CO-HUI-41801</v>
          </cell>
        </row>
        <row r="705">
          <cell r="D705" t="str">
            <v>Timaná</v>
          </cell>
          <cell r="E705" t="str">
            <v>CO-HUI-41807</v>
          </cell>
        </row>
        <row r="706">
          <cell r="D706" t="str">
            <v>Villavieja</v>
          </cell>
          <cell r="E706" t="str">
            <v>CO-HUI-41872</v>
          </cell>
        </row>
        <row r="707">
          <cell r="D707" t="str">
            <v>Yaguará</v>
          </cell>
          <cell r="E707" t="str">
            <v>CO-HUI-41885</v>
          </cell>
        </row>
        <row r="708">
          <cell r="D708" t="str">
            <v>La Guajira</v>
          </cell>
          <cell r="E708" t="str">
            <v>CO-LAG</v>
          </cell>
        </row>
        <row r="709">
          <cell r="D709" t="str">
            <v>Riohacha</v>
          </cell>
          <cell r="E709" t="str">
            <v>CO-LAG-44001</v>
          </cell>
        </row>
        <row r="710">
          <cell r="D710" t="str">
            <v>Albania</v>
          </cell>
          <cell r="E710" t="str">
            <v>CO-LAG-44035</v>
          </cell>
        </row>
        <row r="711">
          <cell r="D711" t="str">
            <v>Barrancas</v>
          </cell>
          <cell r="E711" t="str">
            <v>CO-LAG-44078</v>
          </cell>
        </row>
        <row r="712">
          <cell r="D712" t="str">
            <v>Dibulla</v>
          </cell>
          <cell r="E712" t="str">
            <v>CO-LAG-44090</v>
          </cell>
        </row>
        <row r="713">
          <cell r="D713" t="str">
            <v>Distracción</v>
          </cell>
          <cell r="E713" t="str">
            <v>CO-LAG-44098</v>
          </cell>
        </row>
        <row r="714">
          <cell r="D714" t="str">
            <v>El Molino</v>
          </cell>
          <cell r="E714" t="str">
            <v>CO-LAG-44110</v>
          </cell>
        </row>
        <row r="715">
          <cell r="D715" t="str">
            <v>Fonseca</v>
          </cell>
          <cell r="E715" t="str">
            <v>CO-LAG-44279</v>
          </cell>
        </row>
        <row r="716">
          <cell r="D716" t="str">
            <v>Hatonuevo</v>
          </cell>
          <cell r="E716" t="str">
            <v>CO-LAG-44378</v>
          </cell>
        </row>
        <row r="717">
          <cell r="D717" t="str">
            <v>La Jagua Del Pilar</v>
          </cell>
          <cell r="E717" t="str">
            <v>CO-LAG-44420</v>
          </cell>
        </row>
        <row r="718">
          <cell r="D718" t="str">
            <v>Maicao</v>
          </cell>
          <cell r="E718" t="str">
            <v>CO-LAG-44430</v>
          </cell>
        </row>
        <row r="719">
          <cell r="D719" t="str">
            <v>Manaure</v>
          </cell>
          <cell r="E719" t="str">
            <v>CO-LAG-44560</v>
          </cell>
        </row>
        <row r="720">
          <cell r="D720" t="str">
            <v>San Juan Del Cesar</v>
          </cell>
          <cell r="E720" t="str">
            <v>CO-LAG-44650</v>
          </cell>
        </row>
        <row r="721">
          <cell r="D721" t="str">
            <v>Uribia</v>
          </cell>
          <cell r="E721" t="str">
            <v>CO-LAG-44847</v>
          </cell>
        </row>
        <row r="722">
          <cell r="D722" t="str">
            <v>Urumita</v>
          </cell>
          <cell r="E722" t="str">
            <v>CO-LAG-44855</v>
          </cell>
        </row>
        <row r="723">
          <cell r="D723" t="str">
            <v>Villanueva</v>
          </cell>
          <cell r="E723" t="str">
            <v>CO-LAG-44874</v>
          </cell>
        </row>
        <row r="724">
          <cell r="D724" t="str">
            <v>Magdalena</v>
          </cell>
          <cell r="E724" t="str">
            <v>CO-MAG</v>
          </cell>
        </row>
        <row r="725">
          <cell r="D725" t="str">
            <v>Santa Marta</v>
          </cell>
          <cell r="E725" t="str">
            <v>CO-MAG-47001</v>
          </cell>
        </row>
        <row r="726">
          <cell r="D726" t="str">
            <v>Algarrobo</v>
          </cell>
          <cell r="E726" t="str">
            <v>CO-MAG-47030</v>
          </cell>
        </row>
        <row r="727">
          <cell r="D727" t="str">
            <v>Aracataca</v>
          </cell>
          <cell r="E727" t="str">
            <v>CO-MAG-47053</v>
          </cell>
        </row>
        <row r="728">
          <cell r="D728" t="str">
            <v>Ariguaní</v>
          </cell>
          <cell r="E728" t="str">
            <v>CO-MAG-47058</v>
          </cell>
        </row>
        <row r="729">
          <cell r="D729" t="str">
            <v>Cerro San Antonio</v>
          </cell>
          <cell r="E729" t="str">
            <v>CO-MAG-47161</v>
          </cell>
        </row>
        <row r="730">
          <cell r="D730" t="str">
            <v>Chibolo</v>
          </cell>
          <cell r="E730" t="str">
            <v>CO-MAG-47170</v>
          </cell>
        </row>
        <row r="731">
          <cell r="D731" t="str">
            <v>Ciénaga</v>
          </cell>
          <cell r="E731" t="str">
            <v>CO-MAG-47189</v>
          </cell>
        </row>
        <row r="732">
          <cell r="D732" t="str">
            <v>Concordia</v>
          </cell>
          <cell r="E732" t="str">
            <v>CO-MAG-47205</v>
          </cell>
        </row>
        <row r="733">
          <cell r="D733" t="str">
            <v>El Banco</v>
          </cell>
          <cell r="E733" t="str">
            <v>CO-MAG-47245</v>
          </cell>
        </row>
        <row r="734">
          <cell r="D734" t="str">
            <v>El Piñon</v>
          </cell>
          <cell r="E734" t="str">
            <v>CO-MAG-47258</v>
          </cell>
        </row>
        <row r="735">
          <cell r="D735" t="str">
            <v>El Retén</v>
          </cell>
          <cell r="E735" t="str">
            <v>CO-MAG-47268</v>
          </cell>
        </row>
        <row r="736">
          <cell r="D736" t="str">
            <v>Fundación</v>
          </cell>
          <cell r="E736" t="str">
            <v>CO-MAG-47288</v>
          </cell>
        </row>
        <row r="737">
          <cell r="D737" t="str">
            <v>Guamal</v>
          </cell>
          <cell r="E737" t="str">
            <v>CO-MAG-47318</v>
          </cell>
        </row>
        <row r="738">
          <cell r="D738" t="str">
            <v>Nueva Granada</v>
          </cell>
          <cell r="E738" t="str">
            <v>CO-MAG-47460</v>
          </cell>
        </row>
        <row r="739">
          <cell r="D739" t="str">
            <v>Pedraza</v>
          </cell>
          <cell r="E739" t="str">
            <v>CO-MAG-47541</v>
          </cell>
        </row>
        <row r="740">
          <cell r="D740" t="str">
            <v>Pijiño Del Carmen</v>
          </cell>
          <cell r="E740" t="str">
            <v>CO-MAG-47545</v>
          </cell>
        </row>
        <row r="741">
          <cell r="D741" t="str">
            <v>Pivijay</v>
          </cell>
          <cell r="E741" t="str">
            <v>CO-MAG-47551</v>
          </cell>
        </row>
        <row r="742">
          <cell r="D742" t="str">
            <v>Plato</v>
          </cell>
          <cell r="E742" t="str">
            <v>CO-MAG-47555</v>
          </cell>
        </row>
        <row r="743">
          <cell r="D743" t="str">
            <v>Puebloviejo</v>
          </cell>
          <cell r="E743" t="str">
            <v>CO-MAG-47570</v>
          </cell>
        </row>
        <row r="744">
          <cell r="D744" t="str">
            <v>Remolino</v>
          </cell>
          <cell r="E744" t="str">
            <v>CO-MAG-47605</v>
          </cell>
        </row>
        <row r="745">
          <cell r="D745" t="str">
            <v>Sabanas De San Angel</v>
          </cell>
          <cell r="E745" t="str">
            <v>CO-MAG-47660</v>
          </cell>
        </row>
        <row r="746">
          <cell r="D746" t="str">
            <v>Salamina</v>
          </cell>
          <cell r="E746" t="str">
            <v>CO-MAG-47675</v>
          </cell>
        </row>
        <row r="747">
          <cell r="D747" t="str">
            <v>San Sebastián De Buenavista</v>
          </cell>
          <cell r="E747" t="str">
            <v>CO-MAG-47692</v>
          </cell>
        </row>
        <row r="748">
          <cell r="D748" t="str">
            <v>San Zenón</v>
          </cell>
          <cell r="E748" t="str">
            <v>CO-MAG-47703</v>
          </cell>
        </row>
        <row r="749">
          <cell r="D749" t="str">
            <v>Santa Ana</v>
          </cell>
          <cell r="E749" t="str">
            <v>CO-MAG-47707</v>
          </cell>
        </row>
        <row r="750">
          <cell r="D750" t="str">
            <v>Santa Bárbara De Pinto</v>
          </cell>
          <cell r="E750" t="str">
            <v>CO-MAG-47720</v>
          </cell>
        </row>
        <row r="751">
          <cell r="D751" t="str">
            <v>Sitionuevo</v>
          </cell>
          <cell r="E751" t="str">
            <v>CO-MAG-47745</v>
          </cell>
        </row>
        <row r="752">
          <cell r="D752" t="str">
            <v>Tenerife</v>
          </cell>
          <cell r="E752" t="str">
            <v>CO-MAG-47798</v>
          </cell>
        </row>
        <row r="753">
          <cell r="D753" t="str">
            <v>Zapayán</v>
          </cell>
          <cell r="E753" t="str">
            <v>CO-MAG-47960</v>
          </cell>
        </row>
        <row r="754">
          <cell r="D754" t="str">
            <v>Zona Bananera</v>
          </cell>
          <cell r="E754" t="str">
            <v>CO-MAG-47980</v>
          </cell>
        </row>
        <row r="755">
          <cell r="D755" t="str">
            <v>Meta</v>
          </cell>
          <cell r="E755" t="str">
            <v>CO-MET</v>
          </cell>
        </row>
        <row r="756">
          <cell r="D756" t="str">
            <v>Villavicencio</v>
          </cell>
          <cell r="E756" t="str">
            <v>CO-MET-50001</v>
          </cell>
        </row>
        <row r="757">
          <cell r="D757" t="str">
            <v>Acacías</v>
          </cell>
          <cell r="E757" t="str">
            <v>CO-MET-50006</v>
          </cell>
        </row>
        <row r="758">
          <cell r="D758" t="str">
            <v>Barranca De Upía</v>
          </cell>
          <cell r="E758" t="str">
            <v>CO-MET-50110</v>
          </cell>
        </row>
        <row r="759">
          <cell r="D759" t="str">
            <v>Cabuyaro</v>
          </cell>
          <cell r="E759" t="str">
            <v>CO-MET-50124</v>
          </cell>
        </row>
        <row r="760">
          <cell r="D760" t="str">
            <v>Castilla La Nueva</v>
          </cell>
          <cell r="E760" t="str">
            <v>CO-MET-50150</v>
          </cell>
        </row>
        <row r="761">
          <cell r="D761" t="str">
            <v>Cubarral</v>
          </cell>
          <cell r="E761" t="str">
            <v>CO-MET-50223</v>
          </cell>
        </row>
        <row r="762">
          <cell r="D762" t="str">
            <v>Cumaral</v>
          </cell>
          <cell r="E762" t="str">
            <v>CO-MET-50226</v>
          </cell>
        </row>
        <row r="763">
          <cell r="D763" t="str">
            <v>El Calvario</v>
          </cell>
          <cell r="E763" t="str">
            <v>CO-MET-50245</v>
          </cell>
        </row>
        <row r="764">
          <cell r="D764" t="str">
            <v>El Castillo</v>
          </cell>
          <cell r="E764" t="str">
            <v>CO-MET-50251</v>
          </cell>
        </row>
        <row r="765">
          <cell r="D765" t="str">
            <v>El Dorado</v>
          </cell>
          <cell r="E765" t="str">
            <v>CO-MET-50270</v>
          </cell>
        </row>
        <row r="766">
          <cell r="D766" t="str">
            <v>Fuente De Oro</v>
          </cell>
          <cell r="E766" t="str">
            <v>CO-MET-50287</v>
          </cell>
        </row>
        <row r="767">
          <cell r="D767" t="str">
            <v>Granada</v>
          </cell>
          <cell r="E767" t="str">
            <v>CO-MET-50313</v>
          </cell>
        </row>
        <row r="768">
          <cell r="D768" t="str">
            <v>Guamal</v>
          </cell>
          <cell r="E768" t="str">
            <v>CO-MET-50318</v>
          </cell>
        </row>
        <row r="769">
          <cell r="D769" t="str">
            <v>Mapiripán</v>
          </cell>
          <cell r="E769" t="str">
            <v>CO-MET-50325</v>
          </cell>
        </row>
        <row r="770">
          <cell r="D770" t="str">
            <v>Mesetas</v>
          </cell>
          <cell r="E770" t="str">
            <v>CO-MET-50330</v>
          </cell>
        </row>
        <row r="771">
          <cell r="D771" t="str">
            <v>La Macarena</v>
          </cell>
          <cell r="E771" t="str">
            <v>CO-MET-50350</v>
          </cell>
        </row>
        <row r="772">
          <cell r="D772" t="str">
            <v>Uribe</v>
          </cell>
          <cell r="E772" t="str">
            <v>CO-MET-50370</v>
          </cell>
        </row>
        <row r="773">
          <cell r="D773" t="str">
            <v>Lejanías</v>
          </cell>
          <cell r="E773" t="str">
            <v>CO-MET-50400</v>
          </cell>
        </row>
        <row r="774">
          <cell r="D774" t="str">
            <v>Puerto Concordia</v>
          </cell>
          <cell r="E774" t="str">
            <v>CO-MET-50450</v>
          </cell>
        </row>
        <row r="775">
          <cell r="D775" t="str">
            <v>Puerto Gaitán</v>
          </cell>
          <cell r="E775" t="str">
            <v>CO-MET-50568</v>
          </cell>
        </row>
        <row r="776">
          <cell r="D776" t="str">
            <v>Puerto López</v>
          </cell>
          <cell r="E776" t="str">
            <v>CO-MET-50573</v>
          </cell>
        </row>
        <row r="777">
          <cell r="D777" t="str">
            <v>Puerto Lleras</v>
          </cell>
          <cell r="E777" t="str">
            <v>CO-MET-50577</v>
          </cell>
        </row>
        <row r="778">
          <cell r="D778" t="str">
            <v>Puerto Rico</v>
          </cell>
          <cell r="E778" t="str">
            <v>CO-MET-50590</v>
          </cell>
        </row>
        <row r="779">
          <cell r="D779" t="str">
            <v>Restrepo</v>
          </cell>
          <cell r="E779" t="str">
            <v>CO-MET-50606</v>
          </cell>
        </row>
        <row r="780">
          <cell r="D780" t="str">
            <v>San Carlos De Guaroa</v>
          </cell>
          <cell r="E780" t="str">
            <v>CO-MET-50680</v>
          </cell>
        </row>
        <row r="781">
          <cell r="D781" t="str">
            <v>San Juan De Arama</v>
          </cell>
          <cell r="E781" t="str">
            <v>CO-MET-50683</v>
          </cell>
        </row>
        <row r="782">
          <cell r="D782" t="str">
            <v>San Juanito</v>
          </cell>
          <cell r="E782" t="str">
            <v>CO-MET-50686</v>
          </cell>
        </row>
        <row r="783">
          <cell r="D783" t="str">
            <v>San Martín</v>
          </cell>
          <cell r="E783" t="str">
            <v>CO-MET-50689</v>
          </cell>
        </row>
        <row r="784">
          <cell r="D784" t="str">
            <v>Vistahermosa</v>
          </cell>
          <cell r="E784" t="str">
            <v>CO-MET-50711</v>
          </cell>
        </row>
        <row r="785">
          <cell r="D785" t="str">
            <v>Nariño</v>
          </cell>
          <cell r="E785" t="str">
            <v>CO-NAR</v>
          </cell>
        </row>
        <row r="786">
          <cell r="D786" t="str">
            <v>Pasto</v>
          </cell>
          <cell r="E786" t="str">
            <v>CO-NAR-52001</v>
          </cell>
        </row>
        <row r="787">
          <cell r="D787" t="str">
            <v>Albán</v>
          </cell>
          <cell r="E787" t="str">
            <v>CO-NAR-52019</v>
          </cell>
        </row>
        <row r="788">
          <cell r="D788" t="str">
            <v>Aldana</v>
          </cell>
          <cell r="E788" t="str">
            <v>CO-NAR-52022</v>
          </cell>
        </row>
        <row r="789">
          <cell r="D789" t="str">
            <v>Ancuyá</v>
          </cell>
          <cell r="E789" t="str">
            <v>CO-NAR-52036</v>
          </cell>
        </row>
        <row r="790">
          <cell r="D790" t="str">
            <v>Arboleda</v>
          </cell>
          <cell r="E790" t="str">
            <v>CO-NAR-52051</v>
          </cell>
        </row>
        <row r="791">
          <cell r="D791" t="str">
            <v>Barbacoas</v>
          </cell>
          <cell r="E791" t="str">
            <v>CO-NAR-52079</v>
          </cell>
        </row>
        <row r="792">
          <cell r="D792" t="str">
            <v>Belén</v>
          </cell>
          <cell r="E792" t="str">
            <v>CO-NAR-52083</v>
          </cell>
        </row>
        <row r="793">
          <cell r="D793" t="str">
            <v>Buesaco</v>
          </cell>
          <cell r="E793" t="str">
            <v>CO-NAR-52110</v>
          </cell>
        </row>
        <row r="794">
          <cell r="D794" t="str">
            <v>Colón</v>
          </cell>
          <cell r="E794" t="str">
            <v>CO-NAR-52203</v>
          </cell>
        </row>
        <row r="795">
          <cell r="D795" t="str">
            <v>Consaca</v>
          </cell>
          <cell r="E795" t="str">
            <v>CO-NAR-52207</v>
          </cell>
        </row>
        <row r="796">
          <cell r="D796" t="str">
            <v>Contadero</v>
          </cell>
          <cell r="E796" t="str">
            <v>CO-NAR-52210</v>
          </cell>
        </row>
        <row r="797">
          <cell r="D797" t="str">
            <v>Córdoba</v>
          </cell>
          <cell r="E797" t="str">
            <v>CO-NAR-52215</v>
          </cell>
        </row>
        <row r="798">
          <cell r="D798" t="str">
            <v>Cuaspud</v>
          </cell>
          <cell r="E798" t="str">
            <v>CO-NAR-52224</v>
          </cell>
        </row>
        <row r="799">
          <cell r="D799" t="str">
            <v>Cumbal</v>
          </cell>
          <cell r="E799" t="str">
            <v>CO-NAR-52227</v>
          </cell>
        </row>
        <row r="800">
          <cell r="D800" t="str">
            <v>Cumbitara</v>
          </cell>
          <cell r="E800" t="str">
            <v>CO-NAR-52233</v>
          </cell>
        </row>
        <row r="801">
          <cell r="D801" t="str">
            <v>Chachagüí</v>
          </cell>
          <cell r="E801" t="str">
            <v>CO-NAR-52240</v>
          </cell>
        </row>
        <row r="802">
          <cell r="D802" t="str">
            <v>El Charco</v>
          </cell>
          <cell r="E802" t="str">
            <v>CO-NAR-52250</v>
          </cell>
        </row>
        <row r="803">
          <cell r="D803" t="str">
            <v>El Peñol</v>
          </cell>
          <cell r="E803" t="str">
            <v>CO-NAR-52254</v>
          </cell>
        </row>
        <row r="804">
          <cell r="D804" t="str">
            <v>El Rosario</v>
          </cell>
          <cell r="E804" t="str">
            <v>CO-NAR-52256</v>
          </cell>
        </row>
        <row r="805">
          <cell r="D805" t="str">
            <v>El Tablón De Gómez</v>
          </cell>
          <cell r="E805" t="str">
            <v>CO-NAR-52258</v>
          </cell>
        </row>
        <row r="806">
          <cell r="D806" t="str">
            <v>El Tambo</v>
          </cell>
          <cell r="E806" t="str">
            <v>CO-NAR-52260</v>
          </cell>
        </row>
        <row r="807">
          <cell r="D807" t="str">
            <v>Funes</v>
          </cell>
          <cell r="E807" t="str">
            <v>CO-NAR-52287</v>
          </cell>
        </row>
        <row r="808">
          <cell r="D808" t="str">
            <v>Guachucal</v>
          </cell>
          <cell r="E808" t="str">
            <v>CO-NAR-52317</v>
          </cell>
        </row>
        <row r="809">
          <cell r="D809" t="str">
            <v>Guaitarilla</v>
          </cell>
          <cell r="E809" t="str">
            <v>CO-NAR-52320</v>
          </cell>
        </row>
        <row r="810">
          <cell r="D810" t="str">
            <v>Gualmatán</v>
          </cell>
          <cell r="E810" t="str">
            <v>CO-NAR-52323</v>
          </cell>
        </row>
        <row r="811">
          <cell r="D811" t="str">
            <v>Iles</v>
          </cell>
          <cell r="E811" t="str">
            <v>CO-NAR-52352</v>
          </cell>
        </row>
        <row r="812">
          <cell r="D812" t="str">
            <v>Imués</v>
          </cell>
          <cell r="E812" t="str">
            <v>CO-NAR-52354</v>
          </cell>
        </row>
        <row r="813">
          <cell r="D813" t="str">
            <v>Ipiales</v>
          </cell>
          <cell r="E813" t="str">
            <v>CO-NAR-52356</v>
          </cell>
        </row>
        <row r="814">
          <cell r="D814" t="str">
            <v>La Cruz</v>
          </cell>
          <cell r="E814" t="str">
            <v>CO-NAR-52378</v>
          </cell>
        </row>
        <row r="815">
          <cell r="D815" t="str">
            <v>La Florida</v>
          </cell>
          <cell r="E815" t="str">
            <v>CO-NAR-52381</v>
          </cell>
        </row>
        <row r="816">
          <cell r="D816" t="str">
            <v>La Llanada</v>
          </cell>
          <cell r="E816" t="str">
            <v>CO-NAR-52385</v>
          </cell>
        </row>
        <row r="817">
          <cell r="D817" t="str">
            <v>La Tola</v>
          </cell>
          <cell r="E817" t="str">
            <v>CO-NAR-52390</v>
          </cell>
        </row>
        <row r="818">
          <cell r="D818" t="str">
            <v>La Unión</v>
          </cell>
          <cell r="E818" t="str">
            <v>CO-NAR-52399</v>
          </cell>
        </row>
        <row r="819">
          <cell r="D819" t="str">
            <v>Leiva</v>
          </cell>
          <cell r="E819" t="str">
            <v>CO-NAR-52405</v>
          </cell>
        </row>
        <row r="820">
          <cell r="D820" t="str">
            <v>Linares</v>
          </cell>
          <cell r="E820" t="str">
            <v>CO-NAR-52411</v>
          </cell>
        </row>
        <row r="821">
          <cell r="D821" t="str">
            <v>Los Andes</v>
          </cell>
          <cell r="E821" t="str">
            <v>CO-NAR-52418</v>
          </cell>
        </row>
        <row r="822">
          <cell r="D822" t="str">
            <v>Magüi</v>
          </cell>
          <cell r="E822" t="str">
            <v>CO-NAR-52427</v>
          </cell>
        </row>
        <row r="823">
          <cell r="D823" t="str">
            <v>Mallama</v>
          </cell>
          <cell r="E823" t="str">
            <v>CO-NAR-52435</v>
          </cell>
        </row>
        <row r="824">
          <cell r="D824" t="str">
            <v>Mosquera</v>
          </cell>
          <cell r="E824" t="str">
            <v>CO-NAR-52473</v>
          </cell>
        </row>
        <row r="825">
          <cell r="D825" t="str">
            <v>Nariño</v>
          </cell>
          <cell r="E825" t="str">
            <v>CO-NAR-52480</v>
          </cell>
        </row>
        <row r="826">
          <cell r="D826" t="str">
            <v>Olaya Herrera</v>
          </cell>
          <cell r="E826" t="str">
            <v>CO-NAR-52490</v>
          </cell>
        </row>
        <row r="827">
          <cell r="D827" t="str">
            <v>Ospina</v>
          </cell>
          <cell r="E827" t="str">
            <v>CO-NAR-52506</v>
          </cell>
        </row>
        <row r="828">
          <cell r="D828" t="str">
            <v>Francisco Pizarro</v>
          </cell>
          <cell r="E828" t="str">
            <v>CO-NAR-52520</v>
          </cell>
        </row>
        <row r="829">
          <cell r="D829" t="str">
            <v>Policarpa</v>
          </cell>
          <cell r="E829" t="str">
            <v>CO-NAR-52540</v>
          </cell>
        </row>
        <row r="830">
          <cell r="D830" t="str">
            <v>Potosí</v>
          </cell>
          <cell r="E830" t="str">
            <v>CO-NAR-52560</v>
          </cell>
        </row>
        <row r="831">
          <cell r="D831" t="str">
            <v>Providencia</v>
          </cell>
          <cell r="E831" t="str">
            <v>CO-NAR-52565</v>
          </cell>
        </row>
        <row r="832">
          <cell r="D832" t="str">
            <v>Puerres</v>
          </cell>
          <cell r="E832" t="str">
            <v>CO-NAR-52573</v>
          </cell>
        </row>
        <row r="833">
          <cell r="D833" t="str">
            <v>Pupiales</v>
          </cell>
          <cell r="E833" t="str">
            <v>CO-NAR-52585</v>
          </cell>
        </row>
        <row r="834">
          <cell r="D834" t="str">
            <v>Ricaurte</v>
          </cell>
          <cell r="E834" t="str">
            <v>CO-NAR-52612</v>
          </cell>
        </row>
        <row r="835">
          <cell r="D835" t="str">
            <v>Roberto Payán</v>
          </cell>
          <cell r="E835" t="str">
            <v>CO-NAR-52621</v>
          </cell>
        </row>
        <row r="836">
          <cell r="D836" t="str">
            <v>Samaniego</v>
          </cell>
          <cell r="E836" t="str">
            <v>CO-NAR-52678</v>
          </cell>
        </row>
        <row r="837">
          <cell r="D837" t="str">
            <v>Sandoná</v>
          </cell>
          <cell r="E837" t="str">
            <v>CO-NAR-52683</v>
          </cell>
        </row>
        <row r="838">
          <cell r="D838" t="str">
            <v>San Bernardo</v>
          </cell>
          <cell r="E838" t="str">
            <v>CO-NAR-52685</v>
          </cell>
        </row>
        <row r="839">
          <cell r="D839" t="str">
            <v>San Lorenzo</v>
          </cell>
          <cell r="E839" t="str">
            <v>CO-NAR-52687</v>
          </cell>
        </row>
        <row r="840">
          <cell r="D840" t="str">
            <v>San Pablo</v>
          </cell>
          <cell r="E840" t="str">
            <v>CO-NAR-52693</v>
          </cell>
        </row>
        <row r="841">
          <cell r="D841" t="str">
            <v>San Pedro De Cartago</v>
          </cell>
          <cell r="E841" t="str">
            <v>CO-NAR-52694</v>
          </cell>
        </row>
        <row r="842">
          <cell r="D842" t="str">
            <v>Santa Bárbara</v>
          </cell>
          <cell r="E842" t="str">
            <v>CO-NAR-52696</v>
          </cell>
        </row>
        <row r="843">
          <cell r="D843" t="str">
            <v>Santacruz</v>
          </cell>
          <cell r="E843" t="str">
            <v>CO-NAR-52699</v>
          </cell>
        </row>
        <row r="844">
          <cell r="D844" t="str">
            <v>Sapuyes</v>
          </cell>
          <cell r="E844" t="str">
            <v>CO-NAR-52720</v>
          </cell>
        </row>
        <row r="845">
          <cell r="D845" t="str">
            <v>Taminango</v>
          </cell>
          <cell r="E845" t="str">
            <v>CO-NAR-52786</v>
          </cell>
        </row>
        <row r="846">
          <cell r="D846" t="str">
            <v>Tangua</v>
          </cell>
          <cell r="E846" t="str">
            <v>CO-NAR-52788</v>
          </cell>
        </row>
        <row r="847">
          <cell r="D847" t="str">
            <v>Tumaco</v>
          </cell>
          <cell r="E847" t="str">
            <v>CO-NAR-52835</v>
          </cell>
        </row>
        <row r="848">
          <cell r="D848" t="str">
            <v>Túquerres</v>
          </cell>
          <cell r="E848" t="str">
            <v>CO-NAR-52838</v>
          </cell>
        </row>
        <row r="849">
          <cell r="D849" t="str">
            <v>Yacuanquer</v>
          </cell>
          <cell r="E849" t="str">
            <v>CO-NAR-52885</v>
          </cell>
        </row>
        <row r="850">
          <cell r="D850" t="str">
            <v>Norte de Santander</v>
          </cell>
          <cell r="E850" t="str">
            <v>CO-NSA</v>
          </cell>
        </row>
        <row r="851">
          <cell r="D851" t="str">
            <v>Cúcuta</v>
          </cell>
          <cell r="E851" t="str">
            <v>CO-NSA-54001</v>
          </cell>
        </row>
        <row r="852">
          <cell r="D852" t="str">
            <v>Abrego</v>
          </cell>
          <cell r="E852" t="str">
            <v>CO-NSA-54003</v>
          </cell>
        </row>
        <row r="853">
          <cell r="D853" t="str">
            <v>Arboledas</v>
          </cell>
          <cell r="E853" t="str">
            <v>CO-NSA-54051</v>
          </cell>
        </row>
        <row r="854">
          <cell r="D854" t="str">
            <v>Bochalema</v>
          </cell>
          <cell r="E854" t="str">
            <v>CO-NSA-54099</v>
          </cell>
        </row>
        <row r="855">
          <cell r="D855" t="str">
            <v>Bucarasica</v>
          </cell>
          <cell r="E855" t="str">
            <v>CO-NSA-54109</v>
          </cell>
        </row>
        <row r="856">
          <cell r="D856" t="str">
            <v>Cácota</v>
          </cell>
          <cell r="E856" t="str">
            <v>CO-NSA-54125</v>
          </cell>
        </row>
        <row r="857">
          <cell r="D857" t="str">
            <v>Cachirá</v>
          </cell>
          <cell r="E857" t="str">
            <v>CO-NSA-54128</v>
          </cell>
        </row>
        <row r="858">
          <cell r="D858" t="str">
            <v>Chinácota</v>
          </cell>
          <cell r="E858" t="str">
            <v>CO-NSA-54172</v>
          </cell>
        </row>
        <row r="859">
          <cell r="D859" t="str">
            <v>Chitagá</v>
          </cell>
          <cell r="E859" t="str">
            <v>CO-NSA-54174</v>
          </cell>
        </row>
        <row r="860">
          <cell r="D860" t="str">
            <v>Convención</v>
          </cell>
          <cell r="E860" t="str">
            <v>CO-NSA-54206</v>
          </cell>
        </row>
        <row r="861">
          <cell r="D861" t="str">
            <v>Cucutilla</v>
          </cell>
          <cell r="E861" t="str">
            <v>CO-NSA-54223</v>
          </cell>
        </row>
        <row r="862">
          <cell r="D862" t="str">
            <v>Durania</v>
          </cell>
          <cell r="E862" t="str">
            <v>CO-NSA-54239</v>
          </cell>
        </row>
        <row r="863">
          <cell r="D863" t="str">
            <v>El Carmen</v>
          </cell>
          <cell r="E863" t="str">
            <v>CO-NSA-54245</v>
          </cell>
        </row>
        <row r="864">
          <cell r="D864" t="str">
            <v>El Tarra</v>
          </cell>
          <cell r="E864" t="str">
            <v>CO-NSA-54250</v>
          </cell>
        </row>
        <row r="865">
          <cell r="D865" t="str">
            <v>El Zulia</v>
          </cell>
          <cell r="E865" t="str">
            <v>CO-NSA-54261</v>
          </cell>
        </row>
        <row r="866">
          <cell r="D866" t="str">
            <v>Gramalote</v>
          </cell>
          <cell r="E866" t="str">
            <v>CO-NSA-54313</v>
          </cell>
        </row>
        <row r="867">
          <cell r="D867" t="str">
            <v>Hacarí</v>
          </cell>
          <cell r="E867" t="str">
            <v>CO-NSA-54344</v>
          </cell>
        </row>
        <row r="868">
          <cell r="D868" t="str">
            <v>Herrán</v>
          </cell>
          <cell r="E868" t="str">
            <v>CO-NSA-54347</v>
          </cell>
        </row>
        <row r="869">
          <cell r="D869" t="str">
            <v>Labateca</v>
          </cell>
          <cell r="E869" t="str">
            <v>CO-NSA-54377</v>
          </cell>
        </row>
        <row r="870">
          <cell r="D870" t="str">
            <v>La Esperanza</v>
          </cell>
          <cell r="E870" t="str">
            <v>CO-NSA-54385</v>
          </cell>
        </row>
        <row r="871">
          <cell r="D871" t="str">
            <v>La Playa</v>
          </cell>
          <cell r="E871" t="str">
            <v>CO-NSA-54398</v>
          </cell>
        </row>
        <row r="872">
          <cell r="D872" t="str">
            <v>Los Patios</v>
          </cell>
          <cell r="E872" t="str">
            <v>CO-NSA-54405</v>
          </cell>
        </row>
        <row r="873">
          <cell r="D873" t="str">
            <v>Lourdes</v>
          </cell>
          <cell r="E873" t="str">
            <v>CO-NSA-54418</v>
          </cell>
        </row>
        <row r="874">
          <cell r="D874" t="str">
            <v>Mutiscua</v>
          </cell>
          <cell r="E874" t="str">
            <v>CO-NSA-54480</v>
          </cell>
        </row>
        <row r="875">
          <cell r="D875" t="str">
            <v>Ocaña</v>
          </cell>
          <cell r="E875" t="str">
            <v>CO-NSA-54498</v>
          </cell>
        </row>
        <row r="876">
          <cell r="D876" t="str">
            <v>Pamplona</v>
          </cell>
          <cell r="E876" t="str">
            <v>CO-NSA-54518</v>
          </cell>
        </row>
        <row r="877">
          <cell r="D877" t="str">
            <v>Pamplonita</v>
          </cell>
          <cell r="E877" t="str">
            <v>CO-NSA-54520</v>
          </cell>
        </row>
        <row r="878">
          <cell r="D878" t="str">
            <v>Puerto Santander</v>
          </cell>
          <cell r="E878" t="str">
            <v>CO-NSA-54553</v>
          </cell>
        </row>
        <row r="879">
          <cell r="D879" t="str">
            <v>Ragonvalia</v>
          </cell>
          <cell r="E879" t="str">
            <v>CO-NSA-54599</v>
          </cell>
        </row>
        <row r="880">
          <cell r="D880" t="str">
            <v>Salazar</v>
          </cell>
          <cell r="E880" t="str">
            <v>CO-NSA-54660</v>
          </cell>
        </row>
        <row r="881">
          <cell r="D881" t="str">
            <v>San Calixto</v>
          </cell>
          <cell r="E881" t="str">
            <v>CO-NSA-54670</v>
          </cell>
        </row>
        <row r="882">
          <cell r="D882" t="str">
            <v>San Cayetano</v>
          </cell>
          <cell r="E882" t="str">
            <v>CO-NSA-54673</v>
          </cell>
        </row>
        <row r="883">
          <cell r="D883" t="str">
            <v>Santiago</v>
          </cell>
          <cell r="E883" t="str">
            <v>CO-NSA-54680</v>
          </cell>
        </row>
        <row r="884">
          <cell r="D884" t="str">
            <v>Sardinata</v>
          </cell>
          <cell r="E884" t="str">
            <v>CO-NSA-54720</v>
          </cell>
        </row>
        <row r="885">
          <cell r="D885" t="str">
            <v>Silos</v>
          </cell>
          <cell r="E885" t="str">
            <v>CO-NSA-54743</v>
          </cell>
        </row>
        <row r="886">
          <cell r="D886" t="str">
            <v>Teorama</v>
          </cell>
          <cell r="E886" t="str">
            <v>CO-NSA-54800</v>
          </cell>
        </row>
        <row r="887">
          <cell r="D887" t="str">
            <v>Tibú</v>
          </cell>
          <cell r="E887" t="str">
            <v>CO-NSA-54810</v>
          </cell>
        </row>
        <row r="888">
          <cell r="D888" t="str">
            <v>Toledo</v>
          </cell>
          <cell r="E888" t="str">
            <v>CO-NSA-54820</v>
          </cell>
        </row>
        <row r="889">
          <cell r="D889" t="str">
            <v>Villa Caro</v>
          </cell>
          <cell r="E889" t="str">
            <v>CO-NSA-54871</v>
          </cell>
        </row>
        <row r="890">
          <cell r="D890" t="str">
            <v>Villa Del Rosario</v>
          </cell>
          <cell r="E890" t="str">
            <v>CO-NSA-54874</v>
          </cell>
        </row>
        <row r="891">
          <cell r="D891" t="str">
            <v>Putumayo</v>
          </cell>
          <cell r="E891" t="str">
            <v>CO-PUT</v>
          </cell>
        </row>
        <row r="892">
          <cell r="D892" t="str">
            <v>Mocoa</v>
          </cell>
          <cell r="E892" t="str">
            <v>CO-PUT-86001</v>
          </cell>
        </row>
        <row r="893">
          <cell r="D893" t="str">
            <v>Colón</v>
          </cell>
          <cell r="E893" t="str">
            <v>CO-PUT-86219</v>
          </cell>
        </row>
        <row r="894">
          <cell r="D894" t="str">
            <v>Orito</v>
          </cell>
          <cell r="E894" t="str">
            <v>CO-PUT-86320</v>
          </cell>
        </row>
        <row r="895">
          <cell r="D895" t="str">
            <v>Puerto Asís</v>
          </cell>
          <cell r="E895" t="str">
            <v>CO-PUT-86568</v>
          </cell>
        </row>
        <row r="896">
          <cell r="D896" t="str">
            <v>Puerto Caicedo</v>
          </cell>
          <cell r="E896" t="str">
            <v>CO-PUT-86569</v>
          </cell>
        </row>
        <row r="897">
          <cell r="D897" t="str">
            <v>Puerto Guzmán</v>
          </cell>
          <cell r="E897" t="str">
            <v>CO-PUT-86571</v>
          </cell>
        </row>
        <row r="898">
          <cell r="D898" t="str">
            <v>Leguízamo</v>
          </cell>
          <cell r="E898" t="str">
            <v>CO-PUT-86573</v>
          </cell>
        </row>
        <row r="899">
          <cell r="D899" t="str">
            <v>Sibundoy</v>
          </cell>
          <cell r="E899" t="str">
            <v>CO-PUT-86749</v>
          </cell>
        </row>
        <row r="900">
          <cell r="D900" t="str">
            <v>San Francisco</v>
          </cell>
          <cell r="E900" t="str">
            <v>CO-PUT-86755</v>
          </cell>
        </row>
        <row r="901">
          <cell r="D901" t="str">
            <v>San Miguel</v>
          </cell>
          <cell r="E901" t="str">
            <v>CO-PUT-86757</v>
          </cell>
        </row>
        <row r="902">
          <cell r="D902" t="str">
            <v>Santiago</v>
          </cell>
          <cell r="E902" t="str">
            <v>CO-PUT-86760</v>
          </cell>
        </row>
        <row r="903">
          <cell r="D903" t="str">
            <v>Valle Del Guamuez</v>
          </cell>
          <cell r="E903" t="str">
            <v>CO-PUT-86865</v>
          </cell>
        </row>
        <row r="904">
          <cell r="D904" t="str">
            <v>Villagarzón</v>
          </cell>
          <cell r="E904" t="str">
            <v>CO-PUT-86885</v>
          </cell>
        </row>
        <row r="905">
          <cell r="D905" t="str">
            <v>Quindío</v>
          </cell>
          <cell r="E905" t="str">
            <v>CO-QUI</v>
          </cell>
        </row>
        <row r="906">
          <cell r="D906" t="str">
            <v>Armenia</v>
          </cell>
          <cell r="E906" t="str">
            <v>CO-QUI-63001</v>
          </cell>
        </row>
        <row r="907">
          <cell r="D907" t="str">
            <v>Buenavista</v>
          </cell>
          <cell r="E907" t="str">
            <v>CO-QUI-63111</v>
          </cell>
        </row>
        <row r="908">
          <cell r="D908" t="str">
            <v>Calarca</v>
          </cell>
          <cell r="E908" t="str">
            <v>CO-QUI-63130</v>
          </cell>
        </row>
        <row r="909">
          <cell r="D909" t="str">
            <v>Circasia</v>
          </cell>
          <cell r="E909" t="str">
            <v>CO-QUI-63190</v>
          </cell>
        </row>
        <row r="910">
          <cell r="D910" t="str">
            <v>Córdoba</v>
          </cell>
          <cell r="E910" t="str">
            <v>CO-QUI-63212</v>
          </cell>
        </row>
        <row r="911">
          <cell r="D911" t="str">
            <v>Filandia</v>
          </cell>
          <cell r="E911" t="str">
            <v>CO-QUI-63272</v>
          </cell>
        </row>
        <row r="912">
          <cell r="D912" t="str">
            <v>Génova</v>
          </cell>
          <cell r="E912" t="str">
            <v>CO-QUI-63302</v>
          </cell>
        </row>
        <row r="913">
          <cell r="D913" t="str">
            <v>La Tebaida</v>
          </cell>
          <cell r="E913" t="str">
            <v>CO-QUI-63401</v>
          </cell>
        </row>
        <row r="914">
          <cell r="D914" t="str">
            <v>Montenegro</v>
          </cell>
          <cell r="E914" t="str">
            <v>CO-QUI-63470</v>
          </cell>
        </row>
        <row r="915">
          <cell r="D915" t="str">
            <v>Pijao</v>
          </cell>
          <cell r="E915" t="str">
            <v>CO-QUI-63548</v>
          </cell>
        </row>
        <row r="916">
          <cell r="D916" t="str">
            <v>Quimbaya</v>
          </cell>
          <cell r="E916" t="str">
            <v>CO-QUI-63594</v>
          </cell>
        </row>
        <row r="917">
          <cell r="D917" t="str">
            <v>Salento</v>
          </cell>
          <cell r="E917" t="str">
            <v>CO-QUI-63690</v>
          </cell>
        </row>
        <row r="918">
          <cell r="D918" t="str">
            <v>Risaralda</v>
          </cell>
          <cell r="E918" t="str">
            <v>CO-RIS</v>
          </cell>
        </row>
        <row r="919">
          <cell r="D919" t="str">
            <v>Pereira</v>
          </cell>
          <cell r="E919" t="str">
            <v>CO-RIS-66001</v>
          </cell>
        </row>
        <row r="920">
          <cell r="D920" t="str">
            <v>Apía</v>
          </cell>
          <cell r="E920" t="str">
            <v>CO-RIS-66045</v>
          </cell>
        </row>
        <row r="921">
          <cell r="D921" t="str">
            <v>Balboa</v>
          </cell>
          <cell r="E921" t="str">
            <v>CO-RIS-66075</v>
          </cell>
        </row>
        <row r="922">
          <cell r="D922" t="str">
            <v>Belén De Umbría</v>
          </cell>
          <cell r="E922" t="str">
            <v>CO-RIS-66088</v>
          </cell>
        </row>
        <row r="923">
          <cell r="D923" t="str">
            <v>Dosquebradas</v>
          </cell>
          <cell r="E923" t="str">
            <v>CO-RIS-66170</v>
          </cell>
        </row>
        <row r="924">
          <cell r="D924" t="str">
            <v>Guática</v>
          </cell>
          <cell r="E924" t="str">
            <v>CO-RIS-66318</v>
          </cell>
        </row>
        <row r="925">
          <cell r="D925" t="str">
            <v>La Celia</v>
          </cell>
          <cell r="E925" t="str">
            <v>CO-RIS-66383</v>
          </cell>
        </row>
        <row r="926">
          <cell r="D926" t="str">
            <v>La Virginia</v>
          </cell>
          <cell r="E926" t="str">
            <v>CO-RIS-66400</v>
          </cell>
        </row>
        <row r="927">
          <cell r="D927" t="str">
            <v>Marsella</v>
          </cell>
          <cell r="E927" t="str">
            <v>CO-RIS-66440</v>
          </cell>
        </row>
        <row r="928">
          <cell r="D928" t="str">
            <v>Mistrató</v>
          </cell>
          <cell r="E928" t="str">
            <v>CO-RIS-66456</v>
          </cell>
        </row>
        <row r="929">
          <cell r="D929" t="str">
            <v>Pueblo Rico</v>
          </cell>
          <cell r="E929" t="str">
            <v>CO-RIS-66572</v>
          </cell>
        </row>
        <row r="930">
          <cell r="D930" t="str">
            <v>Quinchía</v>
          </cell>
          <cell r="E930" t="str">
            <v>CO-RIS-66594</v>
          </cell>
        </row>
        <row r="931">
          <cell r="D931" t="str">
            <v>Santa Rosa De Cabal</v>
          </cell>
          <cell r="E931" t="str">
            <v>CO-RIS-66682</v>
          </cell>
        </row>
        <row r="932">
          <cell r="D932" t="str">
            <v>Santuario</v>
          </cell>
          <cell r="E932" t="str">
            <v>CO-RIS-66687</v>
          </cell>
        </row>
        <row r="933">
          <cell r="D933" t="str">
            <v>San Andrés, Providencia y Santa Catalina</v>
          </cell>
          <cell r="E933" t="str">
            <v>CO-SAP</v>
          </cell>
        </row>
        <row r="934">
          <cell r="D934" t="str">
            <v>San Andrés</v>
          </cell>
          <cell r="E934" t="str">
            <v>CO-SAP-88001</v>
          </cell>
        </row>
        <row r="935">
          <cell r="D935" t="str">
            <v>Providencia</v>
          </cell>
          <cell r="E935" t="str">
            <v>CO-SAP-88564</v>
          </cell>
        </row>
        <row r="936">
          <cell r="D936" t="str">
            <v>Santander</v>
          </cell>
          <cell r="E936" t="str">
            <v>CO-SAN</v>
          </cell>
        </row>
        <row r="937">
          <cell r="D937" t="str">
            <v>Bucaramanga</v>
          </cell>
          <cell r="E937" t="str">
            <v>CO-SAN-68001</v>
          </cell>
        </row>
        <row r="938">
          <cell r="D938" t="str">
            <v>Aguada</v>
          </cell>
          <cell r="E938" t="str">
            <v>CO-SAN-68013</v>
          </cell>
        </row>
        <row r="939">
          <cell r="D939" t="str">
            <v>Albania</v>
          </cell>
          <cell r="E939" t="str">
            <v>CO-SAN-68020</v>
          </cell>
        </row>
        <row r="940">
          <cell r="D940" t="str">
            <v>Aratoca</v>
          </cell>
          <cell r="E940" t="str">
            <v>CO-SAN-68051</v>
          </cell>
        </row>
        <row r="941">
          <cell r="D941" t="str">
            <v>Barbosa</v>
          </cell>
          <cell r="E941" t="str">
            <v>CO-SAN-68077</v>
          </cell>
        </row>
        <row r="942">
          <cell r="D942" t="str">
            <v>Barichara</v>
          </cell>
          <cell r="E942" t="str">
            <v>CO-SAN-68079</v>
          </cell>
        </row>
        <row r="943">
          <cell r="D943" t="str">
            <v>Barrancabermeja</v>
          </cell>
          <cell r="E943" t="str">
            <v>CO-SAN-68081</v>
          </cell>
        </row>
        <row r="944">
          <cell r="D944" t="str">
            <v>Betulia</v>
          </cell>
          <cell r="E944" t="str">
            <v>CO-SAN-68092</v>
          </cell>
        </row>
        <row r="945">
          <cell r="D945" t="str">
            <v>Bolívar</v>
          </cell>
          <cell r="E945" t="str">
            <v>CO-SAN-68101</v>
          </cell>
        </row>
        <row r="946">
          <cell r="D946" t="str">
            <v>Cabrera</v>
          </cell>
          <cell r="E946" t="str">
            <v>CO-SAN-68121</v>
          </cell>
        </row>
        <row r="947">
          <cell r="D947" t="str">
            <v>California</v>
          </cell>
          <cell r="E947" t="str">
            <v>CO-SAN-68132</v>
          </cell>
        </row>
        <row r="948">
          <cell r="D948" t="str">
            <v>Capitanejo</v>
          </cell>
          <cell r="E948" t="str">
            <v>CO-SAN-68147</v>
          </cell>
        </row>
        <row r="949">
          <cell r="D949" t="str">
            <v>Carcasí</v>
          </cell>
          <cell r="E949" t="str">
            <v>CO-SAN-68152</v>
          </cell>
        </row>
        <row r="950">
          <cell r="D950" t="str">
            <v>Cepitá</v>
          </cell>
          <cell r="E950" t="str">
            <v>CO-SAN-68160</v>
          </cell>
        </row>
        <row r="951">
          <cell r="D951" t="str">
            <v>Cerrito</v>
          </cell>
          <cell r="E951" t="str">
            <v>CO-SAN-68162</v>
          </cell>
        </row>
        <row r="952">
          <cell r="D952" t="str">
            <v>Charalá</v>
          </cell>
          <cell r="E952" t="str">
            <v>CO-SAN-68167</v>
          </cell>
        </row>
        <row r="953">
          <cell r="D953" t="str">
            <v>Charta</v>
          </cell>
          <cell r="E953" t="str">
            <v>CO-SAN-68169</v>
          </cell>
        </row>
        <row r="954">
          <cell r="D954" t="str">
            <v>Chima</v>
          </cell>
          <cell r="E954" t="str">
            <v>CO-SAN-68176</v>
          </cell>
        </row>
        <row r="955">
          <cell r="D955" t="str">
            <v>Chipatá</v>
          </cell>
          <cell r="E955" t="str">
            <v>CO-SAN-68179</v>
          </cell>
        </row>
        <row r="956">
          <cell r="D956" t="str">
            <v>Cimitarra</v>
          </cell>
          <cell r="E956" t="str">
            <v>CO-SAN-68190</v>
          </cell>
        </row>
        <row r="957">
          <cell r="D957" t="str">
            <v>Concepción</v>
          </cell>
          <cell r="E957" t="str">
            <v>CO-SAN-68207</v>
          </cell>
        </row>
        <row r="958">
          <cell r="D958" t="str">
            <v>Confines</v>
          </cell>
          <cell r="E958" t="str">
            <v>CO-SAN-68209</v>
          </cell>
        </row>
        <row r="959">
          <cell r="D959" t="str">
            <v>Contratación</v>
          </cell>
          <cell r="E959" t="str">
            <v>CO-SAN-68211</v>
          </cell>
        </row>
        <row r="960">
          <cell r="D960" t="str">
            <v>Coromoro</v>
          </cell>
          <cell r="E960" t="str">
            <v>CO-SAN-68217</v>
          </cell>
        </row>
        <row r="961">
          <cell r="D961" t="str">
            <v>Curití</v>
          </cell>
          <cell r="E961" t="str">
            <v>CO-SAN-68229</v>
          </cell>
        </row>
        <row r="962">
          <cell r="D962" t="str">
            <v>El Carmen De Chucurí</v>
          </cell>
          <cell r="E962" t="str">
            <v>CO-SAN-68235</v>
          </cell>
        </row>
        <row r="963">
          <cell r="D963" t="str">
            <v>El Guacamayo</v>
          </cell>
          <cell r="E963" t="str">
            <v>CO-SAN-68245</v>
          </cell>
        </row>
        <row r="964">
          <cell r="D964" t="str">
            <v>El Peñón</v>
          </cell>
          <cell r="E964" t="str">
            <v>CO-SAN-68250</v>
          </cell>
        </row>
        <row r="965">
          <cell r="D965" t="str">
            <v>El Playón</v>
          </cell>
          <cell r="E965" t="str">
            <v>CO-SAN-68255</v>
          </cell>
        </row>
        <row r="966">
          <cell r="D966" t="str">
            <v>Encino</v>
          </cell>
          <cell r="E966" t="str">
            <v>CO-SAN-68264</v>
          </cell>
        </row>
        <row r="967">
          <cell r="D967" t="str">
            <v>Enciso</v>
          </cell>
          <cell r="E967" t="str">
            <v>CO-SAN-68266</v>
          </cell>
        </row>
        <row r="968">
          <cell r="D968" t="str">
            <v>Florián</v>
          </cell>
          <cell r="E968" t="str">
            <v>CO-SAN-68271</v>
          </cell>
        </row>
        <row r="969">
          <cell r="D969" t="str">
            <v>Floridablanca</v>
          </cell>
          <cell r="E969" t="str">
            <v>CO-SAN-68276</v>
          </cell>
        </row>
        <row r="970">
          <cell r="D970" t="str">
            <v>Galán</v>
          </cell>
          <cell r="E970" t="str">
            <v>CO-SAN-68296</v>
          </cell>
        </row>
        <row r="971">
          <cell r="D971" t="str">
            <v>Gambita</v>
          </cell>
          <cell r="E971" t="str">
            <v>CO-SAN-68298</v>
          </cell>
        </row>
        <row r="972">
          <cell r="D972" t="str">
            <v>Girón</v>
          </cell>
          <cell r="E972" t="str">
            <v>CO-SAN-68307</v>
          </cell>
        </row>
        <row r="973">
          <cell r="D973" t="str">
            <v>Guaca</v>
          </cell>
          <cell r="E973" t="str">
            <v>CO-SAN-68318</v>
          </cell>
        </row>
        <row r="974">
          <cell r="D974" t="str">
            <v>Guadalupe</v>
          </cell>
          <cell r="E974" t="str">
            <v>CO-SAN-68320</v>
          </cell>
        </row>
        <row r="975">
          <cell r="D975" t="str">
            <v>Guapotá</v>
          </cell>
          <cell r="E975" t="str">
            <v>CO-SAN-68322</v>
          </cell>
        </row>
        <row r="976">
          <cell r="D976" t="str">
            <v>Guavatá</v>
          </cell>
          <cell r="E976" t="str">
            <v>CO-SAN-68324</v>
          </cell>
        </row>
        <row r="977">
          <cell r="D977" t="str">
            <v>Güepsa</v>
          </cell>
          <cell r="E977" t="str">
            <v>CO-SAN-68327</v>
          </cell>
        </row>
        <row r="978">
          <cell r="D978" t="str">
            <v>Hato</v>
          </cell>
          <cell r="E978" t="str">
            <v>CO-SAN-68344</v>
          </cell>
        </row>
        <row r="979">
          <cell r="D979" t="str">
            <v>Jesús María</v>
          </cell>
          <cell r="E979" t="str">
            <v>CO-SAN-68368</v>
          </cell>
        </row>
        <row r="980">
          <cell r="D980" t="str">
            <v>Jordán</v>
          </cell>
          <cell r="E980" t="str">
            <v>CO-SAN-68370</v>
          </cell>
        </row>
        <row r="981">
          <cell r="D981" t="str">
            <v>La Belleza</v>
          </cell>
          <cell r="E981" t="str">
            <v>CO-SAN-68377</v>
          </cell>
        </row>
        <row r="982">
          <cell r="D982" t="str">
            <v>Landázuri</v>
          </cell>
          <cell r="E982" t="str">
            <v>CO-SAN-68385</v>
          </cell>
        </row>
        <row r="983">
          <cell r="D983" t="str">
            <v>La Paz</v>
          </cell>
          <cell r="E983" t="str">
            <v>CO-SAN-68397</v>
          </cell>
        </row>
        <row r="984">
          <cell r="D984" t="str">
            <v>Lebríja</v>
          </cell>
          <cell r="E984" t="str">
            <v>CO-SAN-68406</v>
          </cell>
        </row>
        <row r="985">
          <cell r="D985" t="str">
            <v>Los Santos</v>
          </cell>
          <cell r="E985" t="str">
            <v>CO-SAN-68418</v>
          </cell>
        </row>
        <row r="986">
          <cell r="D986" t="str">
            <v>Macaravita</v>
          </cell>
          <cell r="E986" t="str">
            <v>CO-SAN-68425</v>
          </cell>
        </row>
        <row r="987">
          <cell r="D987" t="str">
            <v>Málaga</v>
          </cell>
          <cell r="E987" t="str">
            <v>CO-SAN-68432</v>
          </cell>
        </row>
        <row r="988">
          <cell r="D988" t="str">
            <v>Matanza</v>
          </cell>
          <cell r="E988" t="str">
            <v>CO-SAN-68444</v>
          </cell>
        </row>
        <row r="989">
          <cell r="D989" t="str">
            <v>Mogotes</v>
          </cell>
          <cell r="E989" t="str">
            <v>CO-SAN-68464</v>
          </cell>
        </row>
        <row r="990">
          <cell r="D990" t="str">
            <v>Molagavita</v>
          </cell>
          <cell r="E990" t="str">
            <v>CO-SAN-68468</v>
          </cell>
        </row>
        <row r="991">
          <cell r="D991" t="str">
            <v>Ocamonte</v>
          </cell>
          <cell r="E991" t="str">
            <v>CO-SAN-68498</v>
          </cell>
        </row>
        <row r="992">
          <cell r="D992" t="str">
            <v>Oiba</v>
          </cell>
          <cell r="E992" t="str">
            <v>CO-SAN-68500</v>
          </cell>
        </row>
        <row r="993">
          <cell r="D993" t="str">
            <v>Onzaga</v>
          </cell>
          <cell r="E993" t="str">
            <v>CO-SAN-68502</v>
          </cell>
        </row>
        <row r="994">
          <cell r="D994" t="str">
            <v>Palmar</v>
          </cell>
          <cell r="E994" t="str">
            <v>CO-SAN-68522</v>
          </cell>
        </row>
        <row r="995">
          <cell r="D995" t="str">
            <v>Palmas Del Socorro</v>
          </cell>
          <cell r="E995" t="str">
            <v>CO-SAN-68524</v>
          </cell>
        </row>
        <row r="996">
          <cell r="D996" t="str">
            <v>Páramo</v>
          </cell>
          <cell r="E996" t="str">
            <v>CO-SAN-68533</v>
          </cell>
        </row>
        <row r="997">
          <cell r="D997" t="str">
            <v>Piedecuesta</v>
          </cell>
          <cell r="E997" t="str">
            <v>CO-SAN-68547</v>
          </cell>
        </row>
        <row r="998">
          <cell r="D998" t="str">
            <v>Pinchote</v>
          </cell>
          <cell r="E998" t="str">
            <v>CO-SAN-68549</v>
          </cell>
        </row>
        <row r="999">
          <cell r="D999" t="str">
            <v>Puente Nacional</v>
          </cell>
          <cell r="E999" t="str">
            <v>CO-SAN-68572</v>
          </cell>
        </row>
        <row r="1000">
          <cell r="D1000" t="str">
            <v>Puerto Parra</v>
          </cell>
          <cell r="E1000" t="str">
            <v>CO-SAN-68573</v>
          </cell>
        </row>
        <row r="1001">
          <cell r="D1001" t="str">
            <v>Puerto Wilches</v>
          </cell>
          <cell r="E1001" t="str">
            <v>CO-SAN-68575</v>
          </cell>
        </row>
        <row r="1002">
          <cell r="D1002" t="str">
            <v>Rionegro</v>
          </cell>
          <cell r="E1002" t="str">
            <v>CO-SAN-68615</v>
          </cell>
        </row>
        <row r="1003">
          <cell r="D1003" t="str">
            <v>Sabana De Torres</v>
          </cell>
          <cell r="E1003" t="str">
            <v>CO-SAN-68655</v>
          </cell>
        </row>
        <row r="1004">
          <cell r="D1004" t="str">
            <v>San Andrés</v>
          </cell>
          <cell r="E1004" t="str">
            <v>CO-SAN-68669</v>
          </cell>
        </row>
        <row r="1005">
          <cell r="D1005" t="str">
            <v>San Benito</v>
          </cell>
          <cell r="E1005" t="str">
            <v>CO-SAN-68673</v>
          </cell>
        </row>
        <row r="1006">
          <cell r="D1006" t="str">
            <v>San Gil</v>
          </cell>
          <cell r="E1006" t="str">
            <v>CO-SAN-68679</v>
          </cell>
        </row>
        <row r="1007">
          <cell r="D1007" t="str">
            <v>San Joaquín</v>
          </cell>
          <cell r="E1007" t="str">
            <v>CO-SAN-68682</v>
          </cell>
        </row>
        <row r="1008">
          <cell r="D1008" t="str">
            <v>San José De Miranda</v>
          </cell>
          <cell r="E1008" t="str">
            <v>CO-SAN-68684</v>
          </cell>
        </row>
        <row r="1009">
          <cell r="D1009" t="str">
            <v>San Miguel</v>
          </cell>
          <cell r="E1009" t="str">
            <v>CO-SAN-68686</v>
          </cell>
        </row>
        <row r="1010">
          <cell r="D1010" t="str">
            <v>San Vicente De Chucurí</v>
          </cell>
          <cell r="E1010" t="str">
            <v>CO-SAN-68689</v>
          </cell>
        </row>
        <row r="1011">
          <cell r="D1011" t="str">
            <v>Santa Bárbara</v>
          </cell>
          <cell r="E1011" t="str">
            <v>CO-SAN-68705</v>
          </cell>
        </row>
        <row r="1012">
          <cell r="D1012" t="str">
            <v>Santa Helena Del Opón</v>
          </cell>
          <cell r="E1012" t="str">
            <v>CO-SAN-68720</v>
          </cell>
        </row>
        <row r="1013">
          <cell r="D1013" t="str">
            <v>Simacota</v>
          </cell>
          <cell r="E1013" t="str">
            <v>CO-SAN-68745</v>
          </cell>
        </row>
        <row r="1014">
          <cell r="D1014" t="str">
            <v>Socorro</v>
          </cell>
          <cell r="E1014" t="str">
            <v>CO-SAN-68755</v>
          </cell>
        </row>
        <row r="1015">
          <cell r="D1015" t="str">
            <v>Suaita</v>
          </cell>
          <cell r="E1015" t="str">
            <v>CO-SAN-68770</v>
          </cell>
        </row>
        <row r="1016">
          <cell r="D1016" t="str">
            <v>Sucre</v>
          </cell>
          <cell r="E1016" t="str">
            <v>CO-SAN-68773</v>
          </cell>
        </row>
        <row r="1017">
          <cell r="D1017" t="str">
            <v>Suratá</v>
          </cell>
          <cell r="E1017" t="str">
            <v>CO-SAN-68780</v>
          </cell>
        </row>
        <row r="1018">
          <cell r="D1018" t="str">
            <v>Tona</v>
          </cell>
          <cell r="E1018" t="str">
            <v>CO-SAN-68820</v>
          </cell>
        </row>
        <row r="1019">
          <cell r="D1019" t="str">
            <v>Valle De San José</v>
          </cell>
          <cell r="E1019" t="str">
            <v>CO-SAN-68855</v>
          </cell>
        </row>
        <row r="1020">
          <cell r="D1020" t="str">
            <v>Vélez</v>
          </cell>
          <cell r="E1020" t="str">
            <v>CO-SAN-68861</v>
          </cell>
        </row>
        <row r="1021">
          <cell r="D1021" t="str">
            <v>Vetas</v>
          </cell>
          <cell r="E1021" t="str">
            <v>CO-SAN-68867</v>
          </cell>
        </row>
        <row r="1022">
          <cell r="D1022" t="str">
            <v>Villanueva</v>
          </cell>
          <cell r="E1022" t="str">
            <v>CO-SAN-68872</v>
          </cell>
        </row>
        <row r="1023">
          <cell r="D1023" t="str">
            <v>Zapatoca</v>
          </cell>
          <cell r="E1023" t="str">
            <v>CO-SAN-68895</v>
          </cell>
        </row>
        <row r="1024">
          <cell r="D1024" t="str">
            <v>Sucre</v>
          </cell>
          <cell r="E1024" t="str">
            <v>CO-SUC</v>
          </cell>
        </row>
        <row r="1025">
          <cell r="D1025" t="str">
            <v>Sincelejo</v>
          </cell>
          <cell r="E1025" t="str">
            <v>CO-SUC-70001</v>
          </cell>
        </row>
        <row r="1026">
          <cell r="D1026" t="str">
            <v>Buenavista</v>
          </cell>
          <cell r="E1026" t="str">
            <v>CO-SUC-70110</v>
          </cell>
        </row>
        <row r="1027">
          <cell r="D1027" t="str">
            <v>Caimito</v>
          </cell>
          <cell r="E1027" t="str">
            <v>CO-SUC-70124</v>
          </cell>
        </row>
        <row r="1028">
          <cell r="D1028" t="str">
            <v>Coloso</v>
          </cell>
          <cell r="E1028" t="str">
            <v>CO-SUC-70204</v>
          </cell>
        </row>
        <row r="1029">
          <cell r="D1029" t="str">
            <v>Corozal</v>
          </cell>
          <cell r="E1029" t="str">
            <v>CO-SUC-70215</v>
          </cell>
        </row>
        <row r="1030">
          <cell r="D1030" t="str">
            <v>Coveñas</v>
          </cell>
          <cell r="E1030" t="str">
            <v>CO-SUC-70221</v>
          </cell>
        </row>
        <row r="1031">
          <cell r="D1031" t="str">
            <v>Chalán</v>
          </cell>
          <cell r="E1031" t="str">
            <v>CO-SUC-70230</v>
          </cell>
        </row>
        <row r="1032">
          <cell r="D1032" t="str">
            <v>El Roble</v>
          </cell>
          <cell r="E1032" t="str">
            <v>CO-SUC-70233</v>
          </cell>
        </row>
        <row r="1033">
          <cell r="D1033" t="str">
            <v>Galeras</v>
          </cell>
          <cell r="E1033" t="str">
            <v>CO-SUC-70235</v>
          </cell>
        </row>
        <row r="1034">
          <cell r="D1034" t="str">
            <v>Guaranda</v>
          </cell>
          <cell r="E1034" t="str">
            <v>CO-SUC-70265</v>
          </cell>
        </row>
        <row r="1035">
          <cell r="D1035" t="str">
            <v>La Unión</v>
          </cell>
          <cell r="E1035" t="str">
            <v>CO-SUC-70400</v>
          </cell>
        </row>
        <row r="1036">
          <cell r="D1036" t="str">
            <v>Los Palmitos</v>
          </cell>
          <cell r="E1036" t="str">
            <v>CO-SUC-70418</v>
          </cell>
        </row>
        <row r="1037">
          <cell r="D1037" t="str">
            <v>Majagual</v>
          </cell>
          <cell r="E1037" t="str">
            <v>CO-SUC-70429</v>
          </cell>
        </row>
        <row r="1038">
          <cell r="D1038" t="str">
            <v>Morroa</v>
          </cell>
          <cell r="E1038" t="str">
            <v>CO-SUC-70473</v>
          </cell>
        </row>
        <row r="1039">
          <cell r="D1039" t="str">
            <v>Ovejas</v>
          </cell>
          <cell r="E1039" t="str">
            <v>CO-SUC-70508</v>
          </cell>
        </row>
        <row r="1040">
          <cell r="D1040" t="str">
            <v>Palmito</v>
          </cell>
          <cell r="E1040" t="str">
            <v>CO-SUC-70523</v>
          </cell>
        </row>
        <row r="1041">
          <cell r="D1041" t="str">
            <v>Sampués</v>
          </cell>
          <cell r="E1041" t="str">
            <v>CO-SUC-70670</v>
          </cell>
        </row>
        <row r="1042">
          <cell r="D1042" t="str">
            <v>San Benito Abad</v>
          </cell>
          <cell r="E1042" t="str">
            <v>CO-SUC-70678</v>
          </cell>
        </row>
        <row r="1043">
          <cell r="D1043" t="str">
            <v>San Juan De Betulia</v>
          </cell>
          <cell r="E1043" t="str">
            <v>CO-SUC-70702</v>
          </cell>
        </row>
        <row r="1044">
          <cell r="D1044" t="str">
            <v>San Marcos</v>
          </cell>
          <cell r="E1044" t="str">
            <v>CO-SUC-70708</v>
          </cell>
        </row>
        <row r="1045">
          <cell r="D1045" t="str">
            <v>San Onofre</v>
          </cell>
          <cell r="E1045" t="str">
            <v>CO-SUC-70713</v>
          </cell>
        </row>
        <row r="1046">
          <cell r="D1046" t="str">
            <v>San Pedro</v>
          </cell>
          <cell r="E1046" t="str">
            <v>CO-SUC-70717</v>
          </cell>
        </row>
        <row r="1047">
          <cell r="D1047" t="str">
            <v>Sincé</v>
          </cell>
          <cell r="E1047" t="str">
            <v>CO-SUC-70742</v>
          </cell>
        </row>
        <row r="1048">
          <cell r="D1048" t="str">
            <v>Sucre</v>
          </cell>
          <cell r="E1048" t="str">
            <v>CO-SUC-70771</v>
          </cell>
        </row>
        <row r="1049">
          <cell r="D1049" t="str">
            <v>Santiago De Tolú</v>
          </cell>
          <cell r="E1049" t="str">
            <v>CO-SUC-70820</v>
          </cell>
        </row>
        <row r="1050">
          <cell r="D1050" t="str">
            <v>Tolú Viejo</v>
          </cell>
          <cell r="E1050" t="str">
            <v>CO-SUC-70823</v>
          </cell>
        </row>
        <row r="1051">
          <cell r="D1051" t="str">
            <v>Tolima</v>
          </cell>
          <cell r="E1051" t="str">
            <v>CO-TOL</v>
          </cell>
        </row>
        <row r="1052">
          <cell r="D1052" t="str">
            <v>Ibagué</v>
          </cell>
          <cell r="E1052" t="str">
            <v>CO-TOL-73001</v>
          </cell>
        </row>
        <row r="1053">
          <cell r="D1053" t="str">
            <v>Alpujarra</v>
          </cell>
          <cell r="E1053" t="str">
            <v>CO-TOL-73024</v>
          </cell>
        </row>
        <row r="1054">
          <cell r="D1054" t="str">
            <v>Alvarado</v>
          </cell>
          <cell r="E1054" t="str">
            <v>CO-TOL-73026</v>
          </cell>
        </row>
        <row r="1055">
          <cell r="D1055" t="str">
            <v>Ambalema</v>
          </cell>
          <cell r="E1055" t="str">
            <v>CO-TOL-73030</v>
          </cell>
        </row>
        <row r="1056">
          <cell r="D1056" t="str">
            <v>Anzoátegui</v>
          </cell>
          <cell r="E1056" t="str">
            <v>CO-TOL-73043</v>
          </cell>
        </row>
        <row r="1057">
          <cell r="D1057" t="str">
            <v>Armero</v>
          </cell>
          <cell r="E1057" t="str">
            <v>CO-TOL-73055</v>
          </cell>
        </row>
        <row r="1058">
          <cell r="D1058" t="str">
            <v>Ataco</v>
          </cell>
          <cell r="E1058" t="str">
            <v>CO-TOL-73067</v>
          </cell>
        </row>
        <row r="1059">
          <cell r="D1059" t="str">
            <v>Cajamarca</v>
          </cell>
          <cell r="E1059" t="str">
            <v>CO-TOL-73124</v>
          </cell>
        </row>
        <row r="1060">
          <cell r="D1060" t="str">
            <v>Carmen De Apicalá</v>
          </cell>
          <cell r="E1060" t="str">
            <v>CO-TOL-73148</v>
          </cell>
        </row>
        <row r="1061">
          <cell r="D1061" t="str">
            <v>Casabianca</v>
          </cell>
          <cell r="E1061" t="str">
            <v>CO-TOL-73152</v>
          </cell>
        </row>
        <row r="1062">
          <cell r="D1062" t="str">
            <v>Chaparral</v>
          </cell>
          <cell r="E1062" t="str">
            <v>CO-TOL-73168</v>
          </cell>
        </row>
        <row r="1063">
          <cell r="D1063" t="str">
            <v>Coello</v>
          </cell>
          <cell r="E1063" t="str">
            <v>CO-TOL-73200</v>
          </cell>
        </row>
        <row r="1064">
          <cell r="D1064" t="str">
            <v>Coyaima</v>
          </cell>
          <cell r="E1064" t="str">
            <v>CO-TOL-73217</v>
          </cell>
        </row>
        <row r="1065">
          <cell r="D1065" t="str">
            <v>Cunday</v>
          </cell>
          <cell r="E1065" t="str">
            <v>CO-TOL-73226</v>
          </cell>
        </row>
        <row r="1066">
          <cell r="D1066" t="str">
            <v>Dolores</v>
          </cell>
          <cell r="E1066" t="str">
            <v>CO-TOL-73236</v>
          </cell>
        </row>
        <row r="1067">
          <cell r="D1067" t="str">
            <v>Espinal</v>
          </cell>
          <cell r="E1067" t="str">
            <v>CO-TOL-73268</v>
          </cell>
        </row>
        <row r="1068">
          <cell r="D1068" t="str">
            <v>Falan</v>
          </cell>
          <cell r="E1068" t="str">
            <v>CO-TOL-73270</v>
          </cell>
        </row>
        <row r="1069">
          <cell r="D1069" t="str">
            <v>Flandes</v>
          </cell>
          <cell r="E1069" t="str">
            <v>CO-TOL-73275</v>
          </cell>
        </row>
        <row r="1070">
          <cell r="D1070" t="str">
            <v>Fresno</v>
          </cell>
          <cell r="E1070" t="str">
            <v>CO-TOL-73283</v>
          </cell>
        </row>
        <row r="1071">
          <cell r="D1071" t="str">
            <v>Guamo</v>
          </cell>
          <cell r="E1071" t="str">
            <v>CO-TOL-73319</v>
          </cell>
        </row>
        <row r="1072">
          <cell r="D1072" t="str">
            <v>Herveo</v>
          </cell>
          <cell r="E1072" t="str">
            <v>CO-TOL-73347</v>
          </cell>
        </row>
        <row r="1073">
          <cell r="D1073" t="str">
            <v>Honda</v>
          </cell>
          <cell r="E1073" t="str">
            <v>CO-TOL-73349</v>
          </cell>
        </row>
        <row r="1074">
          <cell r="D1074" t="str">
            <v>Icononzo</v>
          </cell>
          <cell r="E1074" t="str">
            <v>CO-TOL-73352</v>
          </cell>
        </row>
        <row r="1075">
          <cell r="D1075" t="str">
            <v>Lérida</v>
          </cell>
          <cell r="E1075" t="str">
            <v>CO-TOL-73408</v>
          </cell>
        </row>
        <row r="1076">
          <cell r="D1076" t="str">
            <v>Líbano</v>
          </cell>
          <cell r="E1076" t="str">
            <v>CO-TOL-73411</v>
          </cell>
        </row>
        <row r="1077">
          <cell r="D1077" t="str">
            <v>Mariquita</v>
          </cell>
          <cell r="E1077" t="str">
            <v>CO-TOL-73443</v>
          </cell>
        </row>
        <row r="1078">
          <cell r="D1078" t="str">
            <v>Melgar</v>
          </cell>
          <cell r="E1078" t="str">
            <v>CO-TOL-73449</v>
          </cell>
        </row>
        <row r="1079">
          <cell r="D1079" t="str">
            <v>Murillo</v>
          </cell>
          <cell r="E1079" t="str">
            <v>CO-TOL-73461</v>
          </cell>
        </row>
        <row r="1080">
          <cell r="D1080" t="str">
            <v>Natagaima</v>
          </cell>
          <cell r="E1080" t="str">
            <v>CO-TOL-73483</v>
          </cell>
        </row>
        <row r="1081">
          <cell r="D1081" t="str">
            <v>Ortega</v>
          </cell>
          <cell r="E1081" t="str">
            <v>CO-TOL-73504</v>
          </cell>
        </row>
        <row r="1082">
          <cell r="D1082" t="str">
            <v>Palocabildo</v>
          </cell>
          <cell r="E1082" t="str">
            <v>CO-TOL-73520</v>
          </cell>
        </row>
        <row r="1083">
          <cell r="D1083" t="str">
            <v>Piedras</v>
          </cell>
          <cell r="E1083" t="str">
            <v>CO-TOL-73547</v>
          </cell>
        </row>
        <row r="1084">
          <cell r="D1084" t="str">
            <v>Planadas</v>
          </cell>
          <cell r="E1084" t="str">
            <v>CO-TOL-73555</v>
          </cell>
        </row>
        <row r="1085">
          <cell r="D1085" t="str">
            <v>Prado</v>
          </cell>
          <cell r="E1085" t="str">
            <v>CO-TOL-73563</v>
          </cell>
        </row>
        <row r="1086">
          <cell r="D1086" t="str">
            <v>Purificación</v>
          </cell>
          <cell r="E1086" t="str">
            <v>CO-TOL-73585</v>
          </cell>
        </row>
        <row r="1087">
          <cell r="D1087" t="str">
            <v>Rioblanco</v>
          </cell>
          <cell r="E1087" t="str">
            <v>CO-TOL-73616</v>
          </cell>
        </row>
        <row r="1088">
          <cell r="D1088" t="str">
            <v>Roncesvalles</v>
          </cell>
          <cell r="E1088" t="str">
            <v>CO-TOL-73622</v>
          </cell>
        </row>
        <row r="1089">
          <cell r="D1089" t="str">
            <v>Rovira</v>
          </cell>
          <cell r="E1089" t="str">
            <v>CO-TOL-73624</v>
          </cell>
        </row>
        <row r="1090">
          <cell r="D1090" t="str">
            <v>Saldaña</v>
          </cell>
          <cell r="E1090" t="str">
            <v>CO-TOL-73671</v>
          </cell>
        </row>
        <row r="1091">
          <cell r="D1091" t="str">
            <v>San Antonio</v>
          </cell>
          <cell r="E1091" t="str">
            <v>CO-TOL-73675</v>
          </cell>
        </row>
        <row r="1092">
          <cell r="D1092" t="str">
            <v>San Luis</v>
          </cell>
          <cell r="E1092" t="str">
            <v>CO-TOL-73678</v>
          </cell>
        </row>
        <row r="1093">
          <cell r="D1093" t="str">
            <v>Santa Isabel</v>
          </cell>
          <cell r="E1093" t="str">
            <v>CO-TOL-73686</v>
          </cell>
        </row>
        <row r="1094">
          <cell r="D1094" t="str">
            <v>Suárez</v>
          </cell>
          <cell r="E1094" t="str">
            <v>CO-TOL-73770</v>
          </cell>
        </row>
        <row r="1095">
          <cell r="D1095" t="str">
            <v>Valle De San Juan</v>
          </cell>
          <cell r="E1095" t="str">
            <v>CO-TOL-73854</v>
          </cell>
        </row>
        <row r="1096">
          <cell r="D1096" t="str">
            <v>Venadillo</v>
          </cell>
          <cell r="E1096" t="str">
            <v>CO-TOL-73861</v>
          </cell>
        </row>
        <row r="1097">
          <cell r="D1097" t="str">
            <v>Villahermosa</v>
          </cell>
          <cell r="E1097" t="str">
            <v>CO-TOL-73870</v>
          </cell>
        </row>
        <row r="1098">
          <cell r="D1098" t="str">
            <v>Villarrica</v>
          </cell>
          <cell r="E1098" t="str">
            <v>CO-TOL-73873</v>
          </cell>
        </row>
        <row r="1099">
          <cell r="D1099" t="str">
            <v>Valle del Cauca</v>
          </cell>
          <cell r="E1099" t="str">
            <v>CO-VAC</v>
          </cell>
        </row>
        <row r="1100">
          <cell r="D1100" t="str">
            <v>Cali</v>
          </cell>
          <cell r="E1100" t="str">
            <v>CO-VAC-76001</v>
          </cell>
        </row>
        <row r="1101">
          <cell r="D1101" t="str">
            <v>Alcalá</v>
          </cell>
          <cell r="E1101" t="str">
            <v>CO-VAC-76020</v>
          </cell>
        </row>
        <row r="1102">
          <cell r="D1102" t="str">
            <v>Andalucía</v>
          </cell>
          <cell r="E1102" t="str">
            <v>CO-VAC-76036</v>
          </cell>
        </row>
        <row r="1103">
          <cell r="D1103" t="str">
            <v>Ansermanuevo</v>
          </cell>
          <cell r="E1103" t="str">
            <v>CO-VAC-76041</v>
          </cell>
        </row>
        <row r="1104">
          <cell r="D1104" t="str">
            <v>Argelia</v>
          </cell>
          <cell r="E1104" t="str">
            <v>CO-VAC-76054</v>
          </cell>
        </row>
        <row r="1105">
          <cell r="D1105" t="str">
            <v>Bolívar</v>
          </cell>
          <cell r="E1105" t="str">
            <v>CO-VAC-76100</v>
          </cell>
        </row>
        <row r="1106">
          <cell r="D1106" t="str">
            <v>Buenaventura</v>
          </cell>
          <cell r="E1106" t="str">
            <v>CO-VAC-76109</v>
          </cell>
        </row>
        <row r="1107">
          <cell r="D1107" t="str">
            <v>Guadalajara De Buga</v>
          </cell>
          <cell r="E1107" t="str">
            <v>CO-VAC-76111</v>
          </cell>
        </row>
        <row r="1108">
          <cell r="D1108" t="str">
            <v>Bugalagrande</v>
          </cell>
          <cell r="E1108" t="str">
            <v>CO-VAC-76113</v>
          </cell>
        </row>
        <row r="1109">
          <cell r="D1109" t="str">
            <v>Caicedonia</v>
          </cell>
          <cell r="E1109" t="str">
            <v>CO-VAC-76122</v>
          </cell>
        </row>
        <row r="1110">
          <cell r="D1110" t="str">
            <v>Calima</v>
          </cell>
          <cell r="E1110" t="str">
            <v>CO-VAC-76126</v>
          </cell>
        </row>
        <row r="1111">
          <cell r="D1111" t="str">
            <v>Candelaria</v>
          </cell>
          <cell r="E1111" t="str">
            <v>CO-VAC-76130</v>
          </cell>
        </row>
        <row r="1112">
          <cell r="D1112" t="str">
            <v>Cartago</v>
          </cell>
          <cell r="E1112" t="str">
            <v>CO-VAC-76147</v>
          </cell>
        </row>
        <row r="1113">
          <cell r="D1113" t="str">
            <v>Dagua</v>
          </cell>
          <cell r="E1113" t="str">
            <v>CO-VAC-76233</v>
          </cell>
        </row>
        <row r="1114">
          <cell r="D1114" t="str">
            <v>El Águila</v>
          </cell>
          <cell r="E1114" t="str">
            <v>CO-VAC-76243</v>
          </cell>
        </row>
        <row r="1115">
          <cell r="D1115" t="str">
            <v>El Cairo</v>
          </cell>
          <cell r="E1115" t="str">
            <v>CO-VAC-76246</v>
          </cell>
        </row>
        <row r="1116">
          <cell r="D1116" t="str">
            <v>El Cerrito</v>
          </cell>
          <cell r="E1116" t="str">
            <v>CO-VAC-76248</v>
          </cell>
        </row>
        <row r="1117">
          <cell r="D1117" t="str">
            <v>El Dovio</v>
          </cell>
          <cell r="E1117" t="str">
            <v>CO-VAC-76250</v>
          </cell>
        </row>
        <row r="1118">
          <cell r="D1118" t="str">
            <v>Florida</v>
          </cell>
          <cell r="E1118" t="str">
            <v>CO-VAC-76275</v>
          </cell>
        </row>
        <row r="1119">
          <cell r="D1119" t="str">
            <v>Ginebra</v>
          </cell>
          <cell r="E1119" t="str">
            <v>CO-VAC-76306</v>
          </cell>
        </row>
        <row r="1120">
          <cell r="D1120" t="str">
            <v>Guacarí</v>
          </cell>
          <cell r="E1120" t="str">
            <v>CO-VAC-76318</v>
          </cell>
        </row>
        <row r="1121">
          <cell r="D1121" t="str">
            <v>Jamundí</v>
          </cell>
          <cell r="E1121" t="str">
            <v>CO-VAC-76364</v>
          </cell>
        </row>
        <row r="1122">
          <cell r="D1122" t="str">
            <v>La Cumbre</v>
          </cell>
          <cell r="E1122" t="str">
            <v>CO-VAC-76377</v>
          </cell>
        </row>
        <row r="1123">
          <cell r="D1123" t="str">
            <v>La Unión</v>
          </cell>
          <cell r="E1123" t="str">
            <v>CO-VAC-76400</v>
          </cell>
        </row>
        <row r="1124">
          <cell r="D1124" t="str">
            <v>La Victoria</v>
          </cell>
          <cell r="E1124" t="str">
            <v>CO-VAC-76403</v>
          </cell>
        </row>
        <row r="1125">
          <cell r="D1125" t="str">
            <v>Obando</v>
          </cell>
          <cell r="E1125" t="str">
            <v>CO-VAC-76497</v>
          </cell>
        </row>
        <row r="1126">
          <cell r="D1126" t="str">
            <v>Palmira</v>
          </cell>
          <cell r="E1126" t="str">
            <v>CO-VAC-76520</v>
          </cell>
        </row>
        <row r="1127">
          <cell r="D1127" t="str">
            <v>Pradera</v>
          </cell>
          <cell r="E1127" t="str">
            <v>CO-VAC-76563</v>
          </cell>
        </row>
        <row r="1128">
          <cell r="D1128" t="str">
            <v>Restrepo</v>
          </cell>
          <cell r="E1128" t="str">
            <v>CO-VAC-76606</v>
          </cell>
        </row>
        <row r="1129">
          <cell r="D1129" t="str">
            <v>Riofrío</v>
          </cell>
          <cell r="E1129" t="str">
            <v>CO-VAC-76616</v>
          </cell>
        </row>
        <row r="1130">
          <cell r="D1130" t="str">
            <v>Roldanillo</v>
          </cell>
          <cell r="E1130" t="str">
            <v>CO-VAC-76622</v>
          </cell>
        </row>
        <row r="1131">
          <cell r="D1131" t="str">
            <v>San Pedro</v>
          </cell>
          <cell r="E1131" t="str">
            <v>CO-VAC-76670</v>
          </cell>
        </row>
        <row r="1132">
          <cell r="D1132" t="str">
            <v>Sevilla</v>
          </cell>
          <cell r="E1132" t="str">
            <v>CO-VAC-76736</v>
          </cell>
        </row>
        <row r="1133">
          <cell r="D1133" t="str">
            <v>Toro</v>
          </cell>
          <cell r="E1133" t="str">
            <v>CO-VAC-76823</v>
          </cell>
        </row>
        <row r="1134">
          <cell r="D1134" t="str">
            <v>Trujillo</v>
          </cell>
          <cell r="E1134" t="str">
            <v>CO-VAC-76828</v>
          </cell>
        </row>
        <row r="1135">
          <cell r="D1135" t="str">
            <v>Tuluá</v>
          </cell>
          <cell r="E1135" t="str">
            <v>CO-VAC-76834</v>
          </cell>
        </row>
        <row r="1136">
          <cell r="D1136" t="str">
            <v>Ulloa</v>
          </cell>
          <cell r="E1136" t="str">
            <v>CO-VAC-76845</v>
          </cell>
        </row>
        <row r="1137">
          <cell r="D1137" t="str">
            <v>Versalles</v>
          </cell>
          <cell r="E1137" t="str">
            <v>CO-VAC-76863</v>
          </cell>
        </row>
        <row r="1138">
          <cell r="D1138" t="str">
            <v>Vijes</v>
          </cell>
          <cell r="E1138" t="str">
            <v>CO-VAC-76869</v>
          </cell>
        </row>
        <row r="1139">
          <cell r="D1139" t="str">
            <v>Yotoco</v>
          </cell>
          <cell r="E1139" t="str">
            <v>CO-VAC-76890</v>
          </cell>
        </row>
        <row r="1140">
          <cell r="D1140" t="str">
            <v>Yumbo</v>
          </cell>
          <cell r="E1140" t="str">
            <v>CO-VAC-76892</v>
          </cell>
        </row>
        <row r="1141">
          <cell r="D1141" t="str">
            <v>Zarzal</v>
          </cell>
          <cell r="E1141" t="str">
            <v>CO-VAC-76895</v>
          </cell>
        </row>
        <row r="1142">
          <cell r="D1142" t="str">
            <v>Vaupés</v>
          </cell>
          <cell r="E1142" t="str">
            <v>CO-VAU</v>
          </cell>
        </row>
        <row r="1143">
          <cell r="D1143" t="str">
            <v>Mitú</v>
          </cell>
          <cell r="E1143" t="str">
            <v>CO-VAU-97001</v>
          </cell>
        </row>
        <row r="1144">
          <cell r="D1144" t="str">
            <v>Caruru</v>
          </cell>
          <cell r="E1144" t="str">
            <v>CO-VAU-97161</v>
          </cell>
        </row>
        <row r="1145">
          <cell r="D1145" t="str">
            <v>Pacoa</v>
          </cell>
          <cell r="E1145" t="str">
            <v>CO-VAU-97511</v>
          </cell>
        </row>
        <row r="1146">
          <cell r="D1146" t="str">
            <v>Taraira</v>
          </cell>
          <cell r="E1146" t="str">
            <v>CO-VAU-97666</v>
          </cell>
        </row>
        <row r="1147">
          <cell r="D1147" t="str">
            <v>Papunaua</v>
          </cell>
          <cell r="E1147" t="str">
            <v>CO-VAU-97777</v>
          </cell>
        </row>
        <row r="1148">
          <cell r="D1148" t="str">
            <v>Yavaraté</v>
          </cell>
          <cell r="E1148" t="str">
            <v>CO-VAU-97889</v>
          </cell>
        </row>
        <row r="1149">
          <cell r="D1149" t="str">
            <v>Vichada</v>
          </cell>
          <cell r="E1149" t="str">
            <v>CO-VID</v>
          </cell>
        </row>
        <row r="1150">
          <cell r="D1150" t="str">
            <v>Puerto Carreño</v>
          </cell>
          <cell r="E1150" t="str">
            <v>CO-VID-99001</v>
          </cell>
        </row>
        <row r="1151">
          <cell r="D1151" t="str">
            <v>La Primavera</v>
          </cell>
          <cell r="E1151" t="str">
            <v>CO-VID-99524</v>
          </cell>
        </row>
        <row r="1152">
          <cell r="D1152" t="str">
            <v>Santa Rosalía</v>
          </cell>
          <cell r="E1152" t="str">
            <v>CO-VID-99624</v>
          </cell>
        </row>
        <row r="1153">
          <cell r="D1153" t="str">
            <v>Cumaribo</v>
          </cell>
          <cell r="E1153" t="str">
            <v>CO-VID-99773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jarmando.serrano@mininterior.gov.co" TargetMode="External"/><Relationship Id="rId128" Type="http://schemas.openxmlformats.org/officeDocument/2006/relationships/hyperlink" Target="mailto:edgar.gonzalez@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sandra.contreras@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sandra.contreras@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rodolfo.vega@mininterior.gov.co" TargetMode="External"/><Relationship Id="rId54" Type="http://schemas.openxmlformats.org/officeDocument/2006/relationships/hyperlink" Target="mailto:franklin.castaneda@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alvaro.echeverry@mininterior.gov.co" TargetMode="External"/><Relationship Id="rId34" Type="http://schemas.openxmlformats.org/officeDocument/2006/relationships/hyperlink" Target="mailto:victor.moreno@mininterior.gov.co" TargetMode="External"/><Relationship Id="rId55" Type="http://schemas.openxmlformats.org/officeDocument/2006/relationships/hyperlink" Target="mailto:diana.vivas@mininterior.gov.co" TargetMode="External"/><Relationship Id="rId76" Type="http://schemas.openxmlformats.org/officeDocument/2006/relationships/hyperlink" Target="mailto:edgar.gonzalez@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62" Type="http://schemas.openxmlformats.org/officeDocument/2006/relationships/hyperlink" Target="mailto:edgar.gonzalez@mininterior.gov.co" TargetMode="External"/><Relationship Id="rId183"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39" Type="http://schemas.openxmlformats.org/officeDocument/2006/relationships/hyperlink" Target="mailto:rodolfo.vega@mininterior.gov.co" TargetMode="External"/><Relationship Id="rId250" Type="http://schemas.openxmlformats.org/officeDocument/2006/relationships/hyperlink" Target="mailto:rodolfo.vega@mininterior.gov.co" TargetMode="External"/><Relationship Id="rId271"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24" Type="http://schemas.openxmlformats.org/officeDocument/2006/relationships/hyperlink" Target="mailto:victor.moreno@mininterior.gov.co" TargetMode="External"/><Relationship Id="rId45" Type="http://schemas.openxmlformats.org/officeDocument/2006/relationships/hyperlink" Target="mailto:franklin.castaneda@mininterior.gov.co" TargetMode="External"/><Relationship Id="rId66" Type="http://schemas.openxmlformats.org/officeDocument/2006/relationships/hyperlink" Target="mailto:yuly.manosalv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131" Type="http://schemas.openxmlformats.org/officeDocument/2006/relationships/hyperlink" Target="mailto:edgar.gonzalez@mininterior.gov.co" TargetMode="External"/><Relationship Id="rId152" Type="http://schemas.openxmlformats.org/officeDocument/2006/relationships/hyperlink" Target="mailto:edgar.gonzalez@mininterior.gov.co" TargetMode="External"/><Relationship Id="rId173"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sandra.contreras@mininterior.gov.co" TargetMode="External"/><Relationship Id="rId229" Type="http://schemas.openxmlformats.org/officeDocument/2006/relationships/hyperlink" Target="mailto:rodolfo.vega@mininterior.gov.co" TargetMode="External"/><Relationship Id="rId240" Type="http://schemas.openxmlformats.org/officeDocument/2006/relationships/hyperlink" Target="mailto:rodolfo.vega@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35"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victor.moreno@mininterior.gov.co" TargetMode="External"/><Relationship Id="rId317" Type="http://schemas.openxmlformats.org/officeDocument/2006/relationships/hyperlink" Target="mailto:diana.vivas@mininterior.gov.co" TargetMode="External"/><Relationship Id="rId8" Type="http://schemas.openxmlformats.org/officeDocument/2006/relationships/hyperlink" Target="mailto:victor.moreno@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42"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230" Type="http://schemas.openxmlformats.org/officeDocument/2006/relationships/hyperlink" Target="mailto:rodolfo.vega@mininterior.gov.co" TargetMode="External"/><Relationship Id="rId251"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46" Type="http://schemas.openxmlformats.org/officeDocument/2006/relationships/hyperlink" Target="mailto:franklin.castaneda@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rodolfo.veg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32"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sandra.contreras@mininterior.gov.co" TargetMode="External"/><Relationship Id="rId220" Type="http://schemas.openxmlformats.org/officeDocument/2006/relationships/hyperlink" Target="mailto:rodolfo.vega@mininterior.gov.co" TargetMode="External"/><Relationship Id="rId241"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36"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283" Type="http://schemas.openxmlformats.org/officeDocument/2006/relationships/hyperlink" Target="mailto:sandra.contreras@mininterior.gov.co" TargetMode="External"/><Relationship Id="rId318" Type="http://schemas.openxmlformats.org/officeDocument/2006/relationships/hyperlink" Target="mailto:german.carlosama@mininterior.gov.co" TargetMode="External"/><Relationship Id="rId78" Type="http://schemas.openxmlformats.org/officeDocument/2006/relationships/hyperlink" Target="mailto:edgar.gonzalez@mininterior.gov.co" TargetMode="External"/><Relationship Id="rId99"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sandra.contreras@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52" Type="http://schemas.openxmlformats.org/officeDocument/2006/relationships/hyperlink" Target="mailto:rodolfo.vega@mininterior.gov.co" TargetMode="External"/><Relationship Id="rId273" Type="http://schemas.openxmlformats.org/officeDocument/2006/relationships/hyperlink" Target="mailto:yuly.manosalv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47" Type="http://schemas.openxmlformats.org/officeDocument/2006/relationships/hyperlink" Target="mailto:franklin.castaneda@mininterior.gov.co" TargetMode="External"/><Relationship Id="rId68" Type="http://schemas.openxmlformats.org/officeDocument/2006/relationships/hyperlink" Target="mailto:yuly.manosalv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33"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196" Type="http://schemas.openxmlformats.org/officeDocument/2006/relationships/hyperlink" Target="mailto:edgar.gonzalez@mininterior.gov.co" TargetMode="External"/><Relationship Id="rId200" Type="http://schemas.openxmlformats.org/officeDocument/2006/relationships/hyperlink" Target="mailto:esperanza.moreno@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42"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284" Type="http://schemas.openxmlformats.org/officeDocument/2006/relationships/hyperlink" Target="mailto:sandra.contreras@mininterior.gov.co" TargetMode="External"/><Relationship Id="rId319" Type="http://schemas.openxmlformats.org/officeDocument/2006/relationships/hyperlink" Target="mailto:amelia.cotes@mininterior.gov.co" TargetMode="External"/><Relationship Id="rId37" Type="http://schemas.openxmlformats.org/officeDocument/2006/relationships/hyperlink" Target="mailto:esperanza.moreno@mininterior.gov.co" TargetMode="External"/><Relationship Id="rId58" Type="http://schemas.openxmlformats.org/officeDocument/2006/relationships/hyperlink" Target="mailto:diana.vivas@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211" Type="http://schemas.openxmlformats.org/officeDocument/2006/relationships/hyperlink" Target="mailto:sandra.contreras@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74" Type="http://schemas.openxmlformats.org/officeDocument/2006/relationships/hyperlink" Target="mailto:yuly.manosalv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franklin.castaneda@mininterior.gov.co" TargetMode="External"/><Relationship Id="rId69" Type="http://schemas.openxmlformats.org/officeDocument/2006/relationships/hyperlink" Target="mailto:yuly.manosalva@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printerSettings" Target="../printerSettings/printerSettings2.bin"/><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197" Type="http://schemas.openxmlformats.org/officeDocument/2006/relationships/hyperlink" Target="mailto:sonia.bernal@mininterior.gov.co" TargetMode="External"/><Relationship Id="rId201" Type="http://schemas.openxmlformats.org/officeDocument/2006/relationships/hyperlink" Target="mailto:esperanza.moreno@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esperanza.moreno@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sonia.bernal@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edgar.gonzalez@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drawing" Target="../drawings/drawing2.xml"/><Relationship Id="rId202" Type="http://schemas.openxmlformats.org/officeDocument/2006/relationships/hyperlink" Target="mailto:esperanza.moreno@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alvaro.echeverry@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rodolfo.vega@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sandra.contreras@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victor.moreno@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rodolfo.vega@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amelia.cotes@mininterior.gov.co" TargetMode="External"/><Relationship Id="rId298" Type="http://schemas.openxmlformats.org/officeDocument/2006/relationships/hyperlink" Target="mailto:rodolfo.vega@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diana.vivas@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sandra.contreras@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victor.moreno@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rodolfo.vega@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yuly.manosalva@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diana.vivas@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sandra.contreras@mininterior.gov.co" TargetMode="External"/><Relationship Id="rId247" Type="http://schemas.openxmlformats.org/officeDocument/2006/relationships/hyperlink" Target="mailto:rodolfo.veg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franklin.castaned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rodolfo.veg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edgar.gonzalez@mininterior.gov.co" TargetMode="External"/><Relationship Id="rId75" Type="http://schemas.openxmlformats.org/officeDocument/2006/relationships/hyperlink" Target="mailto:yamel.rui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44" Type="http://schemas.openxmlformats.org/officeDocument/2006/relationships/hyperlink" Target="mailto:german.carlosam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sandra.contreras@mininterior.gov.co" TargetMode="External"/><Relationship Id="rId249" Type="http://schemas.openxmlformats.org/officeDocument/2006/relationships/hyperlink" Target="mailto:rodolfo.veg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edgar.gonzalez@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8" workbookViewId="0">
      <selection activeCell="C14" sqref="C14"/>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274" t="s">
        <v>217</v>
      </c>
      <c r="C1" s="275"/>
      <c r="D1" s="275"/>
      <c r="E1" s="275"/>
      <c r="F1" s="275"/>
      <c r="G1" s="275"/>
      <c r="H1" s="275"/>
      <c r="I1" s="276"/>
    </row>
    <row r="2" spans="1:9" s="7" customFormat="1" ht="16.5" thickBot="1" x14ac:dyDescent="0.3">
      <c r="A2" s="6"/>
      <c r="B2" s="277" t="s">
        <v>0</v>
      </c>
      <c r="C2" s="277"/>
      <c r="D2" s="277"/>
      <c r="E2" s="277"/>
      <c r="F2" s="277"/>
      <c r="G2" s="277"/>
      <c r="H2" s="277"/>
      <c r="I2" s="277"/>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278"/>
      <c r="H7" s="278"/>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279" t="s">
        <v>15</v>
      </c>
      <c r="E9" s="280"/>
      <c r="F9" s="280"/>
      <c r="G9" s="280"/>
      <c r="H9" s="280"/>
      <c r="I9" s="281"/>
    </row>
    <row r="10" spans="1:9" s="7" customFormat="1" ht="31.5" x14ac:dyDescent="0.2">
      <c r="A10" s="6"/>
      <c r="B10" s="96" t="s">
        <v>16</v>
      </c>
      <c r="C10" s="89" t="s">
        <v>631</v>
      </c>
      <c r="D10" s="282"/>
      <c r="E10" s="283"/>
      <c r="F10" s="283"/>
      <c r="G10" s="283"/>
      <c r="H10" s="283"/>
      <c r="I10" s="284"/>
    </row>
    <row r="11" spans="1:9" s="7" customFormat="1" ht="31.5" x14ac:dyDescent="0.2">
      <c r="A11" s="6"/>
      <c r="B11" s="96" t="s">
        <v>17</v>
      </c>
      <c r="C11" s="89" t="s">
        <v>623</v>
      </c>
      <c r="D11" s="282"/>
      <c r="E11" s="283"/>
      <c r="F11" s="283"/>
      <c r="G11" s="283"/>
      <c r="H11" s="283"/>
      <c r="I11" s="284"/>
    </row>
    <row r="12" spans="1:9" s="7" customFormat="1" ht="32.25" thickBot="1" x14ac:dyDescent="0.25">
      <c r="A12" s="6"/>
      <c r="B12" s="100" t="s">
        <v>18</v>
      </c>
      <c r="C12" s="91">
        <v>45365</v>
      </c>
      <c r="D12" s="285"/>
      <c r="E12" s="286"/>
      <c r="F12" s="286"/>
      <c r="G12" s="286"/>
      <c r="H12" s="286"/>
      <c r="I12" s="287"/>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747"/>
  <sheetViews>
    <sheetView tabSelected="1" topLeftCell="V1" zoomScaleNormal="100" workbookViewId="0">
      <pane ySplit="6" topLeftCell="A717" activePane="bottomLeft" state="frozen"/>
      <selection pane="bottomLeft" activeCell="Z725" sqref="Z725"/>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5.28515625" style="123" customWidth="1"/>
    <col min="5" max="5" width="23.28515625" style="124" customWidth="1"/>
    <col min="6" max="6" width="18.28515625" style="124" bestFit="1" customWidth="1"/>
    <col min="7" max="7" width="23.140625" style="124" customWidth="1"/>
    <col min="8" max="8" width="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bestFit="1"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221</v>
      </c>
      <c r="N4" s="111"/>
      <c r="O4" s="113" t="s">
        <v>221</v>
      </c>
      <c r="P4" s="113" t="s">
        <v>221</v>
      </c>
      <c r="Q4" s="114" t="s">
        <v>221</v>
      </c>
      <c r="R4" s="114" t="s">
        <v>221</v>
      </c>
      <c r="S4" s="111"/>
      <c r="T4" s="111" t="s">
        <v>221</v>
      </c>
      <c r="U4" s="113" t="s">
        <v>221</v>
      </c>
      <c r="V4" s="111" t="s">
        <v>221</v>
      </c>
      <c r="W4" s="113" t="s">
        <v>221</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296" t="s">
        <v>19</v>
      </c>
      <c r="B5" s="296" t="s">
        <v>20</v>
      </c>
      <c r="C5" s="296" t="s">
        <v>183</v>
      </c>
      <c r="D5" s="296" t="s">
        <v>184</v>
      </c>
      <c r="E5" s="298" t="s">
        <v>185</v>
      </c>
      <c r="F5" s="299"/>
      <c r="G5" s="300"/>
      <c r="H5" s="301" t="s">
        <v>186</v>
      </c>
      <c r="I5" s="303" t="s">
        <v>187</v>
      </c>
      <c r="J5" s="290" t="s">
        <v>21</v>
      </c>
      <c r="K5" s="290" t="s">
        <v>22</v>
      </c>
      <c r="L5" s="290" t="s">
        <v>23</v>
      </c>
      <c r="M5" s="290" t="s">
        <v>24</v>
      </c>
      <c r="N5" s="290" t="s">
        <v>188</v>
      </c>
      <c r="O5" s="290" t="s">
        <v>25</v>
      </c>
      <c r="P5" s="290" t="s">
        <v>26</v>
      </c>
      <c r="Q5" s="292" t="s">
        <v>189</v>
      </c>
      <c r="R5" s="292" t="s">
        <v>190</v>
      </c>
      <c r="S5" s="290" t="s">
        <v>27</v>
      </c>
      <c r="T5" s="290" t="s">
        <v>28</v>
      </c>
      <c r="U5" s="290" t="s">
        <v>191</v>
      </c>
      <c r="V5" s="290" t="s">
        <v>193</v>
      </c>
      <c r="W5" s="290" t="s">
        <v>192</v>
      </c>
      <c r="X5" s="290" t="s">
        <v>194</v>
      </c>
      <c r="Y5" s="294" t="s">
        <v>195</v>
      </c>
      <c r="Z5" s="288" t="s">
        <v>196</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x14ac:dyDescent="0.2">
      <c r="A6" s="297"/>
      <c r="B6" s="297"/>
      <c r="C6" s="297"/>
      <c r="D6" s="297"/>
      <c r="E6" s="119" t="s">
        <v>218</v>
      </c>
      <c r="F6" s="120" t="s">
        <v>219</v>
      </c>
      <c r="G6" s="120" t="s">
        <v>220</v>
      </c>
      <c r="H6" s="302"/>
      <c r="I6" s="304"/>
      <c r="J6" s="291"/>
      <c r="K6" s="291"/>
      <c r="L6" s="291"/>
      <c r="M6" s="291"/>
      <c r="N6" s="291"/>
      <c r="O6" s="291"/>
      <c r="P6" s="291"/>
      <c r="Q6" s="293"/>
      <c r="R6" s="293"/>
      <c r="S6" s="291"/>
      <c r="T6" s="291"/>
      <c r="U6" s="291"/>
      <c r="V6" s="291"/>
      <c r="W6" s="291"/>
      <c r="X6" s="291"/>
      <c r="Y6" s="295"/>
      <c r="Z6" s="289"/>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31" t="s">
        <v>32</v>
      </c>
      <c r="B7" s="132">
        <v>1</v>
      </c>
      <c r="C7" s="133" t="s">
        <v>33</v>
      </c>
      <c r="D7" s="133" t="s">
        <v>34</v>
      </c>
      <c r="E7" s="134"/>
      <c r="F7" s="134">
        <v>1337212800</v>
      </c>
      <c r="G7" s="134"/>
      <c r="H7" s="135">
        <v>80111600</v>
      </c>
      <c r="I7" s="136" t="s">
        <v>848</v>
      </c>
      <c r="J7" s="137">
        <v>1</v>
      </c>
      <c r="K7" s="138">
        <v>1</v>
      </c>
      <c r="L7" s="139">
        <v>12</v>
      </c>
      <c r="M7" s="132">
        <f t="shared" ref="M7:M79" si="0">IF(ISBLANK(J7),"",1)</f>
        <v>1</v>
      </c>
      <c r="N7" s="140" t="s">
        <v>216</v>
      </c>
      <c r="O7" s="141" t="str">
        <f>IF(ISBLANK(N7),"",VLOOKUP(N7,[1]Parámetros!$G$2:$H$23,2,FALSE))</f>
        <v>Contratación directa.</v>
      </c>
      <c r="P7" s="142">
        <f t="shared" ref="P7:P38" si="1">IF(ISBLANK(N7),"",1)</f>
        <v>1</v>
      </c>
      <c r="Q7" s="143">
        <f t="shared" ref="Q7:Q79" si="2">+E7+F7+G7</f>
        <v>1337212800</v>
      </c>
      <c r="R7" s="143">
        <f t="shared" ref="R7:R79" si="3">+F7</f>
        <v>1337212800</v>
      </c>
      <c r="S7" s="144" t="s">
        <v>222</v>
      </c>
      <c r="T7" s="140">
        <f t="shared" ref="T7:T38" si="4">IF(ISBLANK(S7),"",IF(VALUE(S7)=0,0,IF(VALUE(S7)=1,3,"")))</f>
        <v>0</v>
      </c>
      <c r="U7" s="145" t="str">
        <f t="shared" ref="U7:U79" si="5">IF(ISBLANK(N7),"","SUBDIRECCION DE GESTION CONTRACTUAL")</f>
        <v>SUBDIRECCION DE GESTION CONTRACTUAL</v>
      </c>
      <c r="V7" s="132" t="str">
        <f t="shared" ref="V7:V38" si="6">IF(ISBLANK(N7),"","CO-DC")</f>
        <v>CO-DC</v>
      </c>
      <c r="W7" s="145" t="str">
        <f t="shared" ref="W7:W38" si="7">IF(ISBLANK(N7),"","Distrito Capital de Bogotá")</f>
        <v>Distrito Capital de Bogotá</v>
      </c>
      <c r="X7" s="146" t="s">
        <v>40</v>
      </c>
      <c r="Y7" s="147">
        <v>2427400</v>
      </c>
      <c r="Z7" s="148" t="s">
        <v>41</v>
      </c>
    </row>
    <row r="8" spans="1:46" s="7" customFormat="1" ht="12.75" customHeight="1" x14ac:dyDescent="0.2">
      <c r="A8" s="131" t="s">
        <v>32</v>
      </c>
      <c r="B8" s="132">
        <v>2</v>
      </c>
      <c r="C8" s="133" t="s">
        <v>33</v>
      </c>
      <c r="D8" s="133" t="s">
        <v>34</v>
      </c>
      <c r="E8" s="134"/>
      <c r="F8" s="134">
        <v>1150688000</v>
      </c>
      <c r="G8" s="134"/>
      <c r="H8" s="135">
        <v>80111600</v>
      </c>
      <c r="I8" s="136" t="s">
        <v>848</v>
      </c>
      <c r="J8" s="137">
        <v>1</v>
      </c>
      <c r="K8" s="138">
        <v>1</v>
      </c>
      <c r="L8" s="139">
        <v>12</v>
      </c>
      <c r="M8" s="132">
        <f t="shared" si="0"/>
        <v>1</v>
      </c>
      <c r="N8" s="140" t="s">
        <v>216</v>
      </c>
      <c r="O8" s="141" t="str">
        <f>IF(ISBLANK(N8),"",VLOOKUP(N8,[1]Parámetros!$G$2:$H$23,2,FALSE))</f>
        <v>Contratación directa.</v>
      </c>
      <c r="P8" s="142">
        <f t="shared" si="1"/>
        <v>1</v>
      </c>
      <c r="Q8" s="143">
        <f t="shared" si="2"/>
        <v>1150688000</v>
      </c>
      <c r="R8" s="143">
        <f t="shared" si="3"/>
        <v>1150688000</v>
      </c>
      <c r="S8" s="144" t="s">
        <v>222</v>
      </c>
      <c r="T8" s="140">
        <f t="shared" si="4"/>
        <v>0</v>
      </c>
      <c r="U8" s="145" t="str">
        <f t="shared" si="5"/>
        <v>SUBDIRECCION DE GESTION CONTRACTUAL</v>
      </c>
      <c r="V8" s="132" t="str">
        <f t="shared" si="6"/>
        <v>CO-DC</v>
      </c>
      <c r="W8" s="145" t="str">
        <f t="shared" si="7"/>
        <v>Distrito Capital de Bogotá</v>
      </c>
      <c r="X8" s="146" t="s">
        <v>40</v>
      </c>
      <c r="Y8" s="132">
        <v>2427381</v>
      </c>
      <c r="Z8" s="148" t="s">
        <v>41</v>
      </c>
    </row>
    <row r="9" spans="1:46" s="7" customFormat="1" ht="12.75" customHeight="1" x14ac:dyDescent="0.2">
      <c r="A9" s="131" t="s">
        <v>32</v>
      </c>
      <c r="B9" s="132">
        <v>3</v>
      </c>
      <c r="C9" s="133" t="s">
        <v>33</v>
      </c>
      <c r="D9" s="133" t="s">
        <v>34</v>
      </c>
      <c r="E9" s="134"/>
      <c r="F9" s="134">
        <v>136434513</v>
      </c>
      <c r="G9" s="134"/>
      <c r="H9" s="135" t="s">
        <v>42</v>
      </c>
      <c r="I9" s="136" t="s">
        <v>587</v>
      </c>
      <c r="J9" s="137">
        <v>3</v>
      </c>
      <c r="K9" s="138">
        <v>4</v>
      </c>
      <c r="L9" s="139">
        <v>9</v>
      </c>
      <c r="M9" s="132">
        <f t="shared" si="0"/>
        <v>1</v>
      </c>
      <c r="N9" s="140" t="s">
        <v>61</v>
      </c>
      <c r="O9" s="141" t="str">
        <f>IF(ISBLANK(N9),"",VLOOKUP(N9,[1]Parámetros!$G$2:$H$23,2,FALSE))</f>
        <v>Contratación régimen especial - Selección de comisionista</v>
      </c>
      <c r="P9" s="142">
        <f t="shared" si="1"/>
        <v>1</v>
      </c>
      <c r="Q9" s="143">
        <f t="shared" si="2"/>
        <v>136434513</v>
      </c>
      <c r="R9" s="143">
        <f t="shared" si="3"/>
        <v>136434513</v>
      </c>
      <c r="S9" s="144" t="s">
        <v>222</v>
      </c>
      <c r="T9" s="140">
        <f t="shared" si="4"/>
        <v>0</v>
      </c>
      <c r="U9" s="145" t="str">
        <f t="shared" si="5"/>
        <v>SUBDIRECCION DE GESTION CONTRACTUAL</v>
      </c>
      <c r="V9" s="132" t="str">
        <f t="shared" si="6"/>
        <v>CO-DC</v>
      </c>
      <c r="W9" s="145" t="str">
        <f t="shared" si="7"/>
        <v>Distrito Capital de Bogotá</v>
      </c>
      <c r="X9" s="146" t="s">
        <v>40</v>
      </c>
      <c r="Y9" s="132">
        <v>2427382</v>
      </c>
      <c r="Z9" s="148" t="s">
        <v>41</v>
      </c>
    </row>
    <row r="10" spans="1:46" s="7" customFormat="1" ht="12.75" customHeight="1" x14ac:dyDescent="0.2">
      <c r="A10" s="131" t="s">
        <v>32</v>
      </c>
      <c r="B10" s="132">
        <v>4</v>
      </c>
      <c r="C10" s="133" t="s">
        <v>33</v>
      </c>
      <c r="D10" s="133" t="s">
        <v>34</v>
      </c>
      <c r="E10" s="134"/>
      <c r="F10" s="134">
        <v>1200000000</v>
      </c>
      <c r="G10" s="134"/>
      <c r="H10" s="135" t="s">
        <v>223</v>
      </c>
      <c r="I10" s="136" t="s">
        <v>849</v>
      </c>
      <c r="J10" s="137">
        <v>3</v>
      </c>
      <c r="K10" s="138">
        <v>4</v>
      </c>
      <c r="L10" s="139">
        <v>6</v>
      </c>
      <c r="M10" s="132">
        <f t="shared" si="0"/>
        <v>1</v>
      </c>
      <c r="N10" s="140" t="s">
        <v>36</v>
      </c>
      <c r="O10" s="141" t="str">
        <f>IF(ISBLANK(N10),"",VLOOKUP(N10,[1]Parámetros!$G$2:$H$23,2,FALSE))</f>
        <v xml:space="preserve">Contratación directa (con ofertas) </v>
      </c>
      <c r="P10" s="142">
        <f t="shared" si="1"/>
        <v>1</v>
      </c>
      <c r="Q10" s="143">
        <f t="shared" si="2"/>
        <v>1200000000</v>
      </c>
      <c r="R10" s="143">
        <f t="shared" si="3"/>
        <v>1200000000</v>
      </c>
      <c r="S10" s="144" t="s">
        <v>222</v>
      </c>
      <c r="T10" s="140">
        <f t="shared" si="4"/>
        <v>0</v>
      </c>
      <c r="U10" s="145" t="str">
        <f t="shared" si="5"/>
        <v>SUBDIRECCION DE GESTION CONTRACTUAL</v>
      </c>
      <c r="V10" s="132" t="str">
        <f t="shared" si="6"/>
        <v>CO-DC</v>
      </c>
      <c r="W10" s="145" t="str">
        <f t="shared" si="7"/>
        <v>Distrito Capital de Bogotá</v>
      </c>
      <c r="X10" s="146" t="s">
        <v>40</v>
      </c>
      <c r="Y10" s="132">
        <v>2427383</v>
      </c>
      <c r="Z10" s="148" t="s">
        <v>41</v>
      </c>
    </row>
    <row r="11" spans="1:46" s="7" customFormat="1" ht="12.75" customHeight="1" x14ac:dyDescent="0.2">
      <c r="A11" s="131" t="s">
        <v>32</v>
      </c>
      <c r="B11" s="132">
        <v>5</v>
      </c>
      <c r="C11" s="133" t="s">
        <v>45</v>
      </c>
      <c r="D11" s="133" t="s">
        <v>34</v>
      </c>
      <c r="E11" s="134"/>
      <c r="F11" s="134">
        <v>2584736000</v>
      </c>
      <c r="G11" s="134"/>
      <c r="H11" s="135">
        <v>80111600</v>
      </c>
      <c r="I11" s="136" t="s">
        <v>848</v>
      </c>
      <c r="J11" s="137">
        <v>1</v>
      </c>
      <c r="K11" s="138">
        <v>1</v>
      </c>
      <c r="L11" s="139">
        <v>12</v>
      </c>
      <c r="M11" s="132">
        <f t="shared" si="0"/>
        <v>1</v>
      </c>
      <c r="N11" s="140" t="s">
        <v>216</v>
      </c>
      <c r="O11" s="141" t="str">
        <f>IF(ISBLANK(N11),"",VLOOKUP(N11,[1]Parámetros!$G$2:$H$23,2,FALSE))</f>
        <v>Contratación directa.</v>
      </c>
      <c r="P11" s="142">
        <f t="shared" si="1"/>
        <v>1</v>
      </c>
      <c r="Q11" s="143">
        <f t="shared" si="2"/>
        <v>2584736000</v>
      </c>
      <c r="R11" s="143">
        <f t="shared" si="3"/>
        <v>2584736000</v>
      </c>
      <c r="S11" s="144" t="s">
        <v>222</v>
      </c>
      <c r="T11" s="140">
        <f t="shared" si="4"/>
        <v>0</v>
      </c>
      <c r="U11" s="145" t="str">
        <f t="shared" si="5"/>
        <v>SUBDIRECCION DE GESTION CONTRACTUAL</v>
      </c>
      <c r="V11" s="132" t="str">
        <f t="shared" si="6"/>
        <v>CO-DC</v>
      </c>
      <c r="W11" s="145" t="str">
        <f t="shared" si="7"/>
        <v>Distrito Capital de Bogotá</v>
      </c>
      <c r="X11" s="146" t="s">
        <v>40</v>
      </c>
      <c r="Y11" s="132">
        <v>2427384</v>
      </c>
      <c r="Z11" s="148" t="s">
        <v>41</v>
      </c>
    </row>
    <row r="12" spans="1:46" s="7" customFormat="1" ht="12.75" customHeight="1" x14ac:dyDescent="0.2">
      <c r="A12" s="131" t="s">
        <v>32</v>
      </c>
      <c r="B12" s="132">
        <v>6</v>
      </c>
      <c r="C12" s="133" t="s">
        <v>45</v>
      </c>
      <c r="D12" s="133" t="s">
        <v>34</v>
      </c>
      <c r="E12" s="134"/>
      <c r="F12" s="134">
        <v>2277330194</v>
      </c>
      <c r="G12" s="134"/>
      <c r="H12" s="135">
        <v>80111600</v>
      </c>
      <c r="I12" s="136" t="s">
        <v>848</v>
      </c>
      <c r="J12" s="137">
        <v>1</v>
      </c>
      <c r="K12" s="138">
        <v>1</v>
      </c>
      <c r="L12" s="139">
        <v>12</v>
      </c>
      <c r="M12" s="132">
        <f t="shared" si="0"/>
        <v>1</v>
      </c>
      <c r="N12" s="140" t="s">
        <v>216</v>
      </c>
      <c r="O12" s="141" t="str">
        <f>IF(ISBLANK(N12),"",VLOOKUP(N12,[1]Parámetros!$G$2:$H$23,2,FALSE))</f>
        <v>Contratación directa.</v>
      </c>
      <c r="P12" s="142">
        <f t="shared" si="1"/>
        <v>1</v>
      </c>
      <c r="Q12" s="143">
        <f t="shared" si="2"/>
        <v>2277330194</v>
      </c>
      <c r="R12" s="143">
        <f t="shared" si="3"/>
        <v>2277330194</v>
      </c>
      <c r="S12" s="144" t="s">
        <v>222</v>
      </c>
      <c r="T12" s="140">
        <f t="shared" si="4"/>
        <v>0</v>
      </c>
      <c r="U12" s="145" t="str">
        <f t="shared" si="5"/>
        <v>SUBDIRECCION DE GESTION CONTRACTUAL</v>
      </c>
      <c r="V12" s="132" t="str">
        <f t="shared" si="6"/>
        <v>CO-DC</v>
      </c>
      <c r="W12" s="145" t="str">
        <f t="shared" si="7"/>
        <v>Distrito Capital de Bogotá</v>
      </c>
      <c r="X12" s="146" t="s">
        <v>40</v>
      </c>
      <c r="Y12" s="132">
        <v>2427385</v>
      </c>
      <c r="Z12" s="148" t="s">
        <v>41</v>
      </c>
    </row>
    <row r="13" spans="1:46" s="7" customFormat="1" ht="12.75" customHeight="1" x14ac:dyDescent="0.2">
      <c r="A13" s="131" t="s">
        <v>32</v>
      </c>
      <c r="B13" s="132">
        <v>7</v>
      </c>
      <c r="C13" s="133" t="s">
        <v>45</v>
      </c>
      <c r="D13" s="133" t="s">
        <v>34</v>
      </c>
      <c r="E13" s="134"/>
      <c r="F13" s="134">
        <v>586432000</v>
      </c>
      <c r="G13" s="134"/>
      <c r="H13" s="135">
        <v>80111600</v>
      </c>
      <c r="I13" s="136" t="s">
        <v>848</v>
      </c>
      <c r="J13" s="137">
        <v>1</v>
      </c>
      <c r="K13" s="138">
        <v>1</v>
      </c>
      <c r="L13" s="139">
        <v>12</v>
      </c>
      <c r="M13" s="132">
        <f t="shared" si="0"/>
        <v>1</v>
      </c>
      <c r="N13" s="140" t="s">
        <v>216</v>
      </c>
      <c r="O13" s="141" t="str">
        <f>IF(ISBLANK(N13),"",VLOOKUP(N13,[1]Parámetros!$G$2:$H$23,2,FALSE))</f>
        <v>Contratación directa.</v>
      </c>
      <c r="P13" s="142">
        <f t="shared" si="1"/>
        <v>1</v>
      </c>
      <c r="Q13" s="143">
        <f t="shared" si="2"/>
        <v>586432000</v>
      </c>
      <c r="R13" s="143">
        <f t="shared" si="3"/>
        <v>586432000</v>
      </c>
      <c r="S13" s="144" t="s">
        <v>222</v>
      </c>
      <c r="T13" s="140">
        <f t="shared" si="4"/>
        <v>0</v>
      </c>
      <c r="U13" s="145" t="str">
        <f t="shared" si="5"/>
        <v>SUBDIRECCION DE GESTION CONTRACTUAL</v>
      </c>
      <c r="V13" s="132" t="str">
        <f t="shared" si="6"/>
        <v>CO-DC</v>
      </c>
      <c r="W13" s="145" t="str">
        <f t="shared" si="7"/>
        <v>Distrito Capital de Bogotá</v>
      </c>
      <c r="X13" s="146" t="s">
        <v>40</v>
      </c>
      <c r="Y13" s="132">
        <v>2427386</v>
      </c>
      <c r="Z13" s="148" t="s">
        <v>41</v>
      </c>
    </row>
    <row r="14" spans="1:46" s="7" customFormat="1" ht="12.75" customHeight="1" x14ac:dyDescent="0.2">
      <c r="A14" s="131" t="s">
        <v>32</v>
      </c>
      <c r="B14" s="132">
        <v>8</v>
      </c>
      <c r="C14" s="133" t="s">
        <v>45</v>
      </c>
      <c r="D14" s="133" t="s">
        <v>34</v>
      </c>
      <c r="E14" s="134">
        <v>371842677</v>
      </c>
      <c r="F14" s="134">
        <f>1778365240+1363958</f>
        <v>1779729198</v>
      </c>
      <c r="G14" s="134"/>
      <c r="H14" s="135" t="s">
        <v>42</v>
      </c>
      <c r="I14" s="136" t="s">
        <v>587</v>
      </c>
      <c r="J14" s="137">
        <v>3</v>
      </c>
      <c r="K14" s="138">
        <v>4</v>
      </c>
      <c r="L14" s="139">
        <v>9</v>
      </c>
      <c r="M14" s="132">
        <f t="shared" si="0"/>
        <v>1</v>
      </c>
      <c r="N14" s="140" t="s">
        <v>61</v>
      </c>
      <c r="O14" s="141" t="str">
        <f>IF(ISBLANK(N14),"",VLOOKUP(N14,[1]Parámetros!$G$2:$H$23,2,FALSE))</f>
        <v>Contratación régimen especial - Selección de comisionista</v>
      </c>
      <c r="P14" s="142">
        <f t="shared" si="1"/>
        <v>1</v>
      </c>
      <c r="Q14" s="143">
        <f t="shared" si="2"/>
        <v>2151571875</v>
      </c>
      <c r="R14" s="143">
        <f t="shared" si="3"/>
        <v>1779729198</v>
      </c>
      <c r="S14" s="144" t="s">
        <v>222</v>
      </c>
      <c r="T14" s="140">
        <f t="shared" si="4"/>
        <v>0</v>
      </c>
      <c r="U14" s="145" t="str">
        <f t="shared" si="5"/>
        <v>SUBDIRECCION DE GESTION CONTRACTUAL</v>
      </c>
      <c r="V14" s="132" t="str">
        <f t="shared" si="6"/>
        <v>CO-DC</v>
      </c>
      <c r="W14" s="145" t="str">
        <f t="shared" si="7"/>
        <v>Distrito Capital de Bogotá</v>
      </c>
      <c r="X14" s="146" t="s">
        <v>40</v>
      </c>
      <c r="Y14" s="132">
        <v>2427387</v>
      </c>
      <c r="Z14" s="148" t="s">
        <v>41</v>
      </c>
    </row>
    <row r="15" spans="1:46" s="7" customFormat="1" ht="12.75" customHeight="1" x14ac:dyDescent="0.2">
      <c r="A15" s="131" t="s">
        <v>32</v>
      </c>
      <c r="B15" s="132">
        <v>9</v>
      </c>
      <c r="C15" s="133" t="s">
        <v>45</v>
      </c>
      <c r="D15" s="133" t="s">
        <v>34</v>
      </c>
      <c r="E15" s="134"/>
      <c r="F15" s="134">
        <v>600000000</v>
      </c>
      <c r="G15" s="134"/>
      <c r="H15" s="135" t="s">
        <v>223</v>
      </c>
      <c r="I15" s="136" t="s">
        <v>849</v>
      </c>
      <c r="J15" s="257">
        <v>3</v>
      </c>
      <c r="K15" s="257">
        <v>4</v>
      </c>
      <c r="L15" s="149">
        <v>6</v>
      </c>
      <c r="M15" s="132">
        <f t="shared" si="0"/>
        <v>1</v>
      </c>
      <c r="N15" s="140" t="s">
        <v>36</v>
      </c>
      <c r="O15" s="141" t="str">
        <f>IF(ISBLANK(N15),"",VLOOKUP(N15,[1]Parámetros!$G$2:$H$23,2,FALSE))</f>
        <v xml:space="preserve">Contratación directa (con ofertas) </v>
      </c>
      <c r="P15" s="142">
        <f t="shared" si="1"/>
        <v>1</v>
      </c>
      <c r="Q15" s="143">
        <f t="shared" si="2"/>
        <v>600000000</v>
      </c>
      <c r="R15" s="143">
        <f t="shared" si="3"/>
        <v>600000000</v>
      </c>
      <c r="S15" s="144" t="s">
        <v>222</v>
      </c>
      <c r="T15" s="140">
        <f t="shared" si="4"/>
        <v>0</v>
      </c>
      <c r="U15" s="145" t="str">
        <f t="shared" si="5"/>
        <v>SUBDIRECCION DE GESTION CONTRACTUAL</v>
      </c>
      <c r="V15" s="132" t="str">
        <f t="shared" si="6"/>
        <v>CO-DC</v>
      </c>
      <c r="W15" s="145" t="str">
        <f t="shared" si="7"/>
        <v>Distrito Capital de Bogotá</v>
      </c>
      <c r="X15" s="146" t="s">
        <v>40</v>
      </c>
      <c r="Y15" s="132">
        <v>2427388</v>
      </c>
      <c r="Z15" s="148" t="s">
        <v>41</v>
      </c>
    </row>
    <row r="16" spans="1:46" s="7" customFormat="1" ht="12.75" customHeight="1" x14ac:dyDescent="0.2">
      <c r="A16" s="131" t="s">
        <v>32</v>
      </c>
      <c r="B16" s="132">
        <v>10</v>
      </c>
      <c r="C16" s="133" t="s">
        <v>45</v>
      </c>
      <c r="D16" s="133" t="s">
        <v>34</v>
      </c>
      <c r="E16" s="134"/>
      <c r="F16" s="134">
        <f>2000000000-1200000000+1200000000</f>
        <v>2000000000</v>
      </c>
      <c r="G16" s="134"/>
      <c r="H16" s="135" t="s">
        <v>752</v>
      </c>
      <c r="I16" s="136" t="s">
        <v>858</v>
      </c>
      <c r="J16" s="150">
        <v>2</v>
      </c>
      <c r="K16" s="150">
        <v>3</v>
      </c>
      <c r="L16" s="150">
        <v>9</v>
      </c>
      <c r="M16" s="132">
        <f t="shared" si="0"/>
        <v>1</v>
      </c>
      <c r="N16" s="140" t="s">
        <v>226</v>
      </c>
      <c r="O16" s="141" t="str">
        <f>IF(ISBLANK(N16),"",VLOOKUP(N16,[1]Parámetros!$G$2:$H$23,2,FALSE))</f>
        <v>Licitación pública</v>
      </c>
      <c r="P16" s="142">
        <f t="shared" si="1"/>
        <v>1</v>
      </c>
      <c r="Q16" s="143">
        <f t="shared" si="2"/>
        <v>2000000000</v>
      </c>
      <c r="R16" s="143">
        <f t="shared" si="3"/>
        <v>2000000000</v>
      </c>
      <c r="S16" s="144" t="s">
        <v>222</v>
      </c>
      <c r="T16" s="140">
        <f t="shared" si="4"/>
        <v>0</v>
      </c>
      <c r="U16" s="145" t="str">
        <f t="shared" si="5"/>
        <v>SUBDIRECCION DE GESTION CONTRACTUAL</v>
      </c>
      <c r="V16" s="132" t="str">
        <f t="shared" si="6"/>
        <v>CO-DC</v>
      </c>
      <c r="W16" s="145" t="str">
        <f t="shared" si="7"/>
        <v>Distrito Capital de Bogotá</v>
      </c>
      <c r="X16" s="146" t="s">
        <v>40</v>
      </c>
      <c r="Y16" s="132">
        <v>2427389</v>
      </c>
      <c r="Z16" s="148" t="s">
        <v>41</v>
      </c>
    </row>
    <row r="17" spans="1:85" s="7" customFormat="1" ht="12.75" customHeight="1" x14ac:dyDescent="0.2">
      <c r="A17" s="131" t="s">
        <v>32</v>
      </c>
      <c r="B17" s="132">
        <v>11</v>
      </c>
      <c r="C17" s="133" t="s">
        <v>45</v>
      </c>
      <c r="D17" s="133" t="s">
        <v>34</v>
      </c>
      <c r="E17" s="134"/>
      <c r="F17" s="134">
        <v>700000000</v>
      </c>
      <c r="G17" s="134"/>
      <c r="H17" s="135" t="s">
        <v>103</v>
      </c>
      <c r="I17" s="136" t="s">
        <v>845</v>
      </c>
      <c r="J17" s="137">
        <v>2</v>
      </c>
      <c r="K17" s="138">
        <v>3</v>
      </c>
      <c r="L17" s="139">
        <v>10</v>
      </c>
      <c r="M17" s="132">
        <f t="shared" si="0"/>
        <v>1</v>
      </c>
      <c r="N17" s="140" t="s">
        <v>36</v>
      </c>
      <c r="O17" s="141" t="str">
        <f>IF(ISBLANK(N17),"",VLOOKUP(N17,[1]Parámetros!$G$2:$H$23,2,FALSE))</f>
        <v xml:space="preserve">Contratación directa (con ofertas) </v>
      </c>
      <c r="P17" s="142">
        <f t="shared" si="1"/>
        <v>1</v>
      </c>
      <c r="Q17" s="143">
        <f t="shared" si="2"/>
        <v>700000000</v>
      </c>
      <c r="R17" s="143">
        <f t="shared" si="3"/>
        <v>700000000</v>
      </c>
      <c r="S17" s="144" t="s">
        <v>222</v>
      </c>
      <c r="T17" s="140">
        <f t="shared" si="4"/>
        <v>0</v>
      </c>
      <c r="U17" s="145" t="str">
        <f t="shared" si="5"/>
        <v>SUBDIRECCION DE GESTION CONTRACTUAL</v>
      </c>
      <c r="V17" s="132" t="str">
        <f t="shared" si="6"/>
        <v>CO-DC</v>
      </c>
      <c r="W17" s="145" t="str">
        <f t="shared" si="7"/>
        <v>Distrito Capital de Bogotá</v>
      </c>
      <c r="X17" s="146" t="s">
        <v>40</v>
      </c>
      <c r="Y17" s="132">
        <v>2427390</v>
      </c>
      <c r="Z17" s="148" t="s">
        <v>41</v>
      </c>
    </row>
    <row r="18" spans="1:85" s="7" customFormat="1" ht="12.75" customHeight="1" x14ac:dyDescent="0.2">
      <c r="A18" s="131" t="s">
        <v>32</v>
      </c>
      <c r="B18" s="132">
        <v>12</v>
      </c>
      <c r="C18" s="133" t="s">
        <v>45</v>
      </c>
      <c r="D18" s="133" t="s">
        <v>34</v>
      </c>
      <c r="E18" s="134"/>
      <c r="F18" s="134">
        <f>3147788700-2647788700</f>
        <v>500000000</v>
      </c>
      <c r="G18" s="134"/>
      <c r="H18" s="135" t="s">
        <v>66</v>
      </c>
      <c r="I18" s="258" t="s">
        <v>859</v>
      </c>
      <c r="J18" s="137">
        <v>3</v>
      </c>
      <c r="K18" s="257">
        <v>4</v>
      </c>
      <c r="L18" s="139">
        <v>3</v>
      </c>
      <c r="M18" s="132">
        <f t="shared" si="0"/>
        <v>1</v>
      </c>
      <c r="N18" s="140" t="s">
        <v>36</v>
      </c>
      <c r="O18" s="141" t="str">
        <f>IF(ISBLANK(N18),"",VLOOKUP(N18,[1]Parámetros!$G$2:$H$23,2,FALSE))</f>
        <v xml:space="preserve">Contratación directa (con ofertas) </v>
      </c>
      <c r="P18" s="142">
        <f t="shared" si="1"/>
        <v>1</v>
      </c>
      <c r="Q18" s="143">
        <f t="shared" si="2"/>
        <v>500000000</v>
      </c>
      <c r="R18" s="143">
        <f t="shared" si="3"/>
        <v>500000000</v>
      </c>
      <c r="S18" s="144" t="s">
        <v>222</v>
      </c>
      <c r="T18" s="140">
        <f t="shared" si="4"/>
        <v>0</v>
      </c>
      <c r="U18" s="145" t="str">
        <f t="shared" si="5"/>
        <v>SUBDIRECCION DE GESTION CONTRACTUAL</v>
      </c>
      <c r="V18" s="132" t="str">
        <f t="shared" si="6"/>
        <v>CO-DC</v>
      </c>
      <c r="W18" s="145" t="str">
        <f t="shared" si="7"/>
        <v>Distrito Capital de Bogotá</v>
      </c>
      <c r="X18" s="146" t="s">
        <v>40</v>
      </c>
      <c r="Y18" s="132">
        <v>2427391</v>
      </c>
      <c r="Z18" s="148" t="s">
        <v>41</v>
      </c>
    </row>
    <row r="19" spans="1:85" s="7" customFormat="1" ht="12.75" customHeight="1" x14ac:dyDescent="0.2">
      <c r="A19" s="131" t="s">
        <v>32</v>
      </c>
      <c r="B19" s="132">
        <v>13</v>
      </c>
      <c r="C19" s="133" t="s">
        <v>45</v>
      </c>
      <c r="D19" s="133" t="s">
        <v>34</v>
      </c>
      <c r="E19" s="134"/>
      <c r="F19" s="134">
        <f>2300000000+1700000000</f>
        <v>4000000000</v>
      </c>
      <c r="G19" s="134"/>
      <c r="H19" s="135" t="s">
        <v>225</v>
      </c>
      <c r="I19" s="136" t="s">
        <v>860</v>
      </c>
      <c r="J19" s="137">
        <v>3</v>
      </c>
      <c r="K19" s="138">
        <v>3</v>
      </c>
      <c r="L19" s="139">
        <v>6</v>
      </c>
      <c r="M19" s="132">
        <f t="shared" si="0"/>
        <v>1</v>
      </c>
      <c r="N19" s="140" t="s">
        <v>36</v>
      </c>
      <c r="O19" s="141" t="str">
        <f>IF(ISBLANK(N19),"",VLOOKUP(N19,[1]Parámetros!$G$2:$H$23,2,FALSE))</f>
        <v xml:space="preserve">Contratación directa (con ofertas) </v>
      </c>
      <c r="P19" s="142">
        <f t="shared" si="1"/>
        <v>1</v>
      </c>
      <c r="Q19" s="143">
        <f t="shared" si="2"/>
        <v>4000000000</v>
      </c>
      <c r="R19" s="143">
        <f t="shared" si="3"/>
        <v>4000000000</v>
      </c>
      <c r="S19" s="144" t="s">
        <v>222</v>
      </c>
      <c r="T19" s="140">
        <f t="shared" si="4"/>
        <v>0</v>
      </c>
      <c r="U19" s="145" t="str">
        <f t="shared" si="5"/>
        <v>SUBDIRECCION DE GESTION CONTRACTUAL</v>
      </c>
      <c r="V19" s="132" t="str">
        <f t="shared" si="6"/>
        <v>CO-DC</v>
      </c>
      <c r="W19" s="145" t="str">
        <f t="shared" si="7"/>
        <v>Distrito Capital de Bogotá</v>
      </c>
      <c r="X19" s="146" t="s">
        <v>40</v>
      </c>
      <c r="Y19" s="132">
        <v>2427392</v>
      </c>
      <c r="Z19" s="148" t="s">
        <v>41</v>
      </c>
    </row>
    <row r="20" spans="1:85" s="7" customFormat="1" ht="12.75" customHeight="1" x14ac:dyDescent="0.2">
      <c r="A20" s="131" t="s">
        <v>32</v>
      </c>
      <c r="B20" s="132">
        <v>14</v>
      </c>
      <c r="C20" s="133" t="s">
        <v>45</v>
      </c>
      <c r="D20" s="133" t="s">
        <v>34</v>
      </c>
      <c r="E20" s="134"/>
      <c r="F20" s="134">
        <f>2200000000+1800000000</f>
        <v>4000000000</v>
      </c>
      <c r="G20" s="134"/>
      <c r="H20" s="135" t="s">
        <v>225</v>
      </c>
      <c r="I20" s="136" t="s">
        <v>861</v>
      </c>
      <c r="J20" s="137">
        <v>3</v>
      </c>
      <c r="K20" s="138">
        <v>3</v>
      </c>
      <c r="L20" s="139">
        <v>6</v>
      </c>
      <c r="M20" s="132">
        <f t="shared" si="0"/>
        <v>1</v>
      </c>
      <c r="N20" s="140" t="s">
        <v>36</v>
      </c>
      <c r="O20" s="141" t="str">
        <f>IF(ISBLANK(N20),"",VLOOKUP(N20,[1]Parámetros!$G$2:$H$23,2,FALSE))</f>
        <v xml:space="preserve">Contratación directa (con ofertas) </v>
      </c>
      <c r="P20" s="142">
        <f t="shared" si="1"/>
        <v>1</v>
      </c>
      <c r="Q20" s="143">
        <f t="shared" si="2"/>
        <v>4000000000</v>
      </c>
      <c r="R20" s="143">
        <f t="shared" si="3"/>
        <v>4000000000</v>
      </c>
      <c r="S20" s="144" t="s">
        <v>222</v>
      </c>
      <c r="T20" s="140">
        <f t="shared" si="4"/>
        <v>0</v>
      </c>
      <c r="U20" s="145" t="str">
        <f t="shared" si="5"/>
        <v>SUBDIRECCION DE GESTION CONTRACTUAL</v>
      </c>
      <c r="V20" s="132" t="str">
        <f t="shared" si="6"/>
        <v>CO-DC</v>
      </c>
      <c r="W20" s="145" t="str">
        <f t="shared" si="7"/>
        <v>Distrito Capital de Bogotá</v>
      </c>
      <c r="X20" s="146" t="s">
        <v>40</v>
      </c>
      <c r="Y20" s="132">
        <v>2427393</v>
      </c>
      <c r="Z20" s="148" t="s">
        <v>41</v>
      </c>
    </row>
    <row r="21" spans="1:85" s="7" customFormat="1" ht="12.75" customHeight="1" x14ac:dyDescent="0.2">
      <c r="A21" s="131" t="s">
        <v>32</v>
      </c>
      <c r="B21" s="132">
        <v>15</v>
      </c>
      <c r="C21" s="133" t="s">
        <v>45</v>
      </c>
      <c r="D21" s="133" t="s">
        <v>34</v>
      </c>
      <c r="E21" s="134"/>
      <c r="F21" s="134">
        <f>1700000000+2300000000</f>
        <v>4000000000</v>
      </c>
      <c r="G21" s="134"/>
      <c r="H21" s="135" t="s">
        <v>225</v>
      </c>
      <c r="I21" s="136" t="s">
        <v>862</v>
      </c>
      <c r="J21" s="137">
        <v>3</v>
      </c>
      <c r="K21" s="138">
        <v>3</v>
      </c>
      <c r="L21" s="139">
        <v>6</v>
      </c>
      <c r="M21" s="132">
        <f t="shared" si="0"/>
        <v>1</v>
      </c>
      <c r="N21" s="140" t="s">
        <v>36</v>
      </c>
      <c r="O21" s="141" t="str">
        <f>IF(ISBLANK(N21),"",VLOOKUP(N21,[1]Parámetros!$G$2:$H$23,2,FALSE))</f>
        <v xml:space="preserve">Contratación directa (con ofertas) </v>
      </c>
      <c r="P21" s="142">
        <f t="shared" si="1"/>
        <v>1</v>
      </c>
      <c r="Q21" s="143">
        <f t="shared" si="2"/>
        <v>4000000000</v>
      </c>
      <c r="R21" s="143">
        <f t="shared" si="3"/>
        <v>4000000000</v>
      </c>
      <c r="S21" s="144" t="s">
        <v>222</v>
      </c>
      <c r="T21" s="140">
        <f t="shared" si="4"/>
        <v>0</v>
      </c>
      <c r="U21" s="145" t="str">
        <f t="shared" si="5"/>
        <v>SUBDIRECCION DE GESTION CONTRACTUAL</v>
      </c>
      <c r="V21" s="132" t="str">
        <f t="shared" si="6"/>
        <v>CO-DC</v>
      </c>
      <c r="W21" s="145" t="str">
        <f t="shared" si="7"/>
        <v>Distrito Capital de Bogotá</v>
      </c>
      <c r="X21" s="146" t="s">
        <v>40</v>
      </c>
      <c r="Y21" s="132">
        <v>2427394</v>
      </c>
      <c r="Z21" s="148" t="s">
        <v>41</v>
      </c>
    </row>
    <row r="22" spans="1:85" s="7" customFormat="1" ht="12.75" customHeight="1" x14ac:dyDescent="0.2">
      <c r="A22" s="131" t="s">
        <v>32</v>
      </c>
      <c r="B22" s="132">
        <v>16</v>
      </c>
      <c r="C22" s="133" t="s">
        <v>45</v>
      </c>
      <c r="D22" s="133" t="s">
        <v>34</v>
      </c>
      <c r="E22" s="134"/>
      <c r="F22" s="134">
        <f>2991363958-501363958</f>
        <v>2490000000</v>
      </c>
      <c r="G22" s="134"/>
      <c r="H22" s="135" t="s">
        <v>66</v>
      </c>
      <c r="I22" s="258" t="s">
        <v>863</v>
      </c>
      <c r="J22" s="257">
        <v>3</v>
      </c>
      <c r="K22" s="257">
        <v>4</v>
      </c>
      <c r="L22" s="257">
        <v>7</v>
      </c>
      <c r="M22" s="132">
        <f t="shared" si="0"/>
        <v>1</v>
      </c>
      <c r="N22" s="140" t="s">
        <v>36</v>
      </c>
      <c r="O22" s="141" t="str">
        <f>IF(ISBLANK(N22),"",VLOOKUP(N22,[1]Parámetros!$G$2:$H$23,2,FALSE))</f>
        <v xml:space="preserve">Contratación directa (con ofertas) </v>
      </c>
      <c r="P22" s="142">
        <f t="shared" si="1"/>
        <v>1</v>
      </c>
      <c r="Q22" s="143">
        <f t="shared" si="2"/>
        <v>2490000000</v>
      </c>
      <c r="R22" s="143">
        <f t="shared" si="3"/>
        <v>2490000000</v>
      </c>
      <c r="S22" s="144" t="s">
        <v>222</v>
      </c>
      <c r="T22" s="140">
        <f t="shared" si="4"/>
        <v>0</v>
      </c>
      <c r="U22" s="145" t="str">
        <f t="shared" si="5"/>
        <v>SUBDIRECCION DE GESTION CONTRACTUAL</v>
      </c>
      <c r="V22" s="132" t="str">
        <f t="shared" si="6"/>
        <v>CO-DC</v>
      </c>
      <c r="W22" s="145" t="str">
        <f t="shared" si="7"/>
        <v>Distrito Capital de Bogotá</v>
      </c>
      <c r="X22" s="146" t="s">
        <v>40</v>
      </c>
      <c r="Y22" s="132">
        <v>2427395</v>
      </c>
      <c r="Z22" s="148" t="s">
        <v>41</v>
      </c>
    </row>
    <row r="23" spans="1:85" s="7" customFormat="1" ht="12.75" customHeight="1" x14ac:dyDescent="0.2">
      <c r="A23" s="131" t="s">
        <v>32</v>
      </c>
      <c r="B23" s="132">
        <v>17</v>
      </c>
      <c r="C23" s="133" t="s">
        <v>45</v>
      </c>
      <c r="D23" s="133" t="s">
        <v>34</v>
      </c>
      <c r="E23" s="134"/>
      <c r="F23" s="134">
        <f>7000000000+1200000000-6500000000</f>
        <v>1700000000</v>
      </c>
      <c r="G23" s="134"/>
      <c r="H23" s="135" t="s">
        <v>752</v>
      </c>
      <c r="I23" s="136" t="s">
        <v>858</v>
      </c>
      <c r="J23" s="150">
        <v>2</v>
      </c>
      <c r="K23" s="150">
        <v>3</v>
      </c>
      <c r="L23" s="150">
        <v>9</v>
      </c>
      <c r="M23" s="132">
        <f t="shared" si="0"/>
        <v>1</v>
      </c>
      <c r="N23" s="140" t="s">
        <v>226</v>
      </c>
      <c r="O23" s="141" t="str">
        <f>IF(ISBLANK(N23),"",VLOOKUP(N23,[1]Parámetros!$G$2:$H$23,2,FALSE))</f>
        <v>Licitación pública</v>
      </c>
      <c r="P23" s="142">
        <f t="shared" si="1"/>
        <v>1</v>
      </c>
      <c r="Q23" s="143">
        <f t="shared" si="2"/>
        <v>1700000000</v>
      </c>
      <c r="R23" s="143">
        <f t="shared" si="3"/>
        <v>1700000000</v>
      </c>
      <c r="S23" s="144" t="s">
        <v>222</v>
      </c>
      <c r="T23" s="140">
        <f t="shared" si="4"/>
        <v>0</v>
      </c>
      <c r="U23" s="145" t="str">
        <f t="shared" si="5"/>
        <v>SUBDIRECCION DE GESTION CONTRACTUAL</v>
      </c>
      <c r="V23" s="132" t="str">
        <f t="shared" si="6"/>
        <v>CO-DC</v>
      </c>
      <c r="W23" s="145" t="str">
        <f t="shared" si="7"/>
        <v>Distrito Capital de Bogotá</v>
      </c>
      <c r="X23" s="146" t="s">
        <v>40</v>
      </c>
      <c r="Y23" s="132">
        <v>2427396</v>
      </c>
      <c r="Z23" s="148" t="s">
        <v>41</v>
      </c>
    </row>
    <row r="24" spans="1:85" s="7" customFormat="1" ht="12.75" customHeight="1" x14ac:dyDescent="0.25">
      <c r="A24" s="131" t="s">
        <v>32</v>
      </c>
      <c r="B24" s="132">
        <v>18</v>
      </c>
      <c r="C24" s="133" t="s">
        <v>227</v>
      </c>
      <c r="D24" s="133" t="s">
        <v>34</v>
      </c>
      <c r="E24" s="134"/>
      <c r="F24" s="134">
        <f>3380608000+500000000+2000000000</f>
        <v>5880608000</v>
      </c>
      <c r="G24" s="134"/>
      <c r="H24" s="135">
        <v>80111600</v>
      </c>
      <c r="I24" s="136" t="s">
        <v>848</v>
      </c>
      <c r="J24" s="137">
        <v>1</v>
      </c>
      <c r="K24" s="138">
        <v>1</v>
      </c>
      <c r="L24" s="139">
        <v>12</v>
      </c>
      <c r="M24" s="132">
        <f t="shared" si="0"/>
        <v>1</v>
      </c>
      <c r="N24" s="140" t="s">
        <v>216</v>
      </c>
      <c r="O24" s="141" t="str">
        <f>IF(ISBLANK(N24),"",VLOOKUP(N24,[1]Parámetros!$G$2:$H$23,2,FALSE))</f>
        <v>Contratación directa.</v>
      </c>
      <c r="P24" s="142">
        <f t="shared" si="1"/>
        <v>1</v>
      </c>
      <c r="Q24" s="143">
        <f t="shared" si="2"/>
        <v>5880608000</v>
      </c>
      <c r="R24" s="143">
        <f t="shared" si="3"/>
        <v>5880608000</v>
      </c>
      <c r="S24" s="144" t="s">
        <v>222</v>
      </c>
      <c r="T24" s="140">
        <f t="shared" si="4"/>
        <v>0</v>
      </c>
      <c r="U24" s="145" t="str">
        <f t="shared" si="5"/>
        <v>SUBDIRECCION DE GESTION CONTRACTUAL</v>
      </c>
      <c r="V24" s="132" t="str">
        <f t="shared" si="6"/>
        <v>CO-DC</v>
      </c>
      <c r="W24" s="145" t="str">
        <f t="shared" si="7"/>
        <v>Distrito Capital de Bogotá</v>
      </c>
      <c r="X24" s="146" t="s">
        <v>40</v>
      </c>
      <c r="Y24" s="132">
        <v>2427397</v>
      </c>
      <c r="Z24" s="127" t="s">
        <v>41</v>
      </c>
    </row>
    <row r="25" spans="1:85" s="7" customFormat="1" ht="12.75" customHeight="1" x14ac:dyDescent="0.2">
      <c r="A25" s="131" t="s">
        <v>32</v>
      </c>
      <c r="B25" s="132">
        <v>19</v>
      </c>
      <c r="C25" s="133" t="s">
        <v>227</v>
      </c>
      <c r="D25" s="133" t="s">
        <v>34</v>
      </c>
      <c r="E25" s="134"/>
      <c r="F25" s="134">
        <f>1146049905-600000000</f>
        <v>546049905</v>
      </c>
      <c r="G25" s="134"/>
      <c r="H25" s="135" t="s">
        <v>42</v>
      </c>
      <c r="I25" s="136" t="s">
        <v>587</v>
      </c>
      <c r="J25" s="137">
        <v>3</v>
      </c>
      <c r="K25" s="138">
        <v>4</v>
      </c>
      <c r="L25" s="139">
        <v>9</v>
      </c>
      <c r="M25" s="132">
        <f t="shared" si="0"/>
        <v>1</v>
      </c>
      <c r="N25" s="140" t="s">
        <v>61</v>
      </c>
      <c r="O25" s="141" t="str">
        <f>IF(ISBLANK(N25),"",VLOOKUP(N25,[1]Parámetros!$G$2:$H$23,2,FALSE))</f>
        <v>Contratación régimen especial - Selección de comisionista</v>
      </c>
      <c r="P25" s="142">
        <f t="shared" si="1"/>
        <v>1</v>
      </c>
      <c r="Q25" s="143">
        <f t="shared" si="2"/>
        <v>546049905</v>
      </c>
      <c r="R25" s="143">
        <f t="shared" si="3"/>
        <v>546049905</v>
      </c>
      <c r="S25" s="144" t="s">
        <v>222</v>
      </c>
      <c r="T25" s="140">
        <f t="shared" si="4"/>
        <v>0</v>
      </c>
      <c r="U25" s="145" t="str">
        <f t="shared" si="5"/>
        <v>SUBDIRECCION DE GESTION CONTRACTUAL</v>
      </c>
      <c r="V25" s="132" t="str">
        <f t="shared" si="6"/>
        <v>CO-DC</v>
      </c>
      <c r="W25" s="145" t="str">
        <f t="shared" si="7"/>
        <v>Distrito Capital de Bogotá</v>
      </c>
      <c r="X25" s="146" t="s">
        <v>40</v>
      </c>
      <c r="Y25" s="132">
        <v>2427398</v>
      </c>
      <c r="Z25" s="148" t="s">
        <v>41</v>
      </c>
    </row>
    <row r="26" spans="1:85" s="7" customFormat="1" ht="12.75" customHeight="1" x14ac:dyDescent="0.2">
      <c r="A26" s="131" t="s">
        <v>32</v>
      </c>
      <c r="B26" s="132">
        <v>20</v>
      </c>
      <c r="C26" s="133" t="s">
        <v>227</v>
      </c>
      <c r="D26" s="133" t="s">
        <v>34</v>
      </c>
      <c r="E26" s="134"/>
      <c r="F26" s="134">
        <f>1000000000-500000000+1225466250+600000000</f>
        <v>2325466250</v>
      </c>
      <c r="G26" s="134"/>
      <c r="H26" s="135" t="s">
        <v>228</v>
      </c>
      <c r="I26" s="258" t="s">
        <v>864</v>
      </c>
      <c r="J26" s="257">
        <v>6</v>
      </c>
      <c r="K26" s="257">
        <v>6</v>
      </c>
      <c r="L26" s="257">
        <v>4</v>
      </c>
      <c r="M26" s="132">
        <f t="shared" si="0"/>
        <v>1</v>
      </c>
      <c r="N26" s="140" t="s">
        <v>36</v>
      </c>
      <c r="O26" s="141" t="str">
        <f>IF(ISBLANK(N26),"",VLOOKUP(N26,[1]Parámetros!$G$2:$H$23,2,FALSE))</f>
        <v xml:space="preserve">Contratación directa (con ofertas) </v>
      </c>
      <c r="P26" s="142">
        <f t="shared" si="1"/>
        <v>1</v>
      </c>
      <c r="Q26" s="143">
        <f t="shared" si="2"/>
        <v>2325466250</v>
      </c>
      <c r="R26" s="143">
        <f t="shared" si="3"/>
        <v>2325466250</v>
      </c>
      <c r="S26" s="144" t="s">
        <v>222</v>
      </c>
      <c r="T26" s="140">
        <f t="shared" si="4"/>
        <v>0</v>
      </c>
      <c r="U26" s="145" t="str">
        <f t="shared" si="5"/>
        <v>SUBDIRECCION DE GESTION CONTRACTUAL</v>
      </c>
      <c r="V26" s="132" t="str">
        <f t="shared" si="6"/>
        <v>CO-DC</v>
      </c>
      <c r="W26" s="145" t="str">
        <f t="shared" si="7"/>
        <v>Distrito Capital de Bogotá</v>
      </c>
      <c r="X26" s="146" t="s">
        <v>40</v>
      </c>
      <c r="Y26" s="132">
        <v>2427399</v>
      </c>
      <c r="Z26" s="148" t="s">
        <v>41</v>
      </c>
    </row>
    <row r="27" spans="1:85" s="7" customFormat="1" ht="12.75" customHeight="1" x14ac:dyDescent="0.2">
      <c r="A27" s="131" t="s">
        <v>32</v>
      </c>
      <c r="B27" s="132">
        <v>21</v>
      </c>
      <c r="C27" s="133" t="s">
        <v>227</v>
      </c>
      <c r="D27" s="133" t="s">
        <v>34</v>
      </c>
      <c r="E27" s="134"/>
      <c r="F27" s="134">
        <f>8725466250-4725466250</f>
        <v>4000000000</v>
      </c>
      <c r="G27" s="134"/>
      <c r="H27" s="135" t="s">
        <v>66</v>
      </c>
      <c r="I27" s="258" t="s">
        <v>865</v>
      </c>
      <c r="J27" s="257">
        <v>3</v>
      </c>
      <c r="K27" s="257">
        <v>4</v>
      </c>
      <c r="L27" s="257">
        <v>5</v>
      </c>
      <c r="M27" s="132">
        <f t="shared" si="0"/>
        <v>1</v>
      </c>
      <c r="N27" s="140" t="s">
        <v>36</v>
      </c>
      <c r="O27" s="141" t="str">
        <f>IF(ISBLANK(N27),"",VLOOKUP(N27,[1]Parámetros!$G$2:$H$23,2,FALSE))</f>
        <v xml:space="preserve">Contratación directa (con ofertas) </v>
      </c>
      <c r="P27" s="142">
        <f t="shared" si="1"/>
        <v>1</v>
      </c>
      <c r="Q27" s="143">
        <f t="shared" si="2"/>
        <v>4000000000</v>
      </c>
      <c r="R27" s="143">
        <f t="shared" si="3"/>
        <v>4000000000</v>
      </c>
      <c r="S27" s="144" t="s">
        <v>222</v>
      </c>
      <c r="T27" s="140">
        <f t="shared" si="4"/>
        <v>0</v>
      </c>
      <c r="U27" s="145" t="str">
        <f t="shared" si="5"/>
        <v>SUBDIRECCION DE GESTION CONTRACTUAL</v>
      </c>
      <c r="V27" s="132" t="str">
        <f t="shared" si="6"/>
        <v>CO-DC</v>
      </c>
      <c r="W27" s="145" t="str">
        <f t="shared" si="7"/>
        <v>Distrito Capital de Bogotá</v>
      </c>
      <c r="X27" s="146" t="s">
        <v>40</v>
      </c>
      <c r="Y27" s="132">
        <v>2427400</v>
      </c>
      <c r="Z27" s="148" t="s">
        <v>41</v>
      </c>
    </row>
    <row r="28" spans="1:85" s="7" customFormat="1" ht="12.75" customHeight="1" x14ac:dyDescent="0.2">
      <c r="A28" s="131" t="s">
        <v>32</v>
      </c>
      <c r="B28" s="132">
        <v>22</v>
      </c>
      <c r="C28" s="133" t="s">
        <v>229</v>
      </c>
      <c r="D28" s="133" t="s">
        <v>34</v>
      </c>
      <c r="E28" s="134"/>
      <c r="F28" s="134">
        <v>712096000</v>
      </c>
      <c r="G28" s="134"/>
      <c r="H28" s="135">
        <v>80111600</v>
      </c>
      <c r="I28" s="136" t="s">
        <v>848</v>
      </c>
      <c r="J28" s="137">
        <v>1</v>
      </c>
      <c r="K28" s="138">
        <v>1</v>
      </c>
      <c r="L28" s="139">
        <v>12</v>
      </c>
      <c r="M28" s="132">
        <f t="shared" si="0"/>
        <v>1</v>
      </c>
      <c r="N28" s="140" t="s">
        <v>216</v>
      </c>
      <c r="O28" s="141" t="str">
        <f>IF(ISBLANK(N28),"",VLOOKUP(N28,[1]Parámetros!$G$2:$H$23,2,FALSE))</f>
        <v>Contratación directa.</v>
      </c>
      <c r="P28" s="142">
        <f t="shared" si="1"/>
        <v>1</v>
      </c>
      <c r="Q28" s="143">
        <f t="shared" si="2"/>
        <v>712096000</v>
      </c>
      <c r="R28" s="143">
        <f t="shared" si="3"/>
        <v>712096000</v>
      </c>
      <c r="S28" s="144" t="s">
        <v>222</v>
      </c>
      <c r="T28" s="140">
        <f t="shared" si="4"/>
        <v>0</v>
      </c>
      <c r="U28" s="145" t="str">
        <f t="shared" si="5"/>
        <v>SUBDIRECCION DE GESTION CONTRACTUAL</v>
      </c>
      <c r="V28" s="132" t="str">
        <f t="shared" si="6"/>
        <v>CO-DC</v>
      </c>
      <c r="W28" s="145" t="str">
        <f t="shared" si="7"/>
        <v>Distrito Capital de Bogotá</v>
      </c>
      <c r="X28" s="146" t="s">
        <v>40</v>
      </c>
      <c r="Y28" s="132">
        <v>2427401</v>
      </c>
      <c r="Z28" s="148" t="s">
        <v>41</v>
      </c>
    </row>
    <row r="29" spans="1:85" s="7" customFormat="1" ht="12.75" customHeight="1" x14ac:dyDescent="0.2">
      <c r="A29" s="131" t="s">
        <v>32</v>
      </c>
      <c r="B29" s="132">
        <v>23</v>
      </c>
      <c r="C29" s="133" t="s">
        <v>229</v>
      </c>
      <c r="D29" s="133" t="s">
        <v>34</v>
      </c>
      <c r="E29" s="134"/>
      <c r="F29" s="134">
        <f>60031186+220000000</f>
        <v>280031186</v>
      </c>
      <c r="G29" s="134"/>
      <c r="H29" s="135" t="s">
        <v>42</v>
      </c>
      <c r="I29" s="136" t="s">
        <v>587</v>
      </c>
      <c r="J29" s="137">
        <v>3</v>
      </c>
      <c r="K29" s="138">
        <v>4</v>
      </c>
      <c r="L29" s="139">
        <v>9</v>
      </c>
      <c r="M29" s="132">
        <f t="shared" si="0"/>
        <v>1</v>
      </c>
      <c r="N29" s="140" t="s">
        <v>61</v>
      </c>
      <c r="O29" s="141" t="str">
        <f>IF(ISBLANK(N29),"",VLOOKUP(N29,[1]Parámetros!$G$2:$H$23,2,FALSE))</f>
        <v>Contratación régimen especial - Selección de comisionista</v>
      </c>
      <c r="P29" s="142">
        <f t="shared" si="1"/>
        <v>1</v>
      </c>
      <c r="Q29" s="143">
        <f t="shared" si="2"/>
        <v>280031186</v>
      </c>
      <c r="R29" s="143">
        <f t="shared" si="3"/>
        <v>280031186</v>
      </c>
      <c r="S29" s="144" t="s">
        <v>222</v>
      </c>
      <c r="T29" s="140">
        <f t="shared" si="4"/>
        <v>0</v>
      </c>
      <c r="U29" s="145" t="str">
        <f t="shared" si="5"/>
        <v>SUBDIRECCION DE GESTION CONTRACTUAL</v>
      </c>
      <c r="V29" s="132" t="str">
        <f t="shared" si="6"/>
        <v>CO-DC</v>
      </c>
      <c r="W29" s="145" t="str">
        <f t="shared" si="7"/>
        <v>Distrito Capital de Bogotá</v>
      </c>
      <c r="X29" s="146" t="s">
        <v>40</v>
      </c>
      <c r="Y29" s="132">
        <v>2427402</v>
      </c>
      <c r="Z29" s="148" t="s">
        <v>41</v>
      </c>
    </row>
    <row r="30" spans="1:85" s="7" customFormat="1" ht="12.75" customHeight="1" x14ac:dyDescent="0.2">
      <c r="A30" s="131" t="s">
        <v>32</v>
      </c>
      <c r="B30" s="132">
        <v>24</v>
      </c>
      <c r="C30" s="133" t="s">
        <v>229</v>
      </c>
      <c r="D30" s="133" t="s">
        <v>34</v>
      </c>
      <c r="E30" s="134"/>
      <c r="F30" s="134">
        <v>180000000</v>
      </c>
      <c r="G30" s="134"/>
      <c r="H30" s="135" t="s">
        <v>230</v>
      </c>
      <c r="I30" s="136" t="s">
        <v>619</v>
      </c>
      <c r="J30" s="151">
        <v>2</v>
      </c>
      <c r="K30" s="151">
        <v>3</v>
      </c>
      <c r="L30" s="151">
        <v>4</v>
      </c>
      <c r="M30" s="132">
        <f t="shared" si="0"/>
        <v>1</v>
      </c>
      <c r="N30" s="140" t="s">
        <v>43</v>
      </c>
      <c r="O30" s="141" t="str">
        <f>IF(ISBLANK(N30),"",VLOOKUP(N30,[1]Parámetros!$G$2:$H$23,2,FALSE))</f>
        <v>Selección abreviada subasta inversa</v>
      </c>
      <c r="P30" s="142">
        <f t="shared" si="1"/>
        <v>1</v>
      </c>
      <c r="Q30" s="143">
        <f t="shared" si="2"/>
        <v>180000000</v>
      </c>
      <c r="R30" s="143">
        <f t="shared" si="3"/>
        <v>180000000</v>
      </c>
      <c r="S30" s="144" t="s">
        <v>222</v>
      </c>
      <c r="T30" s="140">
        <f t="shared" si="4"/>
        <v>0</v>
      </c>
      <c r="U30" s="145" t="str">
        <f t="shared" si="5"/>
        <v>SUBDIRECCION DE GESTION CONTRACTUAL</v>
      </c>
      <c r="V30" s="132" t="str">
        <f t="shared" si="6"/>
        <v>CO-DC</v>
      </c>
      <c r="W30" s="145" t="str">
        <f t="shared" si="7"/>
        <v>Distrito Capital de Bogotá</v>
      </c>
      <c r="X30" s="146" t="s">
        <v>307</v>
      </c>
      <c r="Y30" s="132">
        <v>2427400</v>
      </c>
      <c r="Z30" s="148" t="s">
        <v>94</v>
      </c>
    </row>
    <row r="31" spans="1:85" s="7" customFormat="1" ht="12.75" customHeight="1" x14ac:dyDescent="0.2">
      <c r="A31" s="131" t="s">
        <v>32</v>
      </c>
      <c r="B31" s="132">
        <v>25</v>
      </c>
      <c r="C31" s="133" t="s">
        <v>229</v>
      </c>
      <c r="D31" s="133" t="s">
        <v>34</v>
      </c>
      <c r="E31" s="134"/>
      <c r="F31" s="134">
        <f>820000000-130000000-70000000-20000000</f>
        <v>600000000</v>
      </c>
      <c r="G31" s="134"/>
      <c r="H31" s="135" t="s">
        <v>840</v>
      </c>
      <c r="I31" s="136" t="s">
        <v>850</v>
      </c>
      <c r="J31" s="257">
        <v>3</v>
      </c>
      <c r="K31" s="257">
        <v>4</v>
      </c>
      <c r="L31" s="257">
        <v>6</v>
      </c>
      <c r="M31" s="132">
        <f t="shared" si="0"/>
        <v>1</v>
      </c>
      <c r="N31" s="140" t="s">
        <v>36</v>
      </c>
      <c r="O31" s="141" t="str">
        <f>IF(ISBLANK(N31),"",VLOOKUP(N31,[1]Parámetros!$G$2:$H$23,2,FALSE))</f>
        <v xml:space="preserve">Contratación directa (con ofertas) </v>
      </c>
      <c r="P31" s="142">
        <f t="shared" si="1"/>
        <v>1</v>
      </c>
      <c r="Q31" s="143">
        <f t="shared" si="2"/>
        <v>600000000</v>
      </c>
      <c r="R31" s="143">
        <f t="shared" si="3"/>
        <v>600000000</v>
      </c>
      <c r="S31" s="144" t="s">
        <v>222</v>
      </c>
      <c r="T31" s="140">
        <f t="shared" si="4"/>
        <v>0</v>
      </c>
      <c r="U31" s="145" t="str">
        <f t="shared" si="5"/>
        <v>SUBDIRECCION DE GESTION CONTRACTUAL</v>
      </c>
      <c r="V31" s="132" t="str">
        <f t="shared" si="6"/>
        <v>CO-DC</v>
      </c>
      <c r="W31" s="145" t="str">
        <f t="shared" si="7"/>
        <v>Distrito Capital de Bogotá</v>
      </c>
      <c r="X31" s="146" t="s">
        <v>40</v>
      </c>
      <c r="Y31" s="132">
        <v>2427404</v>
      </c>
      <c r="Z31" s="148" t="s">
        <v>41</v>
      </c>
    </row>
    <row r="32" spans="1:85" s="152" customFormat="1" ht="13.9" customHeight="1" x14ac:dyDescent="0.2">
      <c r="A32" s="131" t="s">
        <v>32</v>
      </c>
      <c r="B32" s="132">
        <v>26</v>
      </c>
      <c r="C32" s="133" t="s">
        <v>229</v>
      </c>
      <c r="D32" s="133" t="s">
        <v>34</v>
      </c>
      <c r="E32" s="134"/>
      <c r="F32" s="134">
        <f>1000000000-400000000</f>
        <v>600000000</v>
      </c>
      <c r="G32" s="134"/>
      <c r="H32" s="135" t="s">
        <v>840</v>
      </c>
      <c r="I32" s="258" t="s">
        <v>866</v>
      </c>
      <c r="J32" s="257">
        <v>3</v>
      </c>
      <c r="K32" s="257">
        <v>4</v>
      </c>
      <c r="L32" s="257">
        <v>8</v>
      </c>
      <c r="M32" s="132">
        <f t="shared" si="0"/>
        <v>1</v>
      </c>
      <c r="N32" s="140" t="s">
        <v>36</v>
      </c>
      <c r="O32" s="141" t="str">
        <f>IF(ISBLANK(N32),"",VLOOKUP(N32,[1]Parámetros!$G$2:$H$23,2,FALSE))</f>
        <v xml:space="preserve">Contratación directa (con ofertas) </v>
      </c>
      <c r="P32" s="142">
        <f t="shared" si="1"/>
        <v>1</v>
      </c>
      <c r="Q32" s="143">
        <f t="shared" si="2"/>
        <v>600000000</v>
      </c>
      <c r="R32" s="143">
        <f t="shared" si="3"/>
        <v>600000000</v>
      </c>
      <c r="S32" s="144" t="s">
        <v>222</v>
      </c>
      <c r="T32" s="140">
        <f t="shared" si="4"/>
        <v>0</v>
      </c>
      <c r="U32" s="145" t="str">
        <f t="shared" si="5"/>
        <v>SUBDIRECCION DE GESTION CONTRACTUAL</v>
      </c>
      <c r="V32" s="132" t="str">
        <f t="shared" si="6"/>
        <v>CO-DC</v>
      </c>
      <c r="W32" s="145" t="str">
        <f t="shared" si="7"/>
        <v>Distrito Capital de Bogotá</v>
      </c>
      <c r="X32" s="146" t="s">
        <v>40</v>
      </c>
      <c r="Y32" s="132">
        <v>2427405</v>
      </c>
      <c r="Z32" s="148"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7" customFormat="1" ht="12.75" customHeight="1" x14ac:dyDescent="0.2">
      <c r="A33" s="131" t="s">
        <v>32</v>
      </c>
      <c r="B33" s="132">
        <v>27</v>
      </c>
      <c r="C33" s="133" t="s">
        <v>46</v>
      </c>
      <c r="D33" s="133" t="s">
        <v>47</v>
      </c>
      <c r="E33" s="134"/>
      <c r="F33" s="134">
        <v>6740578</v>
      </c>
      <c r="G33" s="134"/>
      <c r="H33" s="135" t="s">
        <v>231</v>
      </c>
      <c r="I33" s="136" t="s">
        <v>851</v>
      </c>
      <c r="J33" s="137">
        <v>4</v>
      </c>
      <c r="K33" s="138">
        <v>4</v>
      </c>
      <c r="L33" s="139">
        <v>1</v>
      </c>
      <c r="M33" s="132">
        <f t="shared" si="0"/>
        <v>1</v>
      </c>
      <c r="N33" s="140" t="s">
        <v>48</v>
      </c>
      <c r="O33" s="141" t="str">
        <f>IF(ISBLANK(N33),"",VLOOKUP(N33,[1]Parámetros!$G$2:$H$23,2,FALSE))</f>
        <v>Mínima cuantía</v>
      </c>
      <c r="P33" s="142">
        <f t="shared" si="1"/>
        <v>1</v>
      </c>
      <c r="Q33" s="143">
        <f t="shared" si="2"/>
        <v>6740578</v>
      </c>
      <c r="R33" s="143">
        <f t="shared" si="3"/>
        <v>6740578</v>
      </c>
      <c r="S33" s="144" t="s">
        <v>222</v>
      </c>
      <c r="T33" s="140">
        <f t="shared" si="4"/>
        <v>0</v>
      </c>
      <c r="U33" s="145" t="str">
        <f t="shared" si="5"/>
        <v>SUBDIRECCION DE GESTION CONTRACTUAL</v>
      </c>
      <c r="V33" s="132" t="str">
        <f t="shared" si="6"/>
        <v>CO-DC</v>
      </c>
      <c r="W33" s="145" t="str">
        <f t="shared" si="7"/>
        <v>Distrito Capital de Bogotá</v>
      </c>
      <c r="X33" s="146" t="s">
        <v>40</v>
      </c>
      <c r="Y33" s="132">
        <v>2427406</v>
      </c>
      <c r="Z33" s="148" t="s">
        <v>41</v>
      </c>
    </row>
    <row r="34" spans="1:85" s="7" customFormat="1" ht="12.75" customHeight="1" x14ac:dyDescent="0.2">
      <c r="A34" s="131" t="s">
        <v>32</v>
      </c>
      <c r="B34" s="132">
        <v>28</v>
      </c>
      <c r="C34" s="133" t="s">
        <v>46</v>
      </c>
      <c r="D34" s="133" t="s">
        <v>50</v>
      </c>
      <c r="E34" s="134"/>
      <c r="F34" s="134">
        <v>15000000</v>
      </c>
      <c r="G34" s="134"/>
      <c r="H34" s="135" t="s">
        <v>51</v>
      </c>
      <c r="I34" s="136" t="s">
        <v>852</v>
      </c>
      <c r="J34" s="137">
        <v>4</v>
      </c>
      <c r="K34" s="138" t="s">
        <v>618</v>
      </c>
      <c r="L34" s="139">
        <v>1</v>
      </c>
      <c r="M34" s="132">
        <f t="shared" si="0"/>
        <v>1</v>
      </c>
      <c r="N34" s="140" t="s">
        <v>43</v>
      </c>
      <c r="O34" s="141" t="str">
        <f>IF(ISBLANK(N34),"",VLOOKUP(N34,[1]Parámetros!$G$2:$H$23,2,FALSE))</f>
        <v>Selección abreviada subasta inversa</v>
      </c>
      <c r="P34" s="142">
        <f t="shared" si="1"/>
        <v>1</v>
      </c>
      <c r="Q34" s="143">
        <f t="shared" si="2"/>
        <v>15000000</v>
      </c>
      <c r="R34" s="143">
        <f t="shared" si="3"/>
        <v>15000000</v>
      </c>
      <c r="S34" s="144" t="s">
        <v>222</v>
      </c>
      <c r="T34" s="140">
        <f t="shared" si="4"/>
        <v>0</v>
      </c>
      <c r="U34" s="145" t="str">
        <f t="shared" si="5"/>
        <v>SUBDIRECCION DE GESTION CONTRACTUAL</v>
      </c>
      <c r="V34" s="132" t="str">
        <f t="shared" si="6"/>
        <v>CO-DC</v>
      </c>
      <c r="W34" s="145" t="str">
        <f t="shared" si="7"/>
        <v>Distrito Capital de Bogotá</v>
      </c>
      <c r="X34" s="146" t="s">
        <v>40</v>
      </c>
      <c r="Y34" s="132">
        <v>2427407</v>
      </c>
      <c r="Z34" s="148" t="s">
        <v>41</v>
      </c>
    </row>
    <row r="35" spans="1:85" s="152" customFormat="1" ht="13.9" customHeight="1" x14ac:dyDescent="0.2">
      <c r="A35" s="131" t="s">
        <v>32</v>
      </c>
      <c r="B35" s="132">
        <v>29</v>
      </c>
      <c r="C35" s="133" t="s">
        <v>46</v>
      </c>
      <c r="D35" s="133" t="s">
        <v>52</v>
      </c>
      <c r="E35" s="134"/>
      <c r="F35" s="134">
        <v>8000000</v>
      </c>
      <c r="G35" s="134"/>
      <c r="H35" s="135" t="s">
        <v>132</v>
      </c>
      <c r="I35" s="136" t="s">
        <v>867</v>
      </c>
      <c r="J35" s="153">
        <v>10</v>
      </c>
      <c r="K35" s="153">
        <v>10</v>
      </c>
      <c r="L35" s="153">
        <v>12</v>
      </c>
      <c r="M35" s="132">
        <f t="shared" si="0"/>
        <v>1</v>
      </c>
      <c r="N35" s="140" t="s">
        <v>53</v>
      </c>
      <c r="O35" s="141" t="str">
        <f>IF(ISBLANK(N35),"",VLOOKUP(N35,[1]Parámetros!$G$2:$H$23,2,FALSE))</f>
        <v>Seléccion abreviada - acuerdo marco</v>
      </c>
      <c r="P35" s="142">
        <f t="shared" si="1"/>
        <v>1</v>
      </c>
      <c r="Q35" s="143">
        <f t="shared" si="2"/>
        <v>8000000</v>
      </c>
      <c r="R35" s="143">
        <f t="shared" si="3"/>
        <v>8000000</v>
      </c>
      <c r="S35" s="144" t="s">
        <v>222</v>
      </c>
      <c r="T35" s="140">
        <f t="shared" si="4"/>
        <v>0</v>
      </c>
      <c r="U35" s="145" t="str">
        <f t="shared" si="5"/>
        <v>SUBDIRECCION DE GESTION CONTRACTUAL</v>
      </c>
      <c r="V35" s="132" t="str">
        <f t="shared" si="6"/>
        <v>CO-DC</v>
      </c>
      <c r="W35" s="145" t="str">
        <f t="shared" si="7"/>
        <v>Distrito Capital de Bogotá</v>
      </c>
      <c r="X35" s="146" t="s">
        <v>40</v>
      </c>
      <c r="Y35" s="132">
        <v>2427408</v>
      </c>
      <c r="Z35" s="148"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52" customFormat="1" ht="13.9" customHeight="1" x14ac:dyDescent="0.2">
      <c r="A36" s="131" t="s">
        <v>32</v>
      </c>
      <c r="B36" s="132">
        <v>30</v>
      </c>
      <c r="C36" s="133" t="s">
        <v>46</v>
      </c>
      <c r="D36" s="133" t="s">
        <v>55</v>
      </c>
      <c r="E36" s="134"/>
      <c r="F36" s="134">
        <f>595941595-395941595+250000000</f>
        <v>450000000</v>
      </c>
      <c r="G36" s="134"/>
      <c r="H36" s="135" t="s">
        <v>752</v>
      </c>
      <c r="I36" s="136" t="s">
        <v>858</v>
      </c>
      <c r="J36" s="150">
        <v>2</v>
      </c>
      <c r="K36" s="150">
        <v>3</v>
      </c>
      <c r="L36" s="150">
        <v>9</v>
      </c>
      <c r="M36" s="132">
        <f t="shared" si="0"/>
        <v>1</v>
      </c>
      <c r="N36" s="140" t="s">
        <v>226</v>
      </c>
      <c r="O36" s="141" t="str">
        <f>IF(ISBLANK(N36),"",VLOOKUP(N36,[1]Parámetros!$G$2:$H$23,2,FALSE))</f>
        <v>Licitación pública</v>
      </c>
      <c r="P36" s="142">
        <f t="shared" si="1"/>
        <v>1</v>
      </c>
      <c r="Q36" s="143">
        <f t="shared" si="2"/>
        <v>450000000</v>
      </c>
      <c r="R36" s="143">
        <f t="shared" si="3"/>
        <v>450000000</v>
      </c>
      <c r="S36" s="144" t="s">
        <v>222</v>
      </c>
      <c r="T36" s="140">
        <f t="shared" si="4"/>
        <v>0</v>
      </c>
      <c r="U36" s="145" t="str">
        <f t="shared" si="5"/>
        <v>SUBDIRECCION DE GESTION CONTRACTUAL</v>
      </c>
      <c r="V36" s="132" t="str">
        <f t="shared" si="6"/>
        <v>CO-DC</v>
      </c>
      <c r="W36" s="145" t="str">
        <f t="shared" si="7"/>
        <v>Distrito Capital de Bogotá</v>
      </c>
      <c r="X36" s="146" t="s">
        <v>40</v>
      </c>
      <c r="Y36" s="132">
        <v>2427409</v>
      </c>
      <c r="Z36" s="148"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52" customFormat="1" ht="13.9" customHeight="1" x14ac:dyDescent="0.2">
      <c r="A37" s="131" t="s">
        <v>32</v>
      </c>
      <c r="B37" s="132">
        <v>31</v>
      </c>
      <c r="C37" s="133" t="s">
        <v>46</v>
      </c>
      <c r="D37" s="133" t="s">
        <v>56</v>
      </c>
      <c r="E37" s="134"/>
      <c r="F37" s="134">
        <f>91869000+58131000+50000000</f>
        <v>200000000</v>
      </c>
      <c r="G37" s="134"/>
      <c r="H37" s="154" t="s">
        <v>232</v>
      </c>
      <c r="I37" s="136" t="s">
        <v>846</v>
      </c>
      <c r="J37" s="147">
        <v>4</v>
      </c>
      <c r="K37" s="147">
        <v>5</v>
      </c>
      <c r="L37" s="147">
        <v>12</v>
      </c>
      <c r="M37" s="132">
        <f t="shared" si="0"/>
        <v>1</v>
      </c>
      <c r="N37" s="140" t="s">
        <v>304</v>
      </c>
      <c r="O37" s="141" t="str">
        <f>IF(ISBLANK(N37),"",VLOOKUP(N37,[2]Parámetros!$G$2:$H$23,2,FALSE))</f>
        <v>Selección abreviada menor cuantía</v>
      </c>
      <c r="P37" s="142">
        <f t="shared" si="1"/>
        <v>1</v>
      </c>
      <c r="Q37" s="143">
        <f t="shared" si="2"/>
        <v>200000000</v>
      </c>
      <c r="R37" s="143">
        <f t="shared" si="3"/>
        <v>200000000</v>
      </c>
      <c r="S37" s="144" t="s">
        <v>222</v>
      </c>
      <c r="T37" s="140">
        <f t="shared" si="4"/>
        <v>0</v>
      </c>
      <c r="U37" s="145" t="str">
        <f t="shared" si="5"/>
        <v>SUBDIRECCION DE GESTION CONTRACTUAL</v>
      </c>
      <c r="V37" s="132" t="str">
        <f t="shared" si="6"/>
        <v>CO-DC</v>
      </c>
      <c r="W37" s="145" t="str">
        <f t="shared" si="7"/>
        <v>Distrito Capital de Bogotá</v>
      </c>
      <c r="X37" s="146" t="s">
        <v>40</v>
      </c>
      <c r="Y37" s="132">
        <v>2427410</v>
      </c>
      <c r="Z37" s="148"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52" customFormat="1" ht="13.9" customHeight="1" x14ac:dyDescent="0.2">
      <c r="A38" s="131" t="s">
        <v>32</v>
      </c>
      <c r="B38" s="132">
        <v>32</v>
      </c>
      <c r="C38" s="133" t="s">
        <v>46</v>
      </c>
      <c r="D38" s="133" t="s">
        <v>57</v>
      </c>
      <c r="E38" s="134">
        <f>186825271*3</f>
        <v>560475813</v>
      </c>
      <c r="F38" s="134">
        <v>1850447490</v>
      </c>
      <c r="G38" s="134"/>
      <c r="H38" s="135">
        <v>80131500</v>
      </c>
      <c r="I38" s="136" t="s">
        <v>868</v>
      </c>
      <c r="J38" s="137">
        <v>3</v>
      </c>
      <c r="K38" s="138">
        <v>3</v>
      </c>
      <c r="L38" s="139">
        <v>12</v>
      </c>
      <c r="M38" s="132">
        <f t="shared" si="0"/>
        <v>1</v>
      </c>
      <c r="N38" s="140" t="s">
        <v>36</v>
      </c>
      <c r="O38" s="141" t="str">
        <f>IF(ISBLANK(N38),"",VLOOKUP(N38,[1]Parámetros!$G$2:$H$23,2,FALSE))</f>
        <v xml:space="preserve">Contratación directa (con ofertas) </v>
      </c>
      <c r="P38" s="142">
        <f t="shared" si="1"/>
        <v>1</v>
      </c>
      <c r="Q38" s="143">
        <f t="shared" si="2"/>
        <v>2410923303</v>
      </c>
      <c r="R38" s="143">
        <f t="shared" si="3"/>
        <v>1850447490</v>
      </c>
      <c r="S38" s="144" t="s">
        <v>222</v>
      </c>
      <c r="T38" s="140">
        <f t="shared" si="4"/>
        <v>0</v>
      </c>
      <c r="U38" s="145" t="str">
        <f t="shared" si="5"/>
        <v>SUBDIRECCION DE GESTION CONTRACTUAL</v>
      </c>
      <c r="V38" s="132" t="str">
        <f t="shared" si="6"/>
        <v>CO-DC</v>
      </c>
      <c r="W38" s="145" t="str">
        <f t="shared" si="7"/>
        <v>Distrito Capital de Bogotá</v>
      </c>
      <c r="X38" s="146" t="s">
        <v>40</v>
      </c>
      <c r="Y38" s="132">
        <v>2427411</v>
      </c>
      <c r="Z38" s="148"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52" customFormat="1" ht="13.9" customHeight="1" x14ac:dyDescent="0.2">
      <c r="A39" s="131" t="s">
        <v>32</v>
      </c>
      <c r="B39" s="132">
        <v>33</v>
      </c>
      <c r="C39" s="133" t="s">
        <v>46</v>
      </c>
      <c r="D39" s="133" t="s">
        <v>58</v>
      </c>
      <c r="E39" s="134"/>
      <c r="F39" s="134">
        <v>675136000</v>
      </c>
      <c r="G39" s="134"/>
      <c r="H39" s="135">
        <v>80111600</v>
      </c>
      <c r="I39" s="136" t="s">
        <v>848</v>
      </c>
      <c r="J39" s="137">
        <v>1</v>
      </c>
      <c r="K39" s="138">
        <v>1</v>
      </c>
      <c r="L39" s="139">
        <v>12</v>
      </c>
      <c r="M39" s="132">
        <f t="shared" si="0"/>
        <v>1</v>
      </c>
      <c r="N39" s="140" t="s">
        <v>216</v>
      </c>
      <c r="O39" s="141" t="str">
        <f>IF(ISBLANK(N39),"",VLOOKUP(N39,[1]Parámetros!$G$2:$H$23,2,FALSE))</f>
        <v>Contratación directa.</v>
      </c>
      <c r="P39" s="142">
        <f t="shared" ref="P39:P79" si="8">IF(ISBLANK(N39),"",1)</f>
        <v>1</v>
      </c>
      <c r="Q39" s="143">
        <f t="shared" si="2"/>
        <v>675136000</v>
      </c>
      <c r="R39" s="143">
        <f t="shared" si="3"/>
        <v>675136000</v>
      </c>
      <c r="S39" s="144" t="s">
        <v>222</v>
      </c>
      <c r="T39" s="140">
        <f t="shared" ref="T39:T79" si="9">IF(ISBLANK(S39),"",IF(VALUE(S39)=0,0,IF(VALUE(S39)=1,3,"")))</f>
        <v>0</v>
      </c>
      <c r="U39" s="145" t="str">
        <f t="shared" si="5"/>
        <v>SUBDIRECCION DE GESTION CONTRACTUAL</v>
      </c>
      <c r="V39" s="132" t="str">
        <f t="shared" ref="V39:V79" si="10">IF(ISBLANK(N39),"","CO-DC")</f>
        <v>CO-DC</v>
      </c>
      <c r="W39" s="145" t="str">
        <f t="shared" ref="W39:W79" si="11">IF(ISBLANK(N39),"","Distrito Capital de Bogotá")</f>
        <v>Distrito Capital de Bogotá</v>
      </c>
      <c r="X39" s="146" t="s">
        <v>40</v>
      </c>
      <c r="Y39" s="132">
        <v>2427412</v>
      </c>
      <c r="Z39" s="148"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7" customFormat="1" ht="12.75" customHeight="1" x14ac:dyDescent="0.25">
      <c r="A40" s="131" t="s">
        <v>32</v>
      </c>
      <c r="B40" s="132">
        <v>34</v>
      </c>
      <c r="C40" s="133" t="s">
        <v>46</v>
      </c>
      <c r="D40" s="133" t="s">
        <v>59</v>
      </c>
      <c r="E40" s="134"/>
      <c r="F40" s="134">
        <f>162041458-45041458</f>
        <v>117000000</v>
      </c>
      <c r="G40" s="134"/>
      <c r="H40" s="135" t="s">
        <v>121</v>
      </c>
      <c r="I40" s="136" t="s">
        <v>853</v>
      </c>
      <c r="J40" s="150">
        <v>1</v>
      </c>
      <c r="K40" s="150">
        <v>2</v>
      </c>
      <c r="L40" s="150">
        <v>10</v>
      </c>
      <c r="M40" s="132">
        <f t="shared" si="0"/>
        <v>1</v>
      </c>
      <c r="N40" s="140" t="s">
        <v>43</v>
      </c>
      <c r="O40" s="141" t="str">
        <f>IF(ISBLANK(N40),"",VLOOKUP(N40,[1]Parámetros!$G$2:$H$23,2,FALSE))</f>
        <v>Selección abreviada subasta inversa</v>
      </c>
      <c r="P40" s="142">
        <f t="shared" si="8"/>
        <v>1</v>
      </c>
      <c r="Q40" s="143">
        <f t="shared" si="2"/>
        <v>117000000</v>
      </c>
      <c r="R40" s="143">
        <f t="shared" si="3"/>
        <v>117000000</v>
      </c>
      <c r="S40" s="144" t="s">
        <v>222</v>
      </c>
      <c r="T40" s="140">
        <f t="shared" si="9"/>
        <v>0</v>
      </c>
      <c r="U40" s="145" t="str">
        <f t="shared" si="5"/>
        <v>SUBDIRECCION DE GESTION CONTRACTUAL</v>
      </c>
      <c r="V40" s="132" t="str">
        <f t="shared" si="10"/>
        <v>CO-DC</v>
      </c>
      <c r="W40" s="145" t="str">
        <f t="shared" si="11"/>
        <v>Distrito Capital de Bogotá</v>
      </c>
      <c r="X40" s="146" t="s">
        <v>307</v>
      </c>
      <c r="Y40" s="132">
        <v>2427413</v>
      </c>
      <c r="Z40" s="127" t="s">
        <v>94</v>
      </c>
    </row>
    <row r="41" spans="1:85" s="7" customFormat="1" ht="12.75" customHeight="1" x14ac:dyDescent="0.2">
      <c r="A41" s="131" t="s">
        <v>32</v>
      </c>
      <c r="B41" s="132">
        <v>35</v>
      </c>
      <c r="C41" s="133" t="s">
        <v>46</v>
      </c>
      <c r="D41" s="133" t="s">
        <v>60</v>
      </c>
      <c r="E41" s="134">
        <v>188251248</v>
      </c>
      <c r="F41" s="134">
        <f>249309304+14386180</f>
        <v>263695484</v>
      </c>
      <c r="G41" s="134"/>
      <c r="H41" s="135">
        <v>92121500</v>
      </c>
      <c r="I41" s="136" t="s">
        <v>847</v>
      </c>
      <c r="J41" s="147">
        <v>1</v>
      </c>
      <c r="K41" s="147">
        <v>1</v>
      </c>
      <c r="L41" s="147">
        <v>11</v>
      </c>
      <c r="M41" s="132">
        <f t="shared" si="0"/>
        <v>1</v>
      </c>
      <c r="N41" s="140" t="s">
        <v>43</v>
      </c>
      <c r="O41" s="141" t="str">
        <f>IF(ISBLANK(N41),"",VLOOKUP(N41,[2]Parámetros!$G$2:$H$23,2,FALSE))</f>
        <v>Selección abreviada subasta inversa</v>
      </c>
      <c r="P41" s="142">
        <f t="shared" si="8"/>
        <v>1</v>
      </c>
      <c r="Q41" s="143">
        <f t="shared" si="2"/>
        <v>451946732</v>
      </c>
      <c r="R41" s="143">
        <f t="shared" si="3"/>
        <v>263695484</v>
      </c>
      <c r="S41" s="144" t="s">
        <v>222</v>
      </c>
      <c r="T41" s="140">
        <f t="shared" si="9"/>
        <v>0</v>
      </c>
      <c r="U41" s="145" t="str">
        <f t="shared" si="5"/>
        <v>SUBDIRECCION DE GESTION CONTRACTUAL</v>
      </c>
      <c r="V41" s="132" t="str">
        <f t="shared" si="10"/>
        <v>CO-DC</v>
      </c>
      <c r="W41" s="145" t="str">
        <f t="shared" si="11"/>
        <v>Distrito Capital de Bogotá</v>
      </c>
      <c r="X41" s="146" t="s">
        <v>40</v>
      </c>
      <c r="Y41" s="132">
        <v>2427414</v>
      </c>
      <c r="Z41" s="148" t="s">
        <v>41</v>
      </c>
    </row>
    <row r="42" spans="1:85" s="152" customFormat="1" ht="13.9" customHeight="1" x14ac:dyDescent="0.2">
      <c r="A42" s="131" t="s">
        <v>32</v>
      </c>
      <c r="B42" s="132">
        <v>36</v>
      </c>
      <c r="C42" s="133" t="s">
        <v>46</v>
      </c>
      <c r="D42" s="133" t="s">
        <v>60</v>
      </c>
      <c r="E42" s="155">
        <v>96346322.310000002</v>
      </c>
      <c r="F42" s="156">
        <f>79387070+8599621.69</f>
        <v>87986691.689999998</v>
      </c>
      <c r="G42" s="134"/>
      <c r="H42" s="135" t="s">
        <v>234</v>
      </c>
      <c r="I42" s="136" t="s">
        <v>873</v>
      </c>
      <c r="J42" s="147">
        <v>1</v>
      </c>
      <c r="K42" s="147">
        <v>1</v>
      </c>
      <c r="L42" s="147">
        <v>7</v>
      </c>
      <c r="M42" s="132">
        <f t="shared" si="0"/>
        <v>1</v>
      </c>
      <c r="N42" s="140" t="s">
        <v>53</v>
      </c>
      <c r="O42" s="141" t="str">
        <f>IF(ISBLANK(N42),"",VLOOKUP(N42,[1]Parámetros!$G$2:$H$23,2,FALSE))</f>
        <v>Seléccion abreviada - acuerdo marco</v>
      </c>
      <c r="P42" s="142">
        <f t="shared" si="8"/>
        <v>1</v>
      </c>
      <c r="Q42" s="143">
        <f t="shared" si="2"/>
        <v>184333014</v>
      </c>
      <c r="R42" s="143">
        <f t="shared" si="3"/>
        <v>87986691.689999998</v>
      </c>
      <c r="S42" s="144" t="s">
        <v>222</v>
      </c>
      <c r="T42" s="140">
        <f t="shared" si="9"/>
        <v>0</v>
      </c>
      <c r="U42" s="145" t="str">
        <f t="shared" si="5"/>
        <v>SUBDIRECCION DE GESTION CONTRACTUAL</v>
      </c>
      <c r="V42" s="132" t="str">
        <f t="shared" si="10"/>
        <v>CO-DC</v>
      </c>
      <c r="W42" s="145" t="str">
        <f t="shared" si="11"/>
        <v>Distrito Capital de Bogotá</v>
      </c>
      <c r="X42" s="154" t="s">
        <v>467</v>
      </c>
      <c r="Y42" s="147">
        <v>2427400</v>
      </c>
      <c r="Z42" s="157" t="s">
        <v>131</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row>
    <row r="43" spans="1:85" s="152" customFormat="1" ht="13.9" customHeight="1" x14ac:dyDescent="0.2">
      <c r="A43" s="131" t="s">
        <v>32</v>
      </c>
      <c r="B43" s="132">
        <v>37</v>
      </c>
      <c r="C43" s="133" t="s">
        <v>46</v>
      </c>
      <c r="D43" s="133" t="s">
        <v>60</v>
      </c>
      <c r="E43" s="134"/>
      <c r="F43" s="134">
        <f>34000000+71000000</f>
        <v>105000000</v>
      </c>
      <c r="G43" s="134"/>
      <c r="H43" s="135" t="s">
        <v>62</v>
      </c>
      <c r="I43" s="136" t="s">
        <v>872</v>
      </c>
      <c r="J43" s="150">
        <v>1</v>
      </c>
      <c r="K43" s="150">
        <v>1</v>
      </c>
      <c r="L43" s="150">
        <v>10</v>
      </c>
      <c r="M43" s="132">
        <f t="shared" si="0"/>
        <v>1</v>
      </c>
      <c r="N43" s="140" t="s">
        <v>36</v>
      </c>
      <c r="O43" s="141" t="str">
        <f>IF(ISBLANK(N43),"",VLOOKUP(N43,[1]Parámetros!$G$2:$H$23,2,FALSE))</f>
        <v xml:space="preserve">Contratación directa (con ofertas) </v>
      </c>
      <c r="P43" s="142">
        <f t="shared" si="8"/>
        <v>1</v>
      </c>
      <c r="Q43" s="143">
        <f t="shared" si="2"/>
        <v>105000000</v>
      </c>
      <c r="R43" s="143">
        <f t="shared" si="3"/>
        <v>105000000</v>
      </c>
      <c r="S43" s="144" t="s">
        <v>222</v>
      </c>
      <c r="T43" s="140">
        <f t="shared" si="9"/>
        <v>0</v>
      </c>
      <c r="U43" s="145" t="str">
        <f t="shared" si="5"/>
        <v>SUBDIRECCION DE GESTION CONTRACTUAL</v>
      </c>
      <c r="V43" s="132" t="str">
        <f t="shared" si="10"/>
        <v>CO-DC</v>
      </c>
      <c r="W43" s="145" t="str">
        <f t="shared" si="11"/>
        <v>Distrito Capital de Bogotá</v>
      </c>
      <c r="X43" s="146" t="s">
        <v>307</v>
      </c>
      <c r="Y43" s="132">
        <v>2427400</v>
      </c>
      <c r="Z43" s="148" t="s">
        <v>94</v>
      </c>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row>
    <row r="44" spans="1:85" s="7" customFormat="1" ht="12.75" customHeight="1" x14ac:dyDescent="0.2">
      <c r="A44" s="131" t="s">
        <v>32</v>
      </c>
      <c r="B44" s="132">
        <v>38</v>
      </c>
      <c r="C44" s="133" t="s">
        <v>46</v>
      </c>
      <c r="D44" s="133" t="s">
        <v>63</v>
      </c>
      <c r="E44" s="134"/>
      <c r="F44" s="134">
        <v>12000000</v>
      </c>
      <c r="G44" s="134"/>
      <c r="H44" s="154" t="s">
        <v>235</v>
      </c>
      <c r="I44" s="136" t="s">
        <v>600</v>
      </c>
      <c r="J44" s="147">
        <v>11</v>
      </c>
      <c r="K44" s="147">
        <v>11</v>
      </c>
      <c r="L44" s="147">
        <v>12</v>
      </c>
      <c r="M44" s="132">
        <f t="shared" si="0"/>
        <v>1</v>
      </c>
      <c r="N44" s="140" t="s">
        <v>53</v>
      </c>
      <c r="O44" s="141" t="str">
        <f>IF(ISBLANK(N44),"",VLOOKUP(N44,[1]Parámetros!$G$2:$H$23,2,FALSE))</f>
        <v>Seléccion abreviada - acuerdo marco</v>
      </c>
      <c r="P44" s="142">
        <f t="shared" si="8"/>
        <v>1</v>
      </c>
      <c r="Q44" s="143">
        <f t="shared" si="2"/>
        <v>12000000</v>
      </c>
      <c r="R44" s="143">
        <f t="shared" si="3"/>
        <v>12000000</v>
      </c>
      <c r="S44" s="144" t="s">
        <v>222</v>
      </c>
      <c r="T44" s="140">
        <f t="shared" si="9"/>
        <v>0</v>
      </c>
      <c r="U44" s="145" t="str">
        <f t="shared" si="5"/>
        <v>SUBDIRECCION DE GESTION CONTRACTUAL</v>
      </c>
      <c r="V44" s="132" t="str">
        <f t="shared" si="10"/>
        <v>CO-DC</v>
      </c>
      <c r="W44" s="145" t="str">
        <f t="shared" si="11"/>
        <v>Distrito Capital de Bogotá</v>
      </c>
      <c r="X44" s="154" t="s">
        <v>478</v>
      </c>
      <c r="Y44" s="147">
        <v>2427400</v>
      </c>
      <c r="Z44" s="157" t="s">
        <v>479</v>
      </c>
    </row>
    <row r="45" spans="1:85" s="152" customFormat="1" ht="13.9" customHeight="1" x14ac:dyDescent="0.2">
      <c r="A45" s="131" t="s">
        <v>32</v>
      </c>
      <c r="B45" s="132">
        <v>39</v>
      </c>
      <c r="C45" s="133" t="s">
        <v>46</v>
      </c>
      <c r="D45" s="133" t="s">
        <v>64</v>
      </c>
      <c r="E45" s="134"/>
      <c r="F45" s="134">
        <v>6384500</v>
      </c>
      <c r="G45" s="134"/>
      <c r="H45" s="135">
        <v>85122201</v>
      </c>
      <c r="I45" s="136" t="s">
        <v>871</v>
      </c>
      <c r="J45" s="147">
        <v>2</v>
      </c>
      <c r="K45" s="147">
        <v>2</v>
      </c>
      <c r="L45" s="147">
        <v>10</v>
      </c>
      <c r="M45" s="132">
        <f t="shared" si="0"/>
        <v>1</v>
      </c>
      <c r="N45" s="140" t="s">
        <v>48</v>
      </c>
      <c r="O45" s="141" t="str">
        <f>IF(ISBLANK(N45),"",VLOOKUP(N45,[1]Parámetros!$G$2:$H$23,2,FALSE))</f>
        <v>Mínima cuantía</v>
      </c>
      <c r="P45" s="142">
        <f t="shared" si="8"/>
        <v>1</v>
      </c>
      <c r="Q45" s="143">
        <f t="shared" si="2"/>
        <v>6384500</v>
      </c>
      <c r="R45" s="143">
        <f t="shared" si="3"/>
        <v>6384500</v>
      </c>
      <c r="S45" s="144" t="s">
        <v>222</v>
      </c>
      <c r="T45" s="140">
        <f t="shared" si="9"/>
        <v>0</v>
      </c>
      <c r="U45" s="145" t="str">
        <f t="shared" si="5"/>
        <v>SUBDIRECCION DE GESTION CONTRACTUAL</v>
      </c>
      <c r="V45" s="132" t="str">
        <f t="shared" si="10"/>
        <v>CO-DC</v>
      </c>
      <c r="W45" s="145" t="str">
        <f t="shared" si="11"/>
        <v>Distrito Capital de Bogotá</v>
      </c>
      <c r="X45" s="146" t="s">
        <v>40</v>
      </c>
      <c r="Y45" s="132">
        <v>2427418</v>
      </c>
      <c r="Z45" s="146" t="s">
        <v>41</v>
      </c>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row>
    <row r="46" spans="1:85" s="152" customFormat="1" ht="13.9" customHeight="1" x14ac:dyDescent="0.2">
      <c r="A46" s="131" t="s">
        <v>32</v>
      </c>
      <c r="B46" s="132">
        <v>40</v>
      </c>
      <c r="C46" s="133" t="s">
        <v>811</v>
      </c>
      <c r="D46" s="158" t="s">
        <v>844</v>
      </c>
      <c r="E46" s="134"/>
      <c r="F46" s="134">
        <f>200000000+950000000</f>
        <v>1150000000</v>
      </c>
      <c r="G46" s="134"/>
      <c r="H46" s="159" t="s">
        <v>812</v>
      </c>
      <c r="I46" s="136" t="s">
        <v>858</v>
      </c>
      <c r="J46" s="147">
        <v>2</v>
      </c>
      <c r="K46" s="147">
        <v>3</v>
      </c>
      <c r="L46" s="147">
        <v>9</v>
      </c>
      <c r="M46" s="132">
        <f t="shared" si="0"/>
        <v>1</v>
      </c>
      <c r="N46" s="140" t="s">
        <v>226</v>
      </c>
      <c r="O46" s="141" t="str">
        <f>IF(ISBLANK(N46),"",VLOOKUP(N46,[3]Parámetros!$G$2:$H$23,2,FALSE))</f>
        <v>Licitación pública</v>
      </c>
      <c r="P46" s="142">
        <f t="shared" si="8"/>
        <v>1</v>
      </c>
      <c r="Q46" s="143">
        <f t="shared" ref="Q46:Q54" si="12">IF(VALUE(E46+F46+G46)=0,"",E46+F46+G46)</f>
        <v>1150000000</v>
      </c>
      <c r="R46" s="143">
        <f t="shared" ref="R46:R54" si="13">IF(VALUE(F46)=0,"",F46)</f>
        <v>1150000000</v>
      </c>
      <c r="S46" s="144" t="s">
        <v>222</v>
      </c>
      <c r="T46" s="140">
        <f t="shared" si="9"/>
        <v>0</v>
      </c>
      <c r="U46" s="145" t="str">
        <f t="shared" si="5"/>
        <v>SUBDIRECCION DE GESTION CONTRACTUAL</v>
      </c>
      <c r="V46" s="132" t="str">
        <f t="shared" si="10"/>
        <v>CO-DC</v>
      </c>
      <c r="W46" s="145" t="str">
        <f t="shared" si="11"/>
        <v>Distrito Capital de Bogotá</v>
      </c>
      <c r="X46" s="146" t="s">
        <v>40</v>
      </c>
      <c r="Y46" s="132">
        <v>2427418</v>
      </c>
      <c r="Z46" s="146" t="s">
        <v>41</v>
      </c>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row>
    <row r="47" spans="1:85" s="152" customFormat="1" ht="13.9" customHeight="1" x14ac:dyDescent="0.2">
      <c r="A47" s="131" t="s">
        <v>32</v>
      </c>
      <c r="B47" s="132">
        <v>41</v>
      </c>
      <c r="C47" s="133" t="s">
        <v>811</v>
      </c>
      <c r="D47" s="158" t="s">
        <v>844</v>
      </c>
      <c r="E47" s="134"/>
      <c r="F47" s="134">
        <v>332987072</v>
      </c>
      <c r="G47" s="134"/>
      <c r="H47" s="135">
        <v>80111600</v>
      </c>
      <c r="I47" s="136" t="s">
        <v>848</v>
      </c>
      <c r="J47" s="147">
        <v>2</v>
      </c>
      <c r="K47" s="147">
        <v>1</v>
      </c>
      <c r="L47" s="147">
        <v>11</v>
      </c>
      <c r="M47" s="132">
        <f t="shared" si="0"/>
        <v>1</v>
      </c>
      <c r="N47" s="140" t="s">
        <v>216</v>
      </c>
      <c r="O47" s="141" t="str">
        <f>IF(ISBLANK(N47),"",VLOOKUP(N47,[3]Parámetros!$G$2:$H$23,2,FALSE))</f>
        <v>Contratación directa.</v>
      </c>
      <c r="P47" s="142">
        <f t="shared" si="8"/>
        <v>1</v>
      </c>
      <c r="Q47" s="143">
        <f t="shared" si="12"/>
        <v>332987072</v>
      </c>
      <c r="R47" s="143">
        <f t="shared" si="13"/>
        <v>332987072</v>
      </c>
      <c r="S47" s="144" t="s">
        <v>222</v>
      </c>
      <c r="T47" s="140">
        <f t="shared" si="9"/>
        <v>0</v>
      </c>
      <c r="U47" s="145" t="str">
        <f t="shared" si="5"/>
        <v>SUBDIRECCION DE GESTION CONTRACTUAL</v>
      </c>
      <c r="V47" s="132" t="str">
        <f t="shared" si="10"/>
        <v>CO-DC</v>
      </c>
      <c r="W47" s="145" t="str">
        <f t="shared" si="11"/>
        <v>Distrito Capital de Bogotá</v>
      </c>
      <c r="X47" s="146" t="s">
        <v>40</v>
      </c>
      <c r="Y47" s="132">
        <v>2427418</v>
      </c>
      <c r="Z47" s="146" t="s">
        <v>41</v>
      </c>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row>
    <row r="48" spans="1:85" s="152" customFormat="1" ht="13.9" customHeight="1" x14ac:dyDescent="0.2">
      <c r="A48" s="131" t="s">
        <v>32</v>
      </c>
      <c r="B48" s="132">
        <v>42</v>
      </c>
      <c r="C48" s="133" t="s">
        <v>811</v>
      </c>
      <c r="D48" s="158" t="s">
        <v>844</v>
      </c>
      <c r="E48" s="134"/>
      <c r="F48" s="134">
        <f>3467012928-950000000</f>
        <v>2517012928</v>
      </c>
      <c r="G48" s="134"/>
      <c r="H48" s="135" t="s">
        <v>228</v>
      </c>
      <c r="I48" s="259" t="s">
        <v>870</v>
      </c>
      <c r="J48" s="257">
        <v>3</v>
      </c>
      <c r="K48" s="257">
        <v>4</v>
      </c>
      <c r="L48" s="257">
        <v>8</v>
      </c>
      <c r="M48" s="132">
        <f t="shared" si="0"/>
        <v>1</v>
      </c>
      <c r="N48" s="140" t="s">
        <v>36</v>
      </c>
      <c r="O48" s="141" t="str">
        <f>IF(ISBLANK(N48),"",VLOOKUP(N48,[3]Parámetros!$G$2:$H$23,2,FALSE))</f>
        <v xml:space="preserve">Contratación directa (con ofertas) </v>
      </c>
      <c r="P48" s="142">
        <f t="shared" si="8"/>
        <v>1</v>
      </c>
      <c r="Q48" s="143">
        <f t="shared" si="12"/>
        <v>2517012928</v>
      </c>
      <c r="R48" s="143">
        <f t="shared" si="13"/>
        <v>2517012928</v>
      </c>
      <c r="S48" s="144" t="s">
        <v>222</v>
      </c>
      <c r="T48" s="140">
        <f t="shared" si="9"/>
        <v>0</v>
      </c>
      <c r="U48" s="145" t="str">
        <f t="shared" si="5"/>
        <v>SUBDIRECCION DE GESTION CONTRACTUAL</v>
      </c>
      <c r="V48" s="132" t="str">
        <f t="shared" si="10"/>
        <v>CO-DC</v>
      </c>
      <c r="W48" s="145" t="str">
        <f t="shared" si="11"/>
        <v>Distrito Capital de Bogotá</v>
      </c>
      <c r="X48" s="146" t="s">
        <v>40</v>
      </c>
      <c r="Y48" s="132">
        <v>2427418</v>
      </c>
      <c r="Z48" s="146" t="s">
        <v>41</v>
      </c>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row>
    <row r="49" spans="1:85" s="152" customFormat="1" ht="13.9" customHeight="1" x14ac:dyDescent="0.2">
      <c r="A49" s="131" t="s">
        <v>32</v>
      </c>
      <c r="B49" s="132">
        <v>43</v>
      </c>
      <c r="C49" s="133" t="s">
        <v>227</v>
      </c>
      <c r="D49" s="133" t="s">
        <v>34</v>
      </c>
      <c r="E49" s="134"/>
      <c r="F49" s="134">
        <f>300000000-50000000+750000000</f>
        <v>1000000000</v>
      </c>
      <c r="G49" s="134"/>
      <c r="H49" s="135" t="s">
        <v>812</v>
      </c>
      <c r="I49" s="261" t="s">
        <v>858</v>
      </c>
      <c r="J49" s="257">
        <v>2</v>
      </c>
      <c r="K49" s="257">
        <v>3</v>
      </c>
      <c r="L49" s="257">
        <v>9</v>
      </c>
      <c r="M49" s="132">
        <f t="shared" si="0"/>
        <v>1</v>
      </c>
      <c r="N49" s="140" t="s">
        <v>226</v>
      </c>
      <c r="O49" s="141" t="str">
        <f>IF(ISBLANK(N49),"",VLOOKUP(N49,[3]Parámetros!$G$2:$H$23,2,FALSE))</f>
        <v>Licitación pública</v>
      </c>
      <c r="P49" s="142">
        <f t="shared" si="8"/>
        <v>1</v>
      </c>
      <c r="Q49" s="143">
        <f t="shared" si="12"/>
        <v>1000000000</v>
      </c>
      <c r="R49" s="143">
        <f t="shared" si="13"/>
        <v>1000000000</v>
      </c>
      <c r="S49" s="144" t="s">
        <v>222</v>
      </c>
      <c r="T49" s="140">
        <f t="shared" si="9"/>
        <v>0</v>
      </c>
      <c r="U49" s="145" t="str">
        <f t="shared" si="5"/>
        <v>SUBDIRECCION DE GESTION CONTRACTUAL</v>
      </c>
      <c r="V49" s="132" t="str">
        <f t="shared" si="10"/>
        <v>CO-DC</v>
      </c>
      <c r="W49" s="145" t="str">
        <f t="shared" si="11"/>
        <v>Distrito Capital de Bogotá</v>
      </c>
      <c r="X49" s="146" t="s">
        <v>40</v>
      </c>
      <c r="Y49" s="132">
        <v>2427418</v>
      </c>
      <c r="Z49" s="146" t="s">
        <v>41</v>
      </c>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row>
    <row r="50" spans="1:85" s="152" customFormat="1" ht="13.9" customHeight="1" x14ac:dyDescent="0.2">
      <c r="A50" s="131" t="s">
        <v>32</v>
      </c>
      <c r="B50" s="132">
        <v>44</v>
      </c>
      <c r="C50" s="133" t="s">
        <v>229</v>
      </c>
      <c r="D50" s="133" t="s">
        <v>34</v>
      </c>
      <c r="E50" s="134"/>
      <c r="F50" s="134">
        <f>130000000+70000000</f>
        <v>200000000</v>
      </c>
      <c r="G50" s="134"/>
      <c r="H50" s="135" t="s">
        <v>813</v>
      </c>
      <c r="I50" s="260" t="s">
        <v>854</v>
      </c>
      <c r="J50" s="257">
        <v>3</v>
      </c>
      <c r="K50" s="257">
        <v>4</v>
      </c>
      <c r="L50" s="257">
        <v>1</v>
      </c>
      <c r="M50" s="132">
        <f t="shared" si="0"/>
        <v>1</v>
      </c>
      <c r="N50" s="140" t="s">
        <v>53</v>
      </c>
      <c r="O50" s="141" t="str">
        <f>IF(ISBLANK(N50),"",VLOOKUP(N50,[3]Parámetros!$G$2:$H$23,2,FALSE))</f>
        <v>Seléccion abreviada - acuerdo marco</v>
      </c>
      <c r="P50" s="142">
        <f t="shared" si="8"/>
        <v>1</v>
      </c>
      <c r="Q50" s="143">
        <f t="shared" si="12"/>
        <v>200000000</v>
      </c>
      <c r="R50" s="143">
        <f t="shared" si="13"/>
        <v>200000000</v>
      </c>
      <c r="S50" s="144" t="s">
        <v>222</v>
      </c>
      <c r="T50" s="140">
        <f t="shared" si="9"/>
        <v>0</v>
      </c>
      <c r="U50" s="145" t="str">
        <f t="shared" si="5"/>
        <v>SUBDIRECCION DE GESTION CONTRACTUAL</v>
      </c>
      <c r="V50" s="132" t="str">
        <f t="shared" si="10"/>
        <v>CO-DC</v>
      </c>
      <c r="W50" s="145" t="str">
        <f t="shared" si="11"/>
        <v>Distrito Capital de Bogotá</v>
      </c>
      <c r="X50" s="146" t="s">
        <v>40</v>
      </c>
      <c r="Y50" s="132">
        <v>2427418</v>
      </c>
      <c r="Z50" s="146" t="s">
        <v>41</v>
      </c>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row>
    <row r="51" spans="1:85" s="7" customFormat="1" ht="12.75" customHeight="1" x14ac:dyDescent="0.25">
      <c r="A51" s="131" t="s">
        <v>32</v>
      </c>
      <c r="B51" s="132">
        <v>45</v>
      </c>
      <c r="C51" s="133" t="s">
        <v>227</v>
      </c>
      <c r="D51" s="133" t="s">
        <v>34</v>
      </c>
      <c r="E51" s="134"/>
      <c r="F51" s="134">
        <v>500000000</v>
      </c>
      <c r="G51" s="134"/>
      <c r="H51" s="154">
        <v>93141700</v>
      </c>
      <c r="I51" s="261" t="s">
        <v>869</v>
      </c>
      <c r="J51" s="262">
        <v>3</v>
      </c>
      <c r="K51" s="257">
        <v>4</v>
      </c>
      <c r="L51" s="262">
        <v>7</v>
      </c>
      <c r="M51" s="132">
        <f t="shared" si="0"/>
        <v>1</v>
      </c>
      <c r="N51" s="140" t="s">
        <v>36</v>
      </c>
      <c r="O51" s="141" t="str">
        <f>IF(ISBLANK(N51),"",VLOOKUP(N51,[4]Parámetros!$G$2:$H$23,2,FALSE))</f>
        <v xml:space="preserve">Contratación directa (con ofertas) </v>
      </c>
      <c r="P51" s="142">
        <f t="shared" si="8"/>
        <v>1</v>
      </c>
      <c r="Q51" s="143">
        <f t="shared" si="12"/>
        <v>500000000</v>
      </c>
      <c r="R51" s="143">
        <f t="shared" si="13"/>
        <v>500000000</v>
      </c>
      <c r="S51" s="144" t="s">
        <v>222</v>
      </c>
      <c r="T51" s="140">
        <f t="shared" ref="T51:T54" si="14">IF(ISBLANK(S51),"",IF(VALUE(S51)=0,0,IF(VALUE(S51)=1,3,"")))</f>
        <v>0</v>
      </c>
      <c r="U51" s="145" t="str">
        <f t="shared" si="5"/>
        <v>SUBDIRECCION DE GESTION CONTRACTUAL</v>
      </c>
      <c r="V51" s="132" t="str">
        <f t="shared" si="10"/>
        <v>CO-DC</v>
      </c>
      <c r="W51" s="145" t="str">
        <f t="shared" si="11"/>
        <v>Distrito Capital de Bogotá</v>
      </c>
      <c r="X51" s="146" t="s">
        <v>40</v>
      </c>
      <c r="Y51" s="132">
        <v>2427418</v>
      </c>
      <c r="Z51" s="128" t="s">
        <v>41</v>
      </c>
    </row>
    <row r="52" spans="1:85" s="7" customFormat="1" ht="12.75" customHeight="1" x14ac:dyDescent="0.25">
      <c r="A52" s="131" t="s">
        <v>32</v>
      </c>
      <c r="B52" s="132">
        <v>46</v>
      </c>
      <c r="C52" s="133" t="s">
        <v>45</v>
      </c>
      <c r="D52" s="133" t="s">
        <v>34</v>
      </c>
      <c r="E52" s="134"/>
      <c r="F52" s="134">
        <v>1000000000</v>
      </c>
      <c r="G52" s="134"/>
      <c r="H52" s="154" t="s">
        <v>228</v>
      </c>
      <c r="I52" s="136" t="s">
        <v>855</v>
      </c>
      <c r="J52" s="147">
        <v>4</v>
      </c>
      <c r="K52" s="147">
        <v>4</v>
      </c>
      <c r="L52" s="147">
        <v>7</v>
      </c>
      <c r="M52" s="132">
        <f t="shared" si="0"/>
        <v>1</v>
      </c>
      <c r="N52" s="140" t="s">
        <v>36</v>
      </c>
      <c r="O52" s="141" t="str">
        <f>IF(ISBLANK(N52),"",VLOOKUP(N52,[5]Parámetros!$G$2:$H$23,2,FALSE))</f>
        <v xml:space="preserve">Contratación directa (con ofertas) </v>
      </c>
      <c r="P52" s="142">
        <f t="shared" si="8"/>
        <v>1</v>
      </c>
      <c r="Q52" s="143">
        <f t="shared" si="12"/>
        <v>1000000000</v>
      </c>
      <c r="R52" s="143">
        <f t="shared" si="13"/>
        <v>1000000000</v>
      </c>
      <c r="S52" s="144" t="s">
        <v>222</v>
      </c>
      <c r="T52" s="140">
        <f t="shared" si="14"/>
        <v>0</v>
      </c>
      <c r="U52" s="145" t="str">
        <f t="shared" si="5"/>
        <v>SUBDIRECCION DE GESTION CONTRACTUAL</v>
      </c>
      <c r="V52" s="132" t="str">
        <f t="shared" si="10"/>
        <v>CO-DC</v>
      </c>
      <c r="W52" s="145" t="str">
        <f t="shared" si="11"/>
        <v>Distrito Capital de Bogotá</v>
      </c>
      <c r="X52" s="146" t="s">
        <v>40</v>
      </c>
      <c r="Y52" s="132">
        <v>2427419</v>
      </c>
      <c r="Z52" s="128" t="s">
        <v>41</v>
      </c>
    </row>
    <row r="53" spans="1:85" s="7" customFormat="1" ht="12.75" customHeight="1" x14ac:dyDescent="0.25">
      <c r="A53" s="131" t="s">
        <v>32</v>
      </c>
      <c r="B53" s="132">
        <v>47</v>
      </c>
      <c r="C53" s="133" t="s">
        <v>45</v>
      </c>
      <c r="D53" s="133" t="s">
        <v>34</v>
      </c>
      <c r="E53" s="134"/>
      <c r="F53" s="134">
        <v>1647788700</v>
      </c>
      <c r="G53" s="134"/>
      <c r="H53" s="154" t="s">
        <v>228</v>
      </c>
      <c r="I53" s="136" t="s">
        <v>856</v>
      </c>
      <c r="J53" s="147">
        <v>4</v>
      </c>
      <c r="K53" s="147">
        <v>4</v>
      </c>
      <c r="L53" s="147">
        <v>7</v>
      </c>
      <c r="M53" s="132">
        <f t="shared" si="0"/>
        <v>1</v>
      </c>
      <c r="N53" s="140" t="s">
        <v>36</v>
      </c>
      <c r="O53" s="141" t="str">
        <f>IF(ISBLANK(N53),"",VLOOKUP(N53,[5]Parámetros!$G$2:$H$23,2,FALSE))</f>
        <v xml:space="preserve">Contratación directa (con ofertas) </v>
      </c>
      <c r="P53" s="142">
        <f t="shared" si="8"/>
        <v>1</v>
      </c>
      <c r="Q53" s="143">
        <f t="shared" si="12"/>
        <v>1647788700</v>
      </c>
      <c r="R53" s="143">
        <f t="shared" si="13"/>
        <v>1647788700</v>
      </c>
      <c r="S53" s="144" t="s">
        <v>222</v>
      </c>
      <c r="T53" s="140">
        <f t="shared" si="14"/>
        <v>0</v>
      </c>
      <c r="U53" s="145" t="str">
        <f t="shared" si="5"/>
        <v>SUBDIRECCION DE GESTION CONTRACTUAL</v>
      </c>
      <c r="V53" s="132" t="str">
        <f t="shared" si="10"/>
        <v>CO-DC</v>
      </c>
      <c r="W53" s="145" t="str">
        <f t="shared" si="11"/>
        <v>Distrito Capital de Bogotá</v>
      </c>
      <c r="X53" s="146" t="s">
        <v>40</v>
      </c>
      <c r="Y53" s="132">
        <v>2427420</v>
      </c>
      <c r="Z53" s="128" t="s">
        <v>41</v>
      </c>
    </row>
    <row r="54" spans="1:85" s="7" customFormat="1" ht="12.75" customHeight="1" x14ac:dyDescent="0.25">
      <c r="A54" s="131" t="s">
        <v>32</v>
      </c>
      <c r="B54" s="132">
        <v>48</v>
      </c>
      <c r="C54" s="133" t="s">
        <v>229</v>
      </c>
      <c r="D54" s="133" t="s">
        <v>34</v>
      </c>
      <c r="E54" s="134"/>
      <c r="F54" s="134">
        <v>200000000</v>
      </c>
      <c r="G54" s="134"/>
      <c r="H54" s="154">
        <v>43211500</v>
      </c>
      <c r="I54" s="136" t="s">
        <v>857</v>
      </c>
      <c r="J54" s="147">
        <v>4</v>
      </c>
      <c r="K54" s="147">
        <v>4</v>
      </c>
      <c r="L54" s="147">
        <v>1</v>
      </c>
      <c r="M54" s="132">
        <f t="shared" si="0"/>
        <v>1</v>
      </c>
      <c r="N54" s="140" t="s">
        <v>53</v>
      </c>
      <c r="O54" s="141" t="str">
        <f>IF(ISBLANK(N54),"",VLOOKUP(N54,[5]Parámetros!$G$2:$H$23,2,FALSE))</f>
        <v>Seléccion abreviada - acuerdo marco</v>
      </c>
      <c r="P54" s="142">
        <f t="shared" si="8"/>
        <v>1</v>
      </c>
      <c r="Q54" s="143">
        <f t="shared" si="12"/>
        <v>200000000</v>
      </c>
      <c r="R54" s="143">
        <f t="shared" si="13"/>
        <v>200000000</v>
      </c>
      <c r="S54" s="144" t="s">
        <v>222</v>
      </c>
      <c r="T54" s="140">
        <f t="shared" si="14"/>
        <v>0</v>
      </c>
      <c r="U54" s="145" t="str">
        <f t="shared" si="5"/>
        <v>SUBDIRECCION DE GESTION CONTRACTUAL</v>
      </c>
      <c r="V54" s="132" t="str">
        <f t="shared" si="10"/>
        <v>CO-DC</v>
      </c>
      <c r="W54" s="145" t="str">
        <f t="shared" si="11"/>
        <v>Distrito Capital de Bogotá</v>
      </c>
      <c r="X54" s="146" t="s">
        <v>40</v>
      </c>
      <c r="Y54" s="132">
        <v>2427421</v>
      </c>
      <c r="Z54" s="128" t="s">
        <v>41</v>
      </c>
    </row>
    <row r="55" spans="1:85" s="7" customFormat="1" ht="14.25" x14ac:dyDescent="0.2">
      <c r="A55" s="131" t="s">
        <v>176</v>
      </c>
      <c r="B55" s="132">
        <v>1</v>
      </c>
      <c r="C55" s="133" t="s">
        <v>236</v>
      </c>
      <c r="D55" s="133" t="s">
        <v>88</v>
      </c>
      <c r="E55" s="134"/>
      <c r="F55" s="134">
        <v>270000000</v>
      </c>
      <c r="G55" s="134"/>
      <c r="H55" s="135">
        <v>80111600</v>
      </c>
      <c r="I55" s="136" t="s">
        <v>237</v>
      </c>
      <c r="J55" s="137">
        <v>1</v>
      </c>
      <c r="K55" s="138">
        <v>1</v>
      </c>
      <c r="L55" s="139">
        <v>12</v>
      </c>
      <c r="M55" s="132">
        <f t="shared" si="0"/>
        <v>1</v>
      </c>
      <c r="N55" s="140" t="s">
        <v>216</v>
      </c>
      <c r="O55" s="141" t="str">
        <f>IF(ISBLANK(N55),"",VLOOKUP(N55,[6]Parámetros!$G$2:$H$23,2,FALSE))</f>
        <v>Contratación directa.</v>
      </c>
      <c r="P55" s="142">
        <f t="shared" si="8"/>
        <v>1</v>
      </c>
      <c r="Q55" s="143">
        <f t="shared" si="2"/>
        <v>270000000</v>
      </c>
      <c r="R55" s="143">
        <f t="shared" si="3"/>
        <v>270000000</v>
      </c>
      <c r="S55" s="144" t="s">
        <v>222</v>
      </c>
      <c r="T55" s="140">
        <f t="shared" si="9"/>
        <v>0</v>
      </c>
      <c r="U55" s="145" t="str">
        <f t="shared" si="5"/>
        <v>SUBDIRECCION DE GESTION CONTRACTUAL</v>
      </c>
      <c r="V55" s="132" t="str">
        <f t="shared" si="10"/>
        <v>CO-DC</v>
      </c>
      <c r="W55" s="145" t="str">
        <f t="shared" si="11"/>
        <v>Distrito Capital de Bogotá</v>
      </c>
      <c r="X55" s="146" t="s">
        <v>177</v>
      </c>
      <c r="Y55" s="132">
        <v>2427400</v>
      </c>
      <c r="Z55" s="148" t="s">
        <v>178</v>
      </c>
    </row>
    <row r="56" spans="1:85" s="7" customFormat="1" ht="12.75" customHeight="1" x14ac:dyDescent="0.2">
      <c r="A56" s="131" t="s">
        <v>176</v>
      </c>
      <c r="B56" s="132">
        <v>2</v>
      </c>
      <c r="C56" s="133" t="s">
        <v>236</v>
      </c>
      <c r="D56" s="133" t="s">
        <v>88</v>
      </c>
      <c r="E56" s="134"/>
      <c r="F56" s="134">
        <v>400000000</v>
      </c>
      <c r="G56" s="134"/>
      <c r="H56" s="135" t="s">
        <v>752</v>
      </c>
      <c r="I56" s="136" t="s">
        <v>238</v>
      </c>
      <c r="J56" s="137">
        <v>2</v>
      </c>
      <c r="K56" s="138">
        <v>3</v>
      </c>
      <c r="L56" s="139">
        <v>9</v>
      </c>
      <c r="M56" s="132">
        <f t="shared" si="0"/>
        <v>1</v>
      </c>
      <c r="N56" s="140" t="s">
        <v>226</v>
      </c>
      <c r="O56" s="141" t="str">
        <f>IF(ISBLANK(N56),"",VLOOKUP(N56,[6]Parámetros!$G$2:$H$23,2,FALSE))</f>
        <v>Licitación pública</v>
      </c>
      <c r="P56" s="142">
        <f t="shared" si="8"/>
        <v>1</v>
      </c>
      <c r="Q56" s="143">
        <f t="shared" si="2"/>
        <v>400000000</v>
      </c>
      <c r="R56" s="143">
        <f t="shared" si="3"/>
        <v>400000000</v>
      </c>
      <c r="S56" s="144" t="s">
        <v>222</v>
      </c>
      <c r="T56" s="140">
        <f t="shared" si="9"/>
        <v>0</v>
      </c>
      <c r="U56" s="145" t="str">
        <f t="shared" si="5"/>
        <v>SUBDIRECCION DE GESTION CONTRACTUAL</v>
      </c>
      <c r="V56" s="132" t="str">
        <f t="shared" si="10"/>
        <v>CO-DC</v>
      </c>
      <c r="W56" s="145" t="str">
        <f t="shared" si="11"/>
        <v>Distrito Capital de Bogotá</v>
      </c>
      <c r="X56" s="146" t="s">
        <v>177</v>
      </c>
      <c r="Y56" s="132">
        <v>2427400</v>
      </c>
      <c r="Z56" s="148" t="s">
        <v>178</v>
      </c>
    </row>
    <row r="57" spans="1:85" s="7" customFormat="1" ht="12.75" customHeight="1" x14ac:dyDescent="0.2">
      <c r="A57" s="131" t="s">
        <v>176</v>
      </c>
      <c r="B57" s="132">
        <v>3</v>
      </c>
      <c r="C57" s="133" t="s">
        <v>236</v>
      </c>
      <c r="D57" s="133" t="s">
        <v>88</v>
      </c>
      <c r="E57" s="134"/>
      <c r="F57" s="134">
        <v>6174796609</v>
      </c>
      <c r="G57" s="134"/>
      <c r="H57" s="135" t="s">
        <v>753</v>
      </c>
      <c r="I57" s="136" t="s">
        <v>239</v>
      </c>
      <c r="J57" s="137">
        <v>4</v>
      </c>
      <c r="K57" s="138">
        <v>4</v>
      </c>
      <c r="L57" s="139">
        <v>7</v>
      </c>
      <c r="M57" s="132">
        <f t="shared" si="0"/>
        <v>1</v>
      </c>
      <c r="N57" s="140" t="s">
        <v>36</v>
      </c>
      <c r="O57" s="141" t="str">
        <f>IF(ISBLANK(N57),"",VLOOKUP(N57,[6]Parámetros!$G$2:$H$23,2,FALSE))</f>
        <v xml:space="preserve">Contratación directa (con ofertas) </v>
      </c>
      <c r="P57" s="142">
        <f t="shared" si="8"/>
        <v>1</v>
      </c>
      <c r="Q57" s="143">
        <f t="shared" si="2"/>
        <v>6174796609</v>
      </c>
      <c r="R57" s="143">
        <f t="shared" si="3"/>
        <v>6174796609</v>
      </c>
      <c r="S57" s="144" t="s">
        <v>222</v>
      </c>
      <c r="T57" s="140">
        <f t="shared" si="9"/>
        <v>0</v>
      </c>
      <c r="U57" s="145" t="str">
        <f t="shared" si="5"/>
        <v>SUBDIRECCION DE GESTION CONTRACTUAL</v>
      </c>
      <c r="V57" s="132" t="str">
        <f t="shared" si="10"/>
        <v>CO-DC</v>
      </c>
      <c r="W57" s="145" t="str">
        <f t="shared" si="11"/>
        <v>Distrito Capital de Bogotá</v>
      </c>
      <c r="X57" s="146" t="s">
        <v>177</v>
      </c>
      <c r="Y57" s="132">
        <v>2427400</v>
      </c>
      <c r="Z57" s="148" t="s">
        <v>178</v>
      </c>
    </row>
    <row r="58" spans="1:85" s="7" customFormat="1" ht="12.75" customHeight="1" x14ac:dyDescent="0.2">
      <c r="A58" s="131" t="s">
        <v>176</v>
      </c>
      <c r="B58" s="132">
        <v>4</v>
      </c>
      <c r="C58" s="133" t="s">
        <v>236</v>
      </c>
      <c r="D58" s="133" t="s">
        <v>88</v>
      </c>
      <c r="E58" s="134"/>
      <c r="F58" s="134">
        <v>50000000</v>
      </c>
      <c r="G58" s="134"/>
      <c r="H58" s="135" t="s">
        <v>42</v>
      </c>
      <c r="I58" s="136" t="s">
        <v>261</v>
      </c>
      <c r="J58" s="137">
        <v>3</v>
      </c>
      <c r="K58" s="138">
        <v>4</v>
      </c>
      <c r="L58" s="139">
        <v>9</v>
      </c>
      <c r="M58" s="132">
        <f t="shared" si="0"/>
        <v>1</v>
      </c>
      <c r="N58" s="140" t="s">
        <v>61</v>
      </c>
      <c r="O58" s="141" t="str">
        <f>IF(ISBLANK(N58),"",VLOOKUP(N58,[1]Parámetros!$G$2:$H$23,2,FALSE))</f>
        <v>Contratación régimen especial - Selección de comisionista</v>
      </c>
      <c r="P58" s="142">
        <f t="shared" si="8"/>
        <v>1</v>
      </c>
      <c r="Q58" s="143">
        <f t="shared" si="2"/>
        <v>50000000</v>
      </c>
      <c r="R58" s="143">
        <f t="shared" si="3"/>
        <v>50000000</v>
      </c>
      <c r="S58" s="144" t="s">
        <v>222</v>
      </c>
      <c r="T58" s="140">
        <f t="shared" si="9"/>
        <v>0</v>
      </c>
      <c r="U58" s="145" t="str">
        <f t="shared" si="5"/>
        <v>SUBDIRECCION DE GESTION CONTRACTUAL</v>
      </c>
      <c r="V58" s="132" t="str">
        <f t="shared" si="10"/>
        <v>CO-DC</v>
      </c>
      <c r="W58" s="145" t="str">
        <f t="shared" si="11"/>
        <v>Distrito Capital de Bogotá</v>
      </c>
      <c r="X58" s="146" t="s">
        <v>331</v>
      </c>
      <c r="Y58" s="132">
        <v>2427400</v>
      </c>
      <c r="Z58" s="148" t="s">
        <v>75</v>
      </c>
    </row>
    <row r="59" spans="1:85" s="7" customFormat="1" ht="12.75" customHeight="1" x14ac:dyDescent="0.2">
      <c r="A59" s="131" t="s">
        <v>176</v>
      </c>
      <c r="B59" s="132">
        <v>5</v>
      </c>
      <c r="C59" s="133" t="s">
        <v>240</v>
      </c>
      <c r="D59" s="133" t="s">
        <v>179</v>
      </c>
      <c r="E59" s="134"/>
      <c r="F59" s="134">
        <v>2000000000</v>
      </c>
      <c r="G59" s="134"/>
      <c r="H59" s="135">
        <v>80111600</v>
      </c>
      <c r="I59" s="136" t="s">
        <v>237</v>
      </c>
      <c r="J59" s="137">
        <v>1</v>
      </c>
      <c r="K59" s="138">
        <v>1</v>
      </c>
      <c r="L59" s="139">
        <v>12</v>
      </c>
      <c r="M59" s="132">
        <f t="shared" si="0"/>
        <v>1</v>
      </c>
      <c r="N59" s="140" t="s">
        <v>216</v>
      </c>
      <c r="O59" s="141" t="str">
        <f>IF(ISBLANK(N59),"",VLOOKUP(N59,[6]Parámetros!$G$2:$H$23,2,FALSE))</f>
        <v>Contratación directa.</v>
      </c>
      <c r="P59" s="142">
        <f t="shared" si="8"/>
        <v>1</v>
      </c>
      <c r="Q59" s="143">
        <f t="shared" si="2"/>
        <v>2000000000</v>
      </c>
      <c r="R59" s="143">
        <f t="shared" si="3"/>
        <v>2000000000</v>
      </c>
      <c r="S59" s="144" t="s">
        <v>222</v>
      </c>
      <c r="T59" s="140">
        <f t="shared" si="9"/>
        <v>0</v>
      </c>
      <c r="U59" s="145" t="str">
        <f t="shared" si="5"/>
        <v>SUBDIRECCION DE GESTION CONTRACTUAL</v>
      </c>
      <c r="V59" s="132" t="str">
        <f t="shared" si="10"/>
        <v>CO-DC</v>
      </c>
      <c r="W59" s="145" t="str">
        <f t="shared" si="11"/>
        <v>Distrito Capital de Bogotá</v>
      </c>
      <c r="X59" s="146" t="s">
        <v>177</v>
      </c>
      <c r="Y59" s="132">
        <v>2427400</v>
      </c>
      <c r="Z59" s="148" t="s">
        <v>178</v>
      </c>
    </row>
    <row r="60" spans="1:85" s="7" customFormat="1" ht="12.75" customHeight="1" x14ac:dyDescent="0.2">
      <c r="A60" s="131" t="s">
        <v>176</v>
      </c>
      <c r="B60" s="132">
        <v>6</v>
      </c>
      <c r="C60" s="133" t="s">
        <v>240</v>
      </c>
      <c r="D60" s="133" t="s">
        <v>179</v>
      </c>
      <c r="E60" s="134"/>
      <c r="F60" s="134">
        <v>950000000</v>
      </c>
      <c r="G60" s="134"/>
      <c r="H60" s="135" t="s">
        <v>752</v>
      </c>
      <c r="I60" s="136" t="s">
        <v>238</v>
      </c>
      <c r="J60" s="137">
        <v>2</v>
      </c>
      <c r="K60" s="138">
        <v>3</v>
      </c>
      <c r="L60" s="139">
        <v>9</v>
      </c>
      <c r="M60" s="132">
        <f t="shared" si="0"/>
        <v>1</v>
      </c>
      <c r="N60" s="140" t="s">
        <v>226</v>
      </c>
      <c r="O60" s="141" t="str">
        <f>IF(ISBLANK(N60),"",VLOOKUP(N60,[6]Parámetros!$G$2:$H$23,2,FALSE))</f>
        <v>Licitación pública</v>
      </c>
      <c r="P60" s="142">
        <f t="shared" si="8"/>
        <v>1</v>
      </c>
      <c r="Q60" s="143">
        <f t="shared" si="2"/>
        <v>950000000</v>
      </c>
      <c r="R60" s="143">
        <f t="shared" si="3"/>
        <v>950000000</v>
      </c>
      <c r="S60" s="144" t="s">
        <v>222</v>
      </c>
      <c r="T60" s="140">
        <f t="shared" si="9"/>
        <v>0</v>
      </c>
      <c r="U60" s="145" t="str">
        <f t="shared" si="5"/>
        <v>SUBDIRECCION DE GESTION CONTRACTUAL</v>
      </c>
      <c r="V60" s="132" t="str">
        <f t="shared" si="10"/>
        <v>CO-DC</v>
      </c>
      <c r="W60" s="145" t="str">
        <f t="shared" si="11"/>
        <v>Distrito Capital de Bogotá</v>
      </c>
      <c r="X60" s="146" t="s">
        <v>177</v>
      </c>
      <c r="Y60" s="132">
        <v>2427400</v>
      </c>
      <c r="Z60" s="148" t="s">
        <v>178</v>
      </c>
    </row>
    <row r="61" spans="1:85" s="7" customFormat="1" ht="12.75" customHeight="1" x14ac:dyDescent="0.2">
      <c r="A61" s="131" t="s">
        <v>176</v>
      </c>
      <c r="B61" s="132">
        <v>7</v>
      </c>
      <c r="C61" s="133" t="s">
        <v>240</v>
      </c>
      <c r="D61" s="133" t="s">
        <v>179</v>
      </c>
      <c r="E61" s="134"/>
      <c r="F61" s="134">
        <v>350000000</v>
      </c>
      <c r="G61" s="134"/>
      <c r="H61" s="135" t="s">
        <v>753</v>
      </c>
      <c r="I61" s="136" t="s">
        <v>241</v>
      </c>
      <c r="J61" s="137">
        <v>5</v>
      </c>
      <c r="K61" s="138">
        <v>5</v>
      </c>
      <c r="L61" s="139">
        <v>6</v>
      </c>
      <c r="M61" s="132">
        <f t="shared" si="0"/>
        <v>1</v>
      </c>
      <c r="N61" s="140" t="s">
        <v>36</v>
      </c>
      <c r="O61" s="141" t="str">
        <f>IF(ISBLANK(N61),"",VLOOKUP(N61,[6]Parámetros!$G$2:$H$23,2,FALSE))</f>
        <v xml:space="preserve">Contratación directa (con ofertas) </v>
      </c>
      <c r="P61" s="142">
        <f t="shared" si="8"/>
        <v>1</v>
      </c>
      <c r="Q61" s="143">
        <f t="shared" si="2"/>
        <v>350000000</v>
      </c>
      <c r="R61" s="143">
        <f t="shared" si="3"/>
        <v>350000000</v>
      </c>
      <c r="S61" s="144" t="s">
        <v>222</v>
      </c>
      <c r="T61" s="140">
        <f t="shared" si="9"/>
        <v>0</v>
      </c>
      <c r="U61" s="145" t="str">
        <f t="shared" si="5"/>
        <v>SUBDIRECCION DE GESTION CONTRACTUAL</v>
      </c>
      <c r="V61" s="132" t="str">
        <f t="shared" si="10"/>
        <v>CO-DC</v>
      </c>
      <c r="W61" s="145" t="str">
        <f t="shared" si="11"/>
        <v>Distrito Capital de Bogotá</v>
      </c>
      <c r="X61" s="146" t="s">
        <v>177</v>
      </c>
      <c r="Y61" s="132">
        <v>2427400</v>
      </c>
      <c r="Z61" s="148" t="s">
        <v>178</v>
      </c>
    </row>
    <row r="62" spans="1:85" s="7" customFormat="1" ht="12.75" customHeight="1" x14ac:dyDescent="0.2">
      <c r="A62" s="131" t="s">
        <v>176</v>
      </c>
      <c r="B62" s="132">
        <v>8</v>
      </c>
      <c r="C62" s="133" t="s">
        <v>240</v>
      </c>
      <c r="D62" s="133" t="s">
        <v>179</v>
      </c>
      <c r="E62" s="134"/>
      <c r="F62" s="134">
        <v>200000000</v>
      </c>
      <c r="G62" s="134"/>
      <c r="H62" s="135" t="s">
        <v>753</v>
      </c>
      <c r="I62" s="136" t="s">
        <v>242</v>
      </c>
      <c r="J62" s="137">
        <v>5</v>
      </c>
      <c r="K62" s="138">
        <v>5</v>
      </c>
      <c r="L62" s="139">
        <v>6</v>
      </c>
      <c r="M62" s="132">
        <f t="shared" si="0"/>
        <v>1</v>
      </c>
      <c r="N62" s="140" t="s">
        <v>36</v>
      </c>
      <c r="O62" s="141" t="str">
        <f>IF(ISBLANK(N62),"",VLOOKUP(N62,[6]Parámetros!$G$2:$H$23,2,FALSE))</f>
        <v xml:space="preserve">Contratación directa (con ofertas) </v>
      </c>
      <c r="P62" s="142">
        <f t="shared" si="8"/>
        <v>1</v>
      </c>
      <c r="Q62" s="143">
        <f t="shared" si="2"/>
        <v>200000000</v>
      </c>
      <c r="R62" s="143">
        <f t="shared" si="3"/>
        <v>200000000</v>
      </c>
      <c r="S62" s="144" t="s">
        <v>222</v>
      </c>
      <c r="T62" s="140">
        <f t="shared" si="9"/>
        <v>0</v>
      </c>
      <c r="U62" s="145" t="str">
        <f t="shared" si="5"/>
        <v>SUBDIRECCION DE GESTION CONTRACTUAL</v>
      </c>
      <c r="V62" s="132" t="str">
        <f t="shared" si="10"/>
        <v>CO-DC</v>
      </c>
      <c r="W62" s="145" t="str">
        <f t="shared" si="11"/>
        <v>Distrito Capital de Bogotá</v>
      </c>
      <c r="X62" s="146" t="s">
        <v>177</v>
      </c>
      <c r="Y62" s="132">
        <v>2427400</v>
      </c>
      <c r="Z62" s="148" t="s">
        <v>178</v>
      </c>
    </row>
    <row r="63" spans="1:85" s="7" customFormat="1" ht="12.75" customHeight="1" x14ac:dyDescent="0.2">
      <c r="A63" s="131" t="s">
        <v>176</v>
      </c>
      <c r="B63" s="132">
        <v>9</v>
      </c>
      <c r="C63" s="133" t="s">
        <v>240</v>
      </c>
      <c r="D63" s="133" t="s">
        <v>179</v>
      </c>
      <c r="E63" s="134"/>
      <c r="F63" s="134">
        <v>800000000</v>
      </c>
      <c r="G63" s="134"/>
      <c r="H63" s="135" t="s">
        <v>753</v>
      </c>
      <c r="I63" s="136" t="s">
        <v>243</v>
      </c>
      <c r="J63" s="137">
        <v>5</v>
      </c>
      <c r="K63" s="138">
        <v>5</v>
      </c>
      <c r="L63" s="139">
        <v>6</v>
      </c>
      <c r="M63" s="132">
        <f t="shared" si="0"/>
        <v>1</v>
      </c>
      <c r="N63" s="140" t="s">
        <v>36</v>
      </c>
      <c r="O63" s="141" t="str">
        <f>IF(ISBLANK(N63),"",VLOOKUP(N63,[6]Parámetros!$G$2:$H$23,2,FALSE))</f>
        <v xml:space="preserve">Contratación directa (con ofertas) </v>
      </c>
      <c r="P63" s="142">
        <f t="shared" si="8"/>
        <v>1</v>
      </c>
      <c r="Q63" s="143">
        <f t="shared" si="2"/>
        <v>800000000</v>
      </c>
      <c r="R63" s="143">
        <f t="shared" si="3"/>
        <v>800000000</v>
      </c>
      <c r="S63" s="144" t="s">
        <v>222</v>
      </c>
      <c r="T63" s="140">
        <f t="shared" si="9"/>
        <v>0</v>
      </c>
      <c r="U63" s="145" t="str">
        <f t="shared" si="5"/>
        <v>SUBDIRECCION DE GESTION CONTRACTUAL</v>
      </c>
      <c r="V63" s="132" t="str">
        <f t="shared" si="10"/>
        <v>CO-DC</v>
      </c>
      <c r="W63" s="145" t="str">
        <f t="shared" si="11"/>
        <v>Distrito Capital de Bogotá</v>
      </c>
      <c r="X63" s="146" t="s">
        <v>177</v>
      </c>
      <c r="Y63" s="132">
        <v>2427400</v>
      </c>
      <c r="Z63" s="148" t="s">
        <v>178</v>
      </c>
    </row>
    <row r="64" spans="1:85" s="7" customFormat="1" ht="12.75" customHeight="1" x14ac:dyDescent="0.2">
      <c r="A64" s="131" t="s">
        <v>176</v>
      </c>
      <c r="B64" s="132">
        <v>10</v>
      </c>
      <c r="C64" s="133" t="s">
        <v>244</v>
      </c>
      <c r="D64" s="133" t="s">
        <v>179</v>
      </c>
      <c r="E64" s="134"/>
      <c r="F64" s="134">
        <v>2060000000</v>
      </c>
      <c r="G64" s="134"/>
      <c r="H64" s="135">
        <v>80111600</v>
      </c>
      <c r="I64" s="136" t="s">
        <v>237</v>
      </c>
      <c r="J64" s="137">
        <v>1</v>
      </c>
      <c r="K64" s="138">
        <v>1</v>
      </c>
      <c r="L64" s="139">
        <v>12</v>
      </c>
      <c r="M64" s="132">
        <f t="shared" si="0"/>
        <v>1</v>
      </c>
      <c r="N64" s="140" t="s">
        <v>216</v>
      </c>
      <c r="O64" s="141" t="str">
        <f>IF(ISBLANK(N64),"",VLOOKUP(N64,[6]Parámetros!$G$2:$H$23,2,FALSE))</f>
        <v>Contratación directa.</v>
      </c>
      <c r="P64" s="142">
        <f t="shared" si="8"/>
        <v>1</v>
      </c>
      <c r="Q64" s="143">
        <f t="shared" si="2"/>
        <v>2060000000</v>
      </c>
      <c r="R64" s="143">
        <f t="shared" si="3"/>
        <v>2060000000</v>
      </c>
      <c r="S64" s="144" t="s">
        <v>222</v>
      </c>
      <c r="T64" s="140">
        <f t="shared" si="9"/>
        <v>0</v>
      </c>
      <c r="U64" s="145" t="str">
        <f t="shared" si="5"/>
        <v>SUBDIRECCION DE GESTION CONTRACTUAL</v>
      </c>
      <c r="V64" s="132" t="str">
        <f t="shared" si="10"/>
        <v>CO-DC</v>
      </c>
      <c r="W64" s="145" t="str">
        <f t="shared" si="11"/>
        <v>Distrito Capital de Bogotá</v>
      </c>
      <c r="X64" s="146" t="s">
        <v>177</v>
      </c>
      <c r="Y64" s="132">
        <v>2427400</v>
      </c>
      <c r="Z64" s="148" t="s">
        <v>178</v>
      </c>
    </row>
    <row r="65" spans="1:26" s="7" customFormat="1" ht="12.75" customHeight="1" x14ac:dyDescent="0.2">
      <c r="A65" s="131" t="s">
        <v>176</v>
      </c>
      <c r="B65" s="132">
        <v>11</v>
      </c>
      <c r="C65" s="133" t="s">
        <v>244</v>
      </c>
      <c r="D65" s="133" t="s">
        <v>179</v>
      </c>
      <c r="E65" s="134"/>
      <c r="F65" s="134">
        <f>2719000000-500000000-800000000</f>
        <v>1419000000</v>
      </c>
      <c r="G65" s="134"/>
      <c r="H65" s="135" t="s">
        <v>752</v>
      </c>
      <c r="I65" s="136" t="s">
        <v>238</v>
      </c>
      <c r="J65" s="137">
        <v>2</v>
      </c>
      <c r="K65" s="138">
        <v>3</v>
      </c>
      <c r="L65" s="139">
        <v>9</v>
      </c>
      <c r="M65" s="132">
        <f t="shared" si="0"/>
        <v>1</v>
      </c>
      <c r="N65" s="140" t="s">
        <v>226</v>
      </c>
      <c r="O65" s="141" t="str">
        <f>IF(ISBLANK(N65),"",VLOOKUP(N65,[6]Parámetros!$G$2:$H$23,2,FALSE))</f>
        <v>Licitación pública</v>
      </c>
      <c r="P65" s="142">
        <f t="shared" si="8"/>
        <v>1</v>
      </c>
      <c r="Q65" s="143">
        <f t="shared" si="2"/>
        <v>1419000000</v>
      </c>
      <c r="R65" s="143">
        <f t="shared" si="3"/>
        <v>1419000000</v>
      </c>
      <c r="S65" s="144" t="s">
        <v>222</v>
      </c>
      <c r="T65" s="140">
        <f t="shared" si="9"/>
        <v>0</v>
      </c>
      <c r="U65" s="145" t="str">
        <f t="shared" si="5"/>
        <v>SUBDIRECCION DE GESTION CONTRACTUAL</v>
      </c>
      <c r="V65" s="132" t="str">
        <f t="shared" si="10"/>
        <v>CO-DC</v>
      </c>
      <c r="W65" s="145" t="str">
        <f t="shared" si="11"/>
        <v>Distrito Capital de Bogotá</v>
      </c>
      <c r="X65" s="146" t="s">
        <v>177</v>
      </c>
      <c r="Y65" s="132">
        <v>2427400</v>
      </c>
      <c r="Z65" s="148" t="s">
        <v>178</v>
      </c>
    </row>
    <row r="66" spans="1:26" s="7" customFormat="1" ht="12.75" customHeight="1" x14ac:dyDescent="0.2">
      <c r="A66" s="131" t="s">
        <v>176</v>
      </c>
      <c r="B66" s="132">
        <v>12</v>
      </c>
      <c r="C66" s="133" t="s">
        <v>244</v>
      </c>
      <c r="D66" s="133" t="s">
        <v>179</v>
      </c>
      <c r="E66" s="134"/>
      <c r="F66" s="134">
        <v>1500000000</v>
      </c>
      <c r="G66" s="134"/>
      <c r="H66" s="135" t="s">
        <v>753</v>
      </c>
      <c r="I66" s="136" t="s">
        <v>245</v>
      </c>
      <c r="J66" s="137">
        <v>5</v>
      </c>
      <c r="K66" s="138">
        <v>5</v>
      </c>
      <c r="L66" s="139">
        <v>6</v>
      </c>
      <c r="M66" s="132">
        <f t="shared" si="0"/>
        <v>1</v>
      </c>
      <c r="N66" s="140" t="s">
        <v>36</v>
      </c>
      <c r="O66" s="141" t="str">
        <f>IF(ISBLANK(N66),"",VLOOKUP(N66,[6]Parámetros!$G$2:$H$23,2,FALSE))</f>
        <v xml:space="preserve">Contratación directa (con ofertas) </v>
      </c>
      <c r="P66" s="142">
        <f t="shared" si="8"/>
        <v>1</v>
      </c>
      <c r="Q66" s="143">
        <f t="shared" si="2"/>
        <v>1500000000</v>
      </c>
      <c r="R66" s="143">
        <f t="shared" si="3"/>
        <v>1500000000</v>
      </c>
      <c r="S66" s="144" t="s">
        <v>222</v>
      </c>
      <c r="T66" s="140">
        <f t="shared" si="9"/>
        <v>0</v>
      </c>
      <c r="U66" s="145" t="str">
        <f t="shared" si="5"/>
        <v>SUBDIRECCION DE GESTION CONTRACTUAL</v>
      </c>
      <c r="V66" s="132" t="str">
        <f t="shared" si="10"/>
        <v>CO-DC</v>
      </c>
      <c r="W66" s="145" t="str">
        <f t="shared" si="11"/>
        <v>Distrito Capital de Bogotá</v>
      </c>
      <c r="X66" s="146" t="s">
        <v>177</v>
      </c>
      <c r="Y66" s="132">
        <v>2427400</v>
      </c>
      <c r="Z66" s="148" t="s">
        <v>178</v>
      </c>
    </row>
    <row r="67" spans="1:26" s="7" customFormat="1" ht="12.75" customHeight="1" x14ac:dyDescent="0.2">
      <c r="A67" s="131" t="s">
        <v>176</v>
      </c>
      <c r="B67" s="132">
        <v>13</v>
      </c>
      <c r="C67" s="133" t="s">
        <v>244</v>
      </c>
      <c r="D67" s="133" t="s">
        <v>179</v>
      </c>
      <c r="E67" s="134"/>
      <c r="F67" s="134">
        <v>1500000000</v>
      </c>
      <c r="G67" s="134"/>
      <c r="H67" s="135" t="s">
        <v>753</v>
      </c>
      <c r="I67" s="136" t="s">
        <v>246</v>
      </c>
      <c r="J67" s="137">
        <v>5</v>
      </c>
      <c r="K67" s="138">
        <v>5</v>
      </c>
      <c r="L67" s="139">
        <v>6</v>
      </c>
      <c r="M67" s="132">
        <f t="shared" si="0"/>
        <v>1</v>
      </c>
      <c r="N67" s="140" t="s">
        <v>36</v>
      </c>
      <c r="O67" s="141" t="str">
        <f>IF(ISBLANK(N67),"",VLOOKUP(N67,[6]Parámetros!$G$2:$H$23,2,FALSE))</f>
        <v xml:space="preserve">Contratación directa (con ofertas) </v>
      </c>
      <c r="P67" s="142">
        <f t="shared" si="8"/>
        <v>1</v>
      </c>
      <c r="Q67" s="143">
        <f t="shared" si="2"/>
        <v>1500000000</v>
      </c>
      <c r="R67" s="143">
        <f t="shared" si="3"/>
        <v>1500000000</v>
      </c>
      <c r="S67" s="144" t="s">
        <v>222</v>
      </c>
      <c r="T67" s="140">
        <f t="shared" si="9"/>
        <v>0</v>
      </c>
      <c r="U67" s="145" t="str">
        <f t="shared" si="5"/>
        <v>SUBDIRECCION DE GESTION CONTRACTUAL</v>
      </c>
      <c r="V67" s="132" t="str">
        <f t="shared" si="10"/>
        <v>CO-DC</v>
      </c>
      <c r="W67" s="145" t="str">
        <f t="shared" si="11"/>
        <v>Distrito Capital de Bogotá</v>
      </c>
      <c r="X67" s="146" t="s">
        <v>177</v>
      </c>
      <c r="Y67" s="132">
        <v>2427400</v>
      </c>
      <c r="Z67" s="148" t="s">
        <v>178</v>
      </c>
    </row>
    <row r="68" spans="1:26" s="7" customFormat="1" ht="12.75" customHeight="1" x14ac:dyDescent="0.2">
      <c r="A68" s="131" t="s">
        <v>176</v>
      </c>
      <c r="B68" s="132">
        <v>14</v>
      </c>
      <c r="C68" s="133" t="s">
        <v>244</v>
      </c>
      <c r="D68" s="133" t="s">
        <v>179</v>
      </c>
      <c r="E68" s="134"/>
      <c r="F68" s="134">
        <v>500000000</v>
      </c>
      <c r="G68" s="134"/>
      <c r="H68" s="135" t="s">
        <v>753</v>
      </c>
      <c r="I68" s="136" t="s">
        <v>247</v>
      </c>
      <c r="J68" s="137">
        <v>4</v>
      </c>
      <c r="K68" s="138">
        <v>5</v>
      </c>
      <c r="L68" s="139">
        <v>6</v>
      </c>
      <c r="M68" s="132">
        <f t="shared" si="0"/>
        <v>1</v>
      </c>
      <c r="N68" s="140" t="s">
        <v>36</v>
      </c>
      <c r="O68" s="141" t="str">
        <f>IF(ISBLANK(N68),"",VLOOKUP(N68,[6]Parámetros!$G$2:$H$23,2,FALSE))</f>
        <v xml:space="preserve">Contratación directa (con ofertas) </v>
      </c>
      <c r="P68" s="142">
        <f t="shared" si="8"/>
        <v>1</v>
      </c>
      <c r="Q68" s="143">
        <f t="shared" si="2"/>
        <v>500000000</v>
      </c>
      <c r="R68" s="143">
        <f t="shared" si="3"/>
        <v>500000000</v>
      </c>
      <c r="S68" s="144" t="s">
        <v>222</v>
      </c>
      <c r="T68" s="140">
        <f t="shared" si="9"/>
        <v>0</v>
      </c>
      <c r="U68" s="145" t="str">
        <f t="shared" si="5"/>
        <v>SUBDIRECCION DE GESTION CONTRACTUAL</v>
      </c>
      <c r="V68" s="132" t="str">
        <f t="shared" si="10"/>
        <v>CO-DC</v>
      </c>
      <c r="W68" s="145" t="str">
        <f t="shared" si="11"/>
        <v>Distrito Capital de Bogotá</v>
      </c>
      <c r="X68" s="146" t="s">
        <v>177</v>
      </c>
      <c r="Y68" s="132">
        <v>2427400</v>
      </c>
      <c r="Z68" s="148" t="s">
        <v>178</v>
      </c>
    </row>
    <row r="69" spans="1:26" s="7" customFormat="1" ht="12.75" customHeight="1" x14ac:dyDescent="0.2">
      <c r="A69" s="131" t="s">
        <v>176</v>
      </c>
      <c r="B69" s="132">
        <v>15</v>
      </c>
      <c r="C69" s="133" t="s">
        <v>244</v>
      </c>
      <c r="D69" s="133" t="s">
        <v>179</v>
      </c>
      <c r="E69" s="134"/>
      <c r="F69" s="134">
        <v>400000000</v>
      </c>
      <c r="G69" s="134"/>
      <c r="H69" s="135" t="s">
        <v>753</v>
      </c>
      <c r="I69" s="136" t="s">
        <v>248</v>
      </c>
      <c r="J69" s="137">
        <v>6</v>
      </c>
      <c r="K69" s="138">
        <v>6</v>
      </c>
      <c r="L69" s="139">
        <v>5</v>
      </c>
      <c r="M69" s="132">
        <f t="shared" si="0"/>
        <v>1</v>
      </c>
      <c r="N69" s="140" t="s">
        <v>36</v>
      </c>
      <c r="O69" s="141" t="str">
        <f>IF(ISBLANK(N69),"",VLOOKUP(N69,[6]Parámetros!$G$2:$H$23,2,FALSE))</f>
        <v xml:space="preserve">Contratación directa (con ofertas) </v>
      </c>
      <c r="P69" s="142">
        <f t="shared" si="8"/>
        <v>1</v>
      </c>
      <c r="Q69" s="143">
        <f t="shared" si="2"/>
        <v>400000000</v>
      </c>
      <c r="R69" s="143">
        <f t="shared" si="3"/>
        <v>400000000</v>
      </c>
      <c r="S69" s="144" t="s">
        <v>222</v>
      </c>
      <c r="T69" s="140">
        <f t="shared" si="9"/>
        <v>0</v>
      </c>
      <c r="U69" s="145" t="str">
        <f t="shared" si="5"/>
        <v>SUBDIRECCION DE GESTION CONTRACTUAL</v>
      </c>
      <c r="V69" s="132" t="str">
        <f t="shared" si="10"/>
        <v>CO-DC</v>
      </c>
      <c r="W69" s="145" t="str">
        <f t="shared" si="11"/>
        <v>Distrito Capital de Bogotá</v>
      </c>
      <c r="X69" s="146" t="s">
        <v>177</v>
      </c>
      <c r="Y69" s="132">
        <v>2427400</v>
      </c>
      <c r="Z69" s="148" t="s">
        <v>178</v>
      </c>
    </row>
    <row r="70" spans="1:26" s="7" customFormat="1" ht="12.75" customHeight="1" x14ac:dyDescent="0.2">
      <c r="A70" s="131" t="s">
        <v>176</v>
      </c>
      <c r="B70" s="132">
        <v>16</v>
      </c>
      <c r="C70" s="133" t="s">
        <v>236</v>
      </c>
      <c r="D70" s="133" t="s">
        <v>179</v>
      </c>
      <c r="E70" s="134"/>
      <c r="F70" s="134">
        <v>1600000000</v>
      </c>
      <c r="G70" s="134"/>
      <c r="H70" s="135">
        <v>80111600</v>
      </c>
      <c r="I70" s="136" t="s">
        <v>237</v>
      </c>
      <c r="J70" s="137">
        <v>1</v>
      </c>
      <c r="K70" s="138">
        <v>1</v>
      </c>
      <c r="L70" s="139">
        <v>12</v>
      </c>
      <c r="M70" s="132">
        <f t="shared" si="0"/>
        <v>1</v>
      </c>
      <c r="N70" s="140" t="s">
        <v>216</v>
      </c>
      <c r="O70" s="141" t="str">
        <f>IF(ISBLANK(N70),"",VLOOKUP(N70,[6]Parámetros!$G$2:$H$23,2,FALSE))</f>
        <v>Contratación directa.</v>
      </c>
      <c r="P70" s="142">
        <f t="shared" si="8"/>
        <v>1</v>
      </c>
      <c r="Q70" s="143">
        <f t="shared" si="2"/>
        <v>1600000000</v>
      </c>
      <c r="R70" s="143">
        <f t="shared" si="3"/>
        <v>1600000000</v>
      </c>
      <c r="S70" s="144" t="s">
        <v>222</v>
      </c>
      <c r="T70" s="140">
        <f t="shared" si="9"/>
        <v>0</v>
      </c>
      <c r="U70" s="145" t="str">
        <f t="shared" si="5"/>
        <v>SUBDIRECCION DE GESTION CONTRACTUAL</v>
      </c>
      <c r="V70" s="132" t="str">
        <f t="shared" si="10"/>
        <v>CO-DC</v>
      </c>
      <c r="W70" s="145" t="str">
        <f t="shared" si="11"/>
        <v>Distrito Capital de Bogotá</v>
      </c>
      <c r="X70" s="146" t="s">
        <v>177</v>
      </c>
      <c r="Y70" s="132">
        <v>2427400</v>
      </c>
      <c r="Z70" s="148" t="s">
        <v>178</v>
      </c>
    </row>
    <row r="71" spans="1:26" s="7" customFormat="1" ht="12.75" customHeight="1" x14ac:dyDescent="0.2">
      <c r="A71" s="131" t="s">
        <v>176</v>
      </c>
      <c r="B71" s="132">
        <v>17</v>
      </c>
      <c r="C71" s="133" t="s">
        <v>236</v>
      </c>
      <c r="D71" s="133" t="s">
        <v>179</v>
      </c>
      <c r="E71" s="134"/>
      <c r="F71" s="134">
        <f>1100000000-100000000</f>
        <v>1000000000</v>
      </c>
      <c r="G71" s="134"/>
      <c r="H71" s="135" t="s">
        <v>752</v>
      </c>
      <c r="I71" s="136" t="s">
        <v>238</v>
      </c>
      <c r="J71" s="137">
        <v>2</v>
      </c>
      <c r="K71" s="138">
        <v>3</v>
      </c>
      <c r="L71" s="139">
        <v>9</v>
      </c>
      <c r="M71" s="132">
        <f t="shared" si="0"/>
        <v>1</v>
      </c>
      <c r="N71" s="140" t="s">
        <v>226</v>
      </c>
      <c r="O71" s="141" t="str">
        <f>IF(ISBLANK(N71),"",VLOOKUP(N71,[6]Parámetros!$G$2:$H$23,2,FALSE))</f>
        <v>Licitación pública</v>
      </c>
      <c r="P71" s="142">
        <f t="shared" si="8"/>
        <v>1</v>
      </c>
      <c r="Q71" s="143">
        <f t="shared" si="2"/>
        <v>1000000000</v>
      </c>
      <c r="R71" s="143">
        <f t="shared" si="3"/>
        <v>1000000000</v>
      </c>
      <c r="S71" s="144" t="s">
        <v>222</v>
      </c>
      <c r="T71" s="140">
        <f t="shared" si="9"/>
        <v>0</v>
      </c>
      <c r="U71" s="145" t="str">
        <f t="shared" si="5"/>
        <v>SUBDIRECCION DE GESTION CONTRACTUAL</v>
      </c>
      <c r="V71" s="132" t="str">
        <f t="shared" si="10"/>
        <v>CO-DC</v>
      </c>
      <c r="W71" s="145" t="str">
        <f t="shared" si="11"/>
        <v>Distrito Capital de Bogotá</v>
      </c>
      <c r="X71" s="146" t="s">
        <v>177</v>
      </c>
      <c r="Y71" s="132">
        <v>2427400</v>
      </c>
      <c r="Z71" s="148" t="s">
        <v>178</v>
      </c>
    </row>
    <row r="72" spans="1:26" s="7" customFormat="1" ht="12.75" customHeight="1" x14ac:dyDescent="0.2">
      <c r="A72" s="131" t="s">
        <v>176</v>
      </c>
      <c r="B72" s="132">
        <v>18</v>
      </c>
      <c r="C72" s="133" t="s">
        <v>236</v>
      </c>
      <c r="D72" s="133" t="s">
        <v>179</v>
      </c>
      <c r="E72" s="134"/>
      <c r="F72" s="134">
        <v>900000000</v>
      </c>
      <c r="G72" s="134"/>
      <c r="H72" s="135" t="s">
        <v>753</v>
      </c>
      <c r="I72" s="136" t="s">
        <v>245</v>
      </c>
      <c r="J72" s="137">
        <v>5</v>
      </c>
      <c r="K72" s="138">
        <v>5</v>
      </c>
      <c r="L72" s="139">
        <v>6</v>
      </c>
      <c r="M72" s="132">
        <f t="shared" si="0"/>
        <v>1</v>
      </c>
      <c r="N72" s="140" t="s">
        <v>36</v>
      </c>
      <c r="O72" s="141" t="str">
        <f>IF(ISBLANK(N72),"",VLOOKUP(N72,[6]Parámetros!$G$2:$H$23,2,FALSE))</f>
        <v xml:space="preserve">Contratación directa (con ofertas) </v>
      </c>
      <c r="P72" s="142">
        <f t="shared" si="8"/>
        <v>1</v>
      </c>
      <c r="Q72" s="143">
        <f t="shared" si="2"/>
        <v>900000000</v>
      </c>
      <c r="R72" s="143">
        <f t="shared" si="3"/>
        <v>900000000</v>
      </c>
      <c r="S72" s="144" t="s">
        <v>222</v>
      </c>
      <c r="T72" s="140">
        <f t="shared" si="9"/>
        <v>0</v>
      </c>
      <c r="U72" s="145" t="str">
        <f t="shared" si="5"/>
        <v>SUBDIRECCION DE GESTION CONTRACTUAL</v>
      </c>
      <c r="V72" s="132" t="str">
        <f t="shared" si="10"/>
        <v>CO-DC</v>
      </c>
      <c r="W72" s="145" t="str">
        <f t="shared" si="11"/>
        <v>Distrito Capital de Bogotá</v>
      </c>
      <c r="X72" s="146" t="s">
        <v>177</v>
      </c>
      <c r="Y72" s="132">
        <v>2427400</v>
      </c>
      <c r="Z72" s="148" t="s">
        <v>178</v>
      </c>
    </row>
    <row r="73" spans="1:26" s="7" customFormat="1" ht="12.75" customHeight="1" x14ac:dyDescent="0.2">
      <c r="A73" s="131" t="s">
        <v>176</v>
      </c>
      <c r="B73" s="132">
        <v>19</v>
      </c>
      <c r="C73" s="133" t="s">
        <v>236</v>
      </c>
      <c r="D73" s="133" t="s">
        <v>179</v>
      </c>
      <c r="E73" s="134"/>
      <c r="F73" s="134">
        <v>1700000000</v>
      </c>
      <c r="G73" s="134"/>
      <c r="H73" s="135" t="s">
        <v>753</v>
      </c>
      <c r="I73" s="136" t="s">
        <v>246</v>
      </c>
      <c r="J73" s="137">
        <v>5</v>
      </c>
      <c r="K73" s="138">
        <v>5</v>
      </c>
      <c r="L73" s="139">
        <v>6</v>
      </c>
      <c r="M73" s="132">
        <f t="shared" si="0"/>
        <v>1</v>
      </c>
      <c r="N73" s="140" t="s">
        <v>36</v>
      </c>
      <c r="O73" s="141" t="str">
        <f>IF(ISBLANK(N73),"",VLOOKUP(N73,[6]Parámetros!$G$2:$H$23,2,FALSE))</f>
        <v xml:space="preserve">Contratación directa (con ofertas) </v>
      </c>
      <c r="P73" s="142">
        <f t="shared" si="8"/>
        <v>1</v>
      </c>
      <c r="Q73" s="143">
        <f t="shared" si="2"/>
        <v>1700000000</v>
      </c>
      <c r="R73" s="143">
        <f t="shared" si="3"/>
        <v>1700000000</v>
      </c>
      <c r="S73" s="144" t="s">
        <v>222</v>
      </c>
      <c r="T73" s="140">
        <f t="shared" si="9"/>
        <v>0</v>
      </c>
      <c r="U73" s="145" t="str">
        <f t="shared" si="5"/>
        <v>SUBDIRECCION DE GESTION CONTRACTUAL</v>
      </c>
      <c r="V73" s="132" t="str">
        <f t="shared" si="10"/>
        <v>CO-DC</v>
      </c>
      <c r="W73" s="145" t="str">
        <f t="shared" si="11"/>
        <v>Distrito Capital de Bogotá</v>
      </c>
      <c r="X73" s="146" t="s">
        <v>177</v>
      </c>
      <c r="Y73" s="132">
        <v>2427400</v>
      </c>
      <c r="Z73" s="148" t="s">
        <v>178</v>
      </c>
    </row>
    <row r="74" spans="1:26" s="7" customFormat="1" ht="12.75" customHeight="1" x14ac:dyDescent="0.2">
      <c r="A74" s="131" t="s">
        <v>176</v>
      </c>
      <c r="B74" s="132">
        <v>20</v>
      </c>
      <c r="C74" s="133" t="s">
        <v>236</v>
      </c>
      <c r="D74" s="133" t="s">
        <v>179</v>
      </c>
      <c r="E74" s="134"/>
      <c r="F74" s="134">
        <v>180000000</v>
      </c>
      <c r="G74" s="134"/>
      <c r="H74" s="135" t="s">
        <v>753</v>
      </c>
      <c r="I74" s="136" t="s">
        <v>248</v>
      </c>
      <c r="J74" s="137">
        <v>6</v>
      </c>
      <c r="K74" s="138">
        <v>6</v>
      </c>
      <c r="L74" s="139">
        <v>5</v>
      </c>
      <c r="M74" s="132">
        <f t="shared" si="0"/>
        <v>1</v>
      </c>
      <c r="N74" s="140" t="s">
        <v>36</v>
      </c>
      <c r="O74" s="141" t="str">
        <f>IF(ISBLANK(N74),"",VLOOKUP(N74,[6]Parámetros!$G$2:$H$23,2,FALSE))</f>
        <v xml:space="preserve">Contratación directa (con ofertas) </v>
      </c>
      <c r="P74" s="142">
        <f t="shared" si="8"/>
        <v>1</v>
      </c>
      <c r="Q74" s="143">
        <f t="shared" si="2"/>
        <v>180000000</v>
      </c>
      <c r="R74" s="143">
        <f t="shared" si="3"/>
        <v>180000000</v>
      </c>
      <c r="S74" s="144" t="s">
        <v>222</v>
      </c>
      <c r="T74" s="140">
        <f t="shared" si="9"/>
        <v>0</v>
      </c>
      <c r="U74" s="145" t="str">
        <f t="shared" si="5"/>
        <v>SUBDIRECCION DE GESTION CONTRACTUAL</v>
      </c>
      <c r="V74" s="132" t="str">
        <f t="shared" si="10"/>
        <v>CO-DC</v>
      </c>
      <c r="W74" s="145" t="str">
        <f t="shared" si="11"/>
        <v>Distrito Capital de Bogotá</v>
      </c>
      <c r="X74" s="146" t="s">
        <v>177</v>
      </c>
      <c r="Y74" s="132">
        <v>2427400</v>
      </c>
      <c r="Z74" s="148" t="s">
        <v>178</v>
      </c>
    </row>
    <row r="75" spans="1:26" s="7" customFormat="1" ht="12.75" customHeight="1" x14ac:dyDescent="0.2">
      <c r="A75" s="131" t="s">
        <v>176</v>
      </c>
      <c r="B75" s="132">
        <v>21</v>
      </c>
      <c r="C75" s="133" t="s">
        <v>236</v>
      </c>
      <c r="D75" s="133" t="s">
        <v>179</v>
      </c>
      <c r="E75" s="134"/>
      <c r="F75" s="134">
        <f>250000000-250000000</f>
        <v>0</v>
      </c>
      <c r="G75" s="134"/>
      <c r="H75" s="135" t="s">
        <v>753</v>
      </c>
      <c r="I75" s="136" t="s">
        <v>249</v>
      </c>
      <c r="J75" s="137">
        <v>4</v>
      </c>
      <c r="K75" s="138">
        <v>5</v>
      </c>
      <c r="L75" s="139">
        <v>6</v>
      </c>
      <c r="M75" s="132">
        <f t="shared" si="0"/>
        <v>1</v>
      </c>
      <c r="N75" s="140" t="s">
        <v>36</v>
      </c>
      <c r="O75" s="141" t="str">
        <f>IF(ISBLANK(N75),"",VLOOKUP(N75,[6]Parámetros!$G$2:$H$23,2,FALSE))</f>
        <v xml:space="preserve">Contratación directa (con ofertas) </v>
      </c>
      <c r="P75" s="142">
        <f t="shared" si="8"/>
        <v>1</v>
      </c>
      <c r="Q75" s="143">
        <f t="shared" si="2"/>
        <v>0</v>
      </c>
      <c r="R75" s="143">
        <f t="shared" si="3"/>
        <v>0</v>
      </c>
      <c r="S75" s="144" t="s">
        <v>222</v>
      </c>
      <c r="T75" s="140">
        <f t="shared" si="9"/>
        <v>0</v>
      </c>
      <c r="U75" s="145" t="str">
        <f t="shared" si="5"/>
        <v>SUBDIRECCION DE GESTION CONTRACTUAL</v>
      </c>
      <c r="V75" s="132" t="str">
        <f t="shared" si="10"/>
        <v>CO-DC</v>
      </c>
      <c r="W75" s="145" t="str">
        <f t="shared" si="11"/>
        <v>Distrito Capital de Bogotá</v>
      </c>
      <c r="X75" s="146" t="s">
        <v>177</v>
      </c>
      <c r="Y75" s="132">
        <v>2427400</v>
      </c>
      <c r="Z75" s="148" t="s">
        <v>178</v>
      </c>
    </row>
    <row r="76" spans="1:26" s="7" customFormat="1" ht="12.75" customHeight="1" x14ac:dyDescent="0.2">
      <c r="A76" s="131" t="s">
        <v>176</v>
      </c>
      <c r="B76" s="132">
        <v>22</v>
      </c>
      <c r="C76" s="133" t="s">
        <v>250</v>
      </c>
      <c r="D76" s="133" t="s">
        <v>809</v>
      </c>
      <c r="E76" s="134"/>
      <c r="F76" s="134">
        <v>400000000</v>
      </c>
      <c r="G76" s="134"/>
      <c r="H76" s="135" t="s">
        <v>753</v>
      </c>
      <c r="I76" s="136" t="s">
        <v>249</v>
      </c>
      <c r="J76" s="137">
        <v>6</v>
      </c>
      <c r="K76" s="138">
        <v>6</v>
      </c>
      <c r="L76" s="139">
        <v>5</v>
      </c>
      <c r="M76" s="132">
        <f t="shared" si="0"/>
        <v>1</v>
      </c>
      <c r="N76" s="140" t="s">
        <v>36</v>
      </c>
      <c r="O76" s="141" t="str">
        <f>IF(ISBLANK(N76),"",VLOOKUP(N76,[6]Parámetros!$G$2:$H$23,2,FALSE))</f>
        <v xml:space="preserve">Contratación directa (con ofertas) </v>
      </c>
      <c r="P76" s="142">
        <f t="shared" si="8"/>
        <v>1</v>
      </c>
      <c r="Q76" s="143">
        <f t="shared" si="2"/>
        <v>400000000</v>
      </c>
      <c r="R76" s="143">
        <f t="shared" si="3"/>
        <v>400000000</v>
      </c>
      <c r="S76" s="144" t="s">
        <v>222</v>
      </c>
      <c r="T76" s="140">
        <f t="shared" si="9"/>
        <v>0</v>
      </c>
      <c r="U76" s="145" t="str">
        <f t="shared" si="5"/>
        <v>SUBDIRECCION DE GESTION CONTRACTUAL</v>
      </c>
      <c r="V76" s="132" t="str">
        <f t="shared" si="10"/>
        <v>CO-DC</v>
      </c>
      <c r="W76" s="145" t="str">
        <f t="shared" si="11"/>
        <v>Distrito Capital de Bogotá</v>
      </c>
      <c r="X76" s="146" t="s">
        <v>177</v>
      </c>
      <c r="Y76" s="132">
        <v>2427400</v>
      </c>
      <c r="Z76" s="148" t="s">
        <v>178</v>
      </c>
    </row>
    <row r="77" spans="1:26" s="7" customFormat="1" ht="12.75" customHeight="1" x14ac:dyDescent="0.2">
      <c r="A77" s="131" t="s">
        <v>176</v>
      </c>
      <c r="B77" s="132">
        <v>23</v>
      </c>
      <c r="C77" s="133" t="s">
        <v>236</v>
      </c>
      <c r="D77" s="133" t="s">
        <v>809</v>
      </c>
      <c r="E77" s="134"/>
      <c r="F77" s="134">
        <v>500000000</v>
      </c>
      <c r="G77" s="134"/>
      <c r="H77" s="135" t="s">
        <v>753</v>
      </c>
      <c r="I77" s="136" t="s">
        <v>245</v>
      </c>
      <c r="J77" s="137">
        <v>5</v>
      </c>
      <c r="K77" s="138">
        <v>5</v>
      </c>
      <c r="L77" s="139">
        <v>6</v>
      </c>
      <c r="M77" s="132">
        <f t="shared" si="0"/>
        <v>1</v>
      </c>
      <c r="N77" s="140" t="s">
        <v>36</v>
      </c>
      <c r="O77" s="141" t="str">
        <f>IF(ISBLANK(N77),"",VLOOKUP(N77,[6]Parámetros!$G$2:$H$23,2,FALSE))</f>
        <v xml:space="preserve">Contratación directa (con ofertas) </v>
      </c>
      <c r="P77" s="142">
        <f t="shared" si="8"/>
        <v>1</v>
      </c>
      <c r="Q77" s="143">
        <f t="shared" si="2"/>
        <v>500000000</v>
      </c>
      <c r="R77" s="143">
        <f t="shared" si="3"/>
        <v>500000000</v>
      </c>
      <c r="S77" s="144" t="s">
        <v>222</v>
      </c>
      <c r="T77" s="140">
        <f t="shared" si="9"/>
        <v>0</v>
      </c>
      <c r="U77" s="145" t="str">
        <f t="shared" si="5"/>
        <v>SUBDIRECCION DE GESTION CONTRACTUAL</v>
      </c>
      <c r="V77" s="132" t="str">
        <f t="shared" si="10"/>
        <v>CO-DC</v>
      </c>
      <c r="W77" s="145" t="str">
        <f t="shared" si="11"/>
        <v>Distrito Capital de Bogotá</v>
      </c>
      <c r="X77" s="146" t="s">
        <v>177</v>
      </c>
      <c r="Y77" s="132">
        <v>2427400</v>
      </c>
      <c r="Z77" s="148" t="s">
        <v>178</v>
      </c>
    </row>
    <row r="78" spans="1:26" s="7" customFormat="1" ht="12.75" customHeight="1" x14ac:dyDescent="0.2">
      <c r="A78" s="131" t="s">
        <v>176</v>
      </c>
      <c r="B78" s="132">
        <v>24</v>
      </c>
      <c r="C78" s="133" t="s">
        <v>250</v>
      </c>
      <c r="D78" s="133" t="s">
        <v>809</v>
      </c>
      <c r="E78" s="134"/>
      <c r="F78" s="134">
        <f>21615000000+10000000000</f>
        <v>31615000000</v>
      </c>
      <c r="G78" s="134"/>
      <c r="H78" s="135" t="s">
        <v>753</v>
      </c>
      <c r="I78" s="136" t="s">
        <v>251</v>
      </c>
      <c r="J78" s="137">
        <v>4</v>
      </c>
      <c r="K78" s="137">
        <v>4</v>
      </c>
      <c r="L78" s="139">
        <v>7</v>
      </c>
      <c r="M78" s="132">
        <f t="shared" si="0"/>
        <v>1</v>
      </c>
      <c r="N78" s="140" t="s">
        <v>36</v>
      </c>
      <c r="O78" s="141" t="str">
        <f>IF(ISBLANK(N78),"",VLOOKUP(N78,[6]Parámetros!$G$2:$H$23,2,FALSE))</f>
        <v xml:space="preserve">Contratación directa (con ofertas) </v>
      </c>
      <c r="P78" s="142">
        <f t="shared" si="8"/>
        <v>1</v>
      </c>
      <c r="Q78" s="143">
        <f t="shared" si="2"/>
        <v>31615000000</v>
      </c>
      <c r="R78" s="143">
        <f t="shared" si="3"/>
        <v>31615000000</v>
      </c>
      <c r="S78" s="144" t="s">
        <v>222</v>
      </c>
      <c r="T78" s="140">
        <f t="shared" si="9"/>
        <v>0</v>
      </c>
      <c r="U78" s="145" t="str">
        <f t="shared" si="5"/>
        <v>SUBDIRECCION DE GESTION CONTRACTUAL</v>
      </c>
      <c r="V78" s="132" t="str">
        <f t="shared" si="10"/>
        <v>CO-DC</v>
      </c>
      <c r="W78" s="145" t="str">
        <f t="shared" si="11"/>
        <v>Distrito Capital de Bogotá</v>
      </c>
      <c r="X78" s="146" t="s">
        <v>177</v>
      </c>
      <c r="Y78" s="132">
        <v>2427400</v>
      </c>
      <c r="Z78" s="148" t="s">
        <v>178</v>
      </c>
    </row>
    <row r="79" spans="1:26" s="7" customFormat="1" ht="12.75" customHeight="1" x14ac:dyDescent="0.2">
      <c r="A79" s="131" t="s">
        <v>176</v>
      </c>
      <c r="B79" s="132">
        <v>25</v>
      </c>
      <c r="C79" s="133" t="s">
        <v>250</v>
      </c>
      <c r="D79" s="133" t="s">
        <v>809</v>
      </c>
      <c r="E79" s="134"/>
      <c r="F79" s="134">
        <v>3615000000</v>
      </c>
      <c r="G79" s="134"/>
      <c r="H79" s="135">
        <v>80111608</v>
      </c>
      <c r="I79" s="136" t="s">
        <v>252</v>
      </c>
      <c r="J79" s="137">
        <v>6</v>
      </c>
      <c r="K79" s="137">
        <v>6</v>
      </c>
      <c r="L79" s="139">
        <v>5</v>
      </c>
      <c r="M79" s="132">
        <f t="shared" si="0"/>
        <v>1</v>
      </c>
      <c r="N79" s="140" t="s">
        <v>36</v>
      </c>
      <c r="O79" s="141" t="str">
        <f>IF(ISBLANK(N79),"",VLOOKUP(N79,[6]Parámetros!$G$2:$H$23,2,FALSE))</f>
        <v xml:space="preserve">Contratación directa (con ofertas) </v>
      </c>
      <c r="P79" s="142">
        <f t="shared" si="8"/>
        <v>1</v>
      </c>
      <c r="Q79" s="143">
        <f t="shared" si="2"/>
        <v>3615000000</v>
      </c>
      <c r="R79" s="143">
        <f t="shared" si="3"/>
        <v>3615000000</v>
      </c>
      <c r="S79" s="144" t="s">
        <v>222</v>
      </c>
      <c r="T79" s="140">
        <f t="shared" si="9"/>
        <v>0</v>
      </c>
      <c r="U79" s="145" t="str">
        <f t="shared" si="5"/>
        <v>SUBDIRECCION DE GESTION CONTRACTUAL</v>
      </c>
      <c r="V79" s="132" t="str">
        <f t="shared" si="10"/>
        <v>CO-DC</v>
      </c>
      <c r="W79" s="145" t="str">
        <f t="shared" si="11"/>
        <v>Distrito Capital de Bogotá</v>
      </c>
      <c r="X79" s="146" t="s">
        <v>177</v>
      </c>
      <c r="Y79" s="132">
        <v>2427400</v>
      </c>
      <c r="Z79" s="148" t="s">
        <v>178</v>
      </c>
    </row>
    <row r="80" spans="1:26" s="7" customFormat="1" ht="12.75" customHeight="1" x14ac:dyDescent="0.2">
      <c r="A80" s="131" t="s">
        <v>176</v>
      </c>
      <c r="B80" s="132">
        <v>26</v>
      </c>
      <c r="C80" s="133" t="s">
        <v>250</v>
      </c>
      <c r="D80" s="133" t="s">
        <v>809</v>
      </c>
      <c r="E80" s="134"/>
      <c r="F80" s="134">
        <v>200000000</v>
      </c>
      <c r="G80" s="134"/>
      <c r="H80" s="135" t="s">
        <v>753</v>
      </c>
      <c r="I80" s="136" t="s">
        <v>253</v>
      </c>
      <c r="J80" s="137">
        <v>4</v>
      </c>
      <c r="K80" s="138">
        <v>5</v>
      </c>
      <c r="L80" s="139">
        <v>6</v>
      </c>
      <c r="M80" s="132">
        <f t="shared" ref="M80:M151" si="15">IF(ISBLANK(J80),"",1)</f>
        <v>1</v>
      </c>
      <c r="N80" s="140" t="s">
        <v>36</v>
      </c>
      <c r="O80" s="141" t="str">
        <f>IF(ISBLANK(N80),"",VLOOKUP(N80,[6]Parámetros!$G$2:$H$23,2,FALSE))</f>
        <v xml:space="preserve">Contratación directa (con ofertas) </v>
      </c>
      <c r="P80" s="142">
        <f t="shared" ref="P80:P98" si="16">IF(ISBLANK(N80),"",1)</f>
        <v>1</v>
      </c>
      <c r="Q80" s="143">
        <f t="shared" ref="Q80:Q151" si="17">+E80+F80+G80</f>
        <v>200000000</v>
      </c>
      <c r="R80" s="143">
        <f t="shared" ref="R80:R151" si="18">+F80</f>
        <v>200000000</v>
      </c>
      <c r="S80" s="144" t="s">
        <v>222</v>
      </c>
      <c r="T80" s="140">
        <f t="shared" ref="T80:T98" si="19">IF(ISBLANK(S80),"",IF(VALUE(S80)=0,0,IF(VALUE(S80)=1,3,"")))</f>
        <v>0</v>
      </c>
      <c r="U80" s="145" t="str">
        <f t="shared" ref="U80:U151" si="20">IF(ISBLANK(N80),"","SUBDIRECCION DE GESTION CONTRACTUAL")</f>
        <v>SUBDIRECCION DE GESTION CONTRACTUAL</v>
      </c>
      <c r="V80" s="132" t="str">
        <f t="shared" ref="V80:V98" si="21">IF(ISBLANK(N80),"","CO-DC")</f>
        <v>CO-DC</v>
      </c>
      <c r="W80" s="145" t="str">
        <f t="shared" ref="W80:W98" si="22">IF(ISBLANK(N80),"","Distrito Capital de Bogotá")</f>
        <v>Distrito Capital de Bogotá</v>
      </c>
      <c r="X80" s="146" t="s">
        <v>177</v>
      </c>
      <c r="Y80" s="132">
        <v>2427400</v>
      </c>
      <c r="Z80" s="148" t="s">
        <v>178</v>
      </c>
    </row>
    <row r="81" spans="1:26" s="7" customFormat="1" ht="12.75" customHeight="1" x14ac:dyDescent="0.2">
      <c r="A81" s="131" t="s">
        <v>176</v>
      </c>
      <c r="B81" s="132">
        <v>27</v>
      </c>
      <c r="C81" s="133" t="s">
        <v>240</v>
      </c>
      <c r="D81" s="133" t="s">
        <v>809</v>
      </c>
      <c r="E81" s="134"/>
      <c r="F81" s="134">
        <v>300000000</v>
      </c>
      <c r="G81" s="134"/>
      <c r="H81" s="135" t="s">
        <v>753</v>
      </c>
      <c r="I81" s="136" t="s">
        <v>243</v>
      </c>
      <c r="J81" s="137">
        <v>5</v>
      </c>
      <c r="K81" s="138">
        <v>5</v>
      </c>
      <c r="L81" s="139">
        <v>6</v>
      </c>
      <c r="M81" s="132">
        <f t="shared" si="15"/>
        <v>1</v>
      </c>
      <c r="N81" s="140" t="s">
        <v>36</v>
      </c>
      <c r="O81" s="141" t="str">
        <f>IF(ISBLANK(N81),"",VLOOKUP(N81,[6]Parámetros!$G$2:$H$23,2,FALSE))</f>
        <v xml:space="preserve">Contratación directa (con ofertas) </v>
      </c>
      <c r="P81" s="142">
        <f t="shared" si="16"/>
        <v>1</v>
      </c>
      <c r="Q81" s="143">
        <f t="shared" si="17"/>
        <v>300000000</v>
      </c>
      <c r="R81" s="143">
        <f t="shared" si="18"/>
        <v>300000000</v>
      </c>
      <c r="S81" s="144" t="s">
        <v>222</v>
      </c>
      <c r="T81" s="140">
        <f t="shared" si="19"/>
        <v>0</v>
      </c>
      <c r="U81" s="145" t="str">
        <f t="shared" si="20"/>
        <v>SUBDIRECCION DE GESTION CONTRACTUAL</v>
      </c>
      <c r="V81" s="132" t="str">
        <f t="shared" si="21"/>
        <v>CO-DC</v>
      </c>
      <c r="W81" s="145" t="str">
        <f t="shared" si="22"/>
        <v>Distrito Capital de Bogotá</v>
      </c>
      <c r="X81" s="146" t="s">
        <v>177</v>
      </c>
      <c r="Y81" s="132">
        <v>2427400</v>
      </c>
      <c r="Z81" s="148" t="s">
        <v>178</v>
      </c>
    </row>
    <row r="82" spans="1:26" s="7" customFormat="1" ht="12.75" customHeight="1" x14ac:dyDescent="0.2">
      <c r="A82" s="131" t="s">
        <v>176</v>
      </c>
      <c r="B82" s="132">
        <v>28</v>
      </c>
      <c r="C82" s="133" t="s">
        <v>250</v>
      </c>
      <c r="D82" s="133" t="s">
        <v>809</v>
      </c>
      <c r="E82" s="134"/>
      <c r="F82" s="134">
        <v>2000000000</v>
      </c>
      <c r="G82" s="134"/>
      <c r="H82" s="135" t="s">
        <v>753</v>
      </c>
      <c r="I82" s="136" t="s">
        <v>246</v>
      </c>
      <c r="J82" s="137">
        <v>5</v>
      </c>
      <c r="K82" s="138">
        <v>5</v>
      </c>
      <c r="L82" s="139">
        <v>6</v>
      </c>
      <c r="M82" s="132">
        <f t="shared" si="15"/>
        <v>1</v>
      </c>
      <c r="N82" s="140" t="s">
        <v>36</v>
      </c>
      <c r="O82" s="141" t="str">
        <f>IF(ISBLANK(N82),"",VLOOKUP(N82,[6]Parámetros!$G$2:$H$23,2,FALSE))</f>
        <v xml:space="preserve">Contratación directa (con ofertas) </v>
      </c>
      <c r="P82" s="142">
        <f t="shared" si="16"/>
        <v>1</v>
      </c>
      <c r="Q82" s="143">
        <f t="shared" si="17"/>
        <v>2000000000</v>
      </c>
      <c r="R82" s="143">
        <f t="shared" si="18"/>
        <v>2000000000</v>
      </c>
      <c r="S82" s="144" t="s">
        <v>222</v>
      </c>
      <c r="T82" s="140">
        <f t="shared" si="19"/>
        <v>0</v>
      </c>
      <c r="U82" s="145" t="str">
        <f t="shared" si="20"/>
        <v>SUBDIRECCION DE GESTION CONTRACTUAL</v>
      </c>
      <c r="V82" s="132" t="str">
        <f t="shared" si="21"/>
        <v>CO-DC</v>
      </c>
      <c r="W82" s="145" t="str">
        <f t="shared" si="22"/>
        <v>Distrito Capital de Bogotá</v>
      </c>
      <c r="X82" s="146" t="s">
        <v>177</v>
      </c>
      <c r="Y82" s="132">
        <v>2427400</v>
      </c>
      <c r="Z82" s="148" t="s">
        <v>178</v>
      </c>
    </row>
    <row r="83" spans="1:26" s="7" customFormat="1" ht="12.75" customHeight="1" x14ac:dyDescent="0.2">
      <c r="A83" s="131" t="s">
        <v>176</v>
      </c>
      <c r="B83" s="132">
        <v>29</v>
      </c>
      <c r="C83" s="133" t="s">
        <v>250</v>
      </c>
      <c r="D83" s="133" t="s">
        <v>809</v>
      </c>
      <c r="E83" s="134"/>
      <c r="F83" s="134">
        <v>3050000000</v>
      </c>
      <c r="G83" s="134"/>
      <c r="H83" s="135" t="s">
        <v>752</v>
      </c>
      <c r="I83" s="136" t="s">
        <v>238</v>
      </c>
      <c r="J83" s="137">
        <v>2</v>
      </c>
      <c r="K83" s="138">
        <v>3</v>
      </c>
      <c r="L83" s="139">
        <v>9</v>
      </c>
      <c r="M83" s="132">
        <f t="shared" si="15"/>
        <v>1</v>
      </c>
      <c r="N83" s="140" t="s">
        <v>226</v>
      </c>
      <c r="O83" s="141" t="str">
        <f>IF(ISBLANK(N83),"",VLOOKUP(N83,[6]Parámetros!$G$2:$H$23,2,FALSE))</f>
        <v>Licitación pública</v>
      </c>
      <c r="P83" s="142">
        <f t="shared" si="16"/>
        <v>1</v>
      </c>
      <c r="Q83" s="143">
        <f t="shared" si="17"/>
        <v>3050000000</v>
      </c>
      <c r="R83" s="143">
        <f t="shared" si="18"/>
        <v>3050000000</v>
      </c>
      <c r="S83" s="144" t="s">
        <v>222</v>
      </c>
      <c r="T83" s="140">
        <f t="shared" si="19"/>
        <v>0</v>
      </c>
      <c r="U83" s="145" t="str">
        <f t="shared" si="20"/>
        <v>SUBDIRECCION DE GESTION CONTRACTUAL</v>
      </c>
      <c r="V83" s="132" t="str">
        <f t="shared" si="21"/>
        <v>CO-DC</v>
      </c>
      <c r="W83" s="145" t="str">
        <f t="shared" si="22"/>
        <v>Distrito Capital de Bogotá</v>
      </c>
      <c r="X83" s="146" t="s">
        <v>177</v>
      </c>
      <c r="Y83" s="132">
        <v>2427400</v>
      </c>
      <c r="Z83" s="148" t="s">
        <v>178</v>
      </c>
    </row>
    <row r="84" spans="1:26" s="7" customFormat="1" ht="12.75" customHeight="1" x14ac:dyDescent="0.2">
      <c r="A84" s="131" t="s">
        <v>176</v>
      </c>
      <c r="B84" s="132">
        <v>30</v>
      </c>
      <c r="C84" s="133" t="s">
        <v>250</v>
      </c>
      <c r="D84" s="133" t="s">
        <v>809</v>
      </c>
      <c r="E84" s="134"/>
      <c r="F84" s="134">
        <v>300000000</v>
      </c>
      <c r="G84" s="134"/>
      <c r="H84" s="135" t="s">
        <v>753</v>
      </c>
      <c r="I84" s="136" t="s">
        <v>254</v>
      </c>
      <c r="J84" s="137">
        <v>4</v>
      </c>
      <c r="K84" s="138">
        <v>5</v>
      </c>
      <c r="L84" s="139">
        <v>6</v>
      </c>
      <c r="M84" s="132">
        <f t="shared" si="15"/>
        <v>1</v>
      </c>
      <c r="N84" s="140" t="s">
        <v>36</v>
      </c>
      <c r="O84" s="141" t="str">
        <f>IF(ISBLANK(N84),"",VLOOKUP(N84,[6]Parámetros!$G$2:$H$23,2,FALSE))</f>
        <v xml:space="preserve">Contratación directa (con ofertas) </v>
      </c>
      <c r="P84" s="142">
        <f t="shared" si="16"/>
        <v>1</v>
      </c>
      <c r="Q84" s="143">
        <f t="shared" si="17"/>
        <v>300000000</v>
      </c>
      <c r="R84" s="143">
        <f t="shared" si="18"/>
        <v>300000000</v>
      </c>
      <c r="S84" s="144" t="s">
        <v>222</v>
      </c>
      <c r="T84" s="140">
        <f t="shared" si="19"/>
        <v>0</v>
      </c>
      <c r="U84" s="145" t="str">
        <f t="shared" si="20"/>
        <v>SUBDIRECCION DE GESTION CONTRACTUAL</v>
      </c>
      <c r="V84" s="132" t="str">
        <f t="shared" si="21"/>
        <v>CO-DC</v>
      </c>
      <c r="W84" s="145" t="str">
        <f t="shared" si="22"/>
        <v>Distrito Capital de Bogotá</v>
      </c>
      <c r="X84" s="146" t="s">
        <v>177</v>
      </c>
      <c r="Y84" s="132">
        <v>2427400</v>
      </c>
      <c r="Z84" s="148" t="s">
        <v>178</v>
      </c>
    </row>
    <row r="85" spans="1:26" s="7" customFormat="1" ht="12.75" customHeight="1" x14ac:dyDescent="0.2">
      <c r="A85" s="131" t="s">
        <v>176</v>
      </c>
      <c r="B85" s="132">
        <v>31</v>
      </c>
      <c r="C85" s="133" t="s">
        <v>250</v>
      </c>
      <c r="D85" s="133" t="s">
        <v>809</v>
      </c>
      <c r="E85" s="134"/>
      <c r="F85" s="134">
        <v>300000000</v>
      </c>
      <c r="G85" s="134"/>
      <c r="H85" s="135" t="s">
        <v>753</v>
      </c>
      <c r="I85" s="136" t="s">
        <v>255</v>
      </c>
      <c r="J85" s="137">
        <v>5</v>
      </c>
      <c r="K85" s="137">
        <v>6</v>
      </c>
      <c r="L85" s="139">
        <v>6</v>
      </c>
      <c r="M85" s="132">
        <f t="shared" si="15"/>
        <v>1</v>
      </c>
      <c r="N85" s="140" t="s">
        <v>36</v>
      </c>
      <c r="O85" s="141" t="str">
        <f>IF(ISBLANK(N85),"",VLOOKUP(N85,[6]Parámetros!$G$2:$H$23,2,FALSE))</f>
        <v xml:space="preserve">Contratación directa (con ofertas) </v>
      </c>
      <c r="P85" s="142">
        <f t="shared" si="16"/>
        <v>1</v>
      </c>
      <c r="Q85" s="143">
        <f t="shared" si="17"/>
        <v>300000000</v>
      </c>
      <c r="R85" s="143">
        <f t="shared" si="18"/>
        <v>300000000</v>
      </c>
      <c r="S85" s="144" t="s">
        <v>222</v>
      </c>
      <c r="T85" s="140">
        <f t="shared" si="19"/>
        <v>0</v>
      </c>
      <c r="U85" s="145" t="str">
        <f t="shared" si="20"/>
        <v>SUBDIRECCION DE GESTION CONTRACTUAL</v>
      </c>
      <c r="V85" s="132" t="str">
        <f t="shared" si="21"/>
        <v>CO-DC</v>
      </c>
      <c r="W85" s="145" t="str">
        <f t="shared" si="22"/>
        <v>Distrito Capital de Bogotá</v>
      </c>
      <c r="X85" s="146" t="s">
        <v>177</v>
      </c>
      <c r="Y85" s="132">
        <v>2427400</v>
      </c>
      <c r="Z85" s="148" t="s">
        <v>178</v>
      </c>
    </row>
    <row r="86" spans="1:26" s="7" customFormat="1" ht="12.75" customHeight="1" x14ac:dyDescent="0.2">
      <c r="A86" s="131" t="s">
        <v>176</v>
      </c>
      <c r="B86" s="132">
        <v>32</v>
      </c>
      <c r="C86" s="133" t="s">
        <v>250</v>
      </c>
      <c r="D86" s="133" t="s">
        <v>809</v>
      </c>
      <c r="E86" s="134"/>
      <c r="F86" s="134">
        <v>300000000</v>
      </c>
      <c r="G86" s="134"/>
      <c r="H86" s="135" t="s">
        <v>753</v>
      </c>
      <c r="I86" s="136" t="s">
        <v>256</v>
      </c>
      <c r="J86" s="137">
        <v>5</v>
      </c>
      <c r="K86" s="138">
        <v>5</v>
      </c>
      <c r="L86" s="139">
        <v>6</v>
      </c>
      <c r="M86" s="132">
        <f t="shared" si="15"/>
        <v>1</v>
      </c>
      <c r="N86" s="140" t="s">
        <v>36</v>
      </c>
      <c r="O86" s="141" t="str">
        <f>IF(ISBLANK(N86),"",VLOOKUP(N86,[6]Parámetros!$G$2:$H$23,2,FALSE))</f>
        <v xml:space="preserve">Contratación directa (con ofertas) </v>
      </c>
      <c r="P86" s="142">
        <f t="shared" si="16"/>
        <v>1</v>
      </c>
      <c r="Q86" s="143">
        <f t="shared" si="17"/>
        <v>300000000</v>
      </c>
      <c r="R86" s="143">
        <f t="shared" si="18"/>
        <v>300000000</v>
      </c>
      <c r="S86" s="144" t="s">
        <v>222</v>
      </c>
      <c r="T86" s="140">
        <f t="shared" si="19"/>
        <v>0</v>
      </c>
      <c r="U86" s="145" t="str">
        <f t="shared" si="20"/>
        <v>SUBDIRECCION DE GESTION CONTRACTUAL</v>
      </c>
      <c r="V86" s="132" t="str">
        <f t="shared" si="21"/>
        <v>CO-DC</v>
      </c>
      <c r="W86" s="145" t="str">
        <f t="shared" si="22"/>
        <v>Distrito Capital de Bogotá</v>
      </c>
      <c r="X86" s="146" t="s">
        <v>177</v>
      </c>
      <c r="Y86" s="132">
        <v>2427400</v>
      </c>
      <c r="Z86" s="148" t="s">
        <v>178</v>
      </c>
    </row>
    <row r="87" spans="1:26" s="7" customFormat="1" ht="12.75" customHeight="1" x14ac:dyDescent="0.2">
      <c r="A87" s="131" t="s">
        <v>176</v>
      </c>
      <c r="B87" s="132">
        <v>33</v>
      </c>
      <c r="C87" s="133" t="s">
        <v>257</v>
      </c>
      <c r="D87" s="133" t="s">
        <v>809</v>
      </c>
      <c r="E87" s="134"/>
      <c r="F87" s="134">
        <v>300000000</v>
      </c>
      <c r="G87" s="134"/>
      <c r="H87" s="135" t="s">
        <v>753</v>
      </c>
      <c r="I87" s="136" t="s">
        <v>258</v>
      </c>
      <c r="J87" s="137">
        <v>4</v>
      </c>
      <c r="K87" s="137">
        <v>4</v>
      </c>
      <c r="L87" s="139">
        <v>7</v>
      </c>
      <c r="M87" s="132">
        <f t="shared" si="15"/>
        <v>1</v>
      </c>
      <c r="N87" s="140" t="s">
        <v>36</v>
      </c>
      <c r="O87" s="141" t="str">
        <f>IF(ISBLANK(N87),"",VLOOKUP(N87,[6]Parámetros!$G$2:$H$23,2,FALSE))</f>
        <v xml:space="preserve">Contratación directa (con ofertas) </v>
      </c>
      <c r="P87" s="142">
        <f t="shared" si="16"/>
        <v>1</v>
      </c>
      <c r="Q87" s="143">
        <f t="shared" si="17"/>
        <v>300000000</v>
      </c>
      <c r="R87" s="143">
        <f t="shared" si="18"/>
        <v>300000000</v>
      </c>
      <c r="S87" s="144" t="s">
        <v>222</v>
      </c>
      <c r="T87" s="140">
        <f t="shared" si="19"/>
        <v>0</v>
      </c>
      <c r="U87" s="145" t="str">
        <f t="shared" si="20"/>
        <v>SUBDIRECCION DE GESTION CONTRACTUAL</v>
      </c>
      <c r="V87" s="132" t="str">
        <f t="shared" si="21"/>
        <v>CO-DC</v>
      </c>
      <c r="W87" s="145" t="str">
        <f t="shared" si="22"/>
        <v>Distrito Capital de Bogotá</v>
      </c>
      <c r="X87" s="146" t="s">
        <v>177</v>
      </c>
      <c r="Y87" s="132">
        <v>2427400</v>
      </c>
      <c r="Z87" s="148" t="s">
        <v>178</v>
      </c>
    </row>
    <row r="88" spans="1:26" s="7" customFormat="1" ht="12.75" customHeight="1" x14ac:dyDescent="0.2">
      <c r="A88" s="131" t="s">
        <v>176</v>
      </c>
      <c r="B88" s="132">
        <v>34</v>
      </c>
      <c r="C88" s="133" t="s">
        <v>250</v>
      </c>
      <c r="D88" s="133" t="s">
        <v>809</v>
      </c>
      <c r="E88" s="134"/>
      <c r="F88" s="134">
        <v>240000000</v>
      </c>
      <c r="G88" s="134"/>
      <c r="H88" s="135">
        <v>80111600</v>
      </c>
      <c r="I88" s="136" t="s">
        <v>237</v>
      </c>
      <c r="J88" s="137">
        <v>1</v>
      </c>
      <c r="K88" s="138">
        <v>1</v>
      </c>
      <c r="L88" s="139">
        <v>12</v>
      </c>
      <c r="M88" s="132">
        <f t="shared" si="15"/>
        <v>1</v>
      </c>
      <c r="N88" s="140" t="s">
        <v>216</v>
      </c>
      <c r="O88" s="141" t="str">
        <f>IF(ISBLANK(N88),"",VLOOKUP(N88,[6]Parámetros!$G$2:$H$23,2,FALSE))</f>
        <v>Contratación directa.</v>
      </c>
      <c r="P88" s="142">
        <f t="shared" si="16"/>
        <v>1</v>
      </c>
      <c r="Q88" s="143">
        <f t="shared" si="17"/>
        <v>240000000</v>
      </c>
      <c r="R88" s="143">
        <f t="shared" si="18"/>
        <v>240000000</v>
      </c>
      <c r="S88" s="144" t="s">
        <v>222</v>
      </c>
      <c r="T88" s="140">
        <f t="shared" si="19"/>
        <v>0</v>
      </c>
      <c r="U88" s="145" t="str">
        <f t="shared" si="20"/>
        <v>SUBDIRECCION DE GESTION CONTRACTUAL</v>
      </c>
      <c r="V88" s="132" t="str">
        <f t="shared" si="21"/>
        <v>CO-DC</v>
      </c>
      <c r="W88" s="145" t="str">
        <f t="shared" si="22"/>
        <v>Distrito Capital de Bogotá</v>
      </c>
      <c r="X88" s="146" t="s">
        <v>177</v>
      </c>
      <c r="Y88" s="132">
        <v>2427400</v>
      </c>
      <c r="Z88" s="148" t="s">
        <v>178</v>
      </c>
    </row>
    <row r="89" spans="1:26" s="7" customFormat="1" ht="12.75" customHeight="1" x14ac:dyDescent="0.2">
      <c r="A89" s="131" t="s">
        <v>176</v>
      </c>
      <c r="B89" s="132">
        <v>35</v>
      </c>
      <c r="C89" s="133" t="s">
        <v>250</v>
      </c>
      <c r="D89" s="133" t="s">
        <v>809</v>
      </c>
      <c r="E89" s="134"/>
      <c r="F89" s="134">
        <v>880000000</v>
      </c>
      <c r="G89" s="134"/>
      <c r="H89" s="135">
        <v>80111600</v>
      </c>
      <c r="I89" s="136" t="s">
        <v>237</v>
      </c>
      <c r="J89" s="137">
        <v>1</v>
      </c>
      <c r="K89" s="138">
        <v>1</v>
      </c>
      <c r="L89" s="139">
        <v>12</v>
      </c>
      <c r="M89" s="132">
        <f t="shared" si="15"/>
        <v>1</v>
      </c>
      <c r="N89" s="140" t="s">
        <v>216</v>
      </c>
      <c r="O89" s="141" t="str">
        <f>IF(ISBLANK(N89),"",VLOOKUP(N89,[6]Parámetros!$G$2:$H$23,2,FALSE))</f>
        <v>Contratación directa.</v>
      </c>
      <c r="P89" s="142">
        <f t="shared" si="16"/>
        <v>1</v>
      </c>
      <c r="Q89" s="143">
        <f t="shared" si="17"/>
        <v>880000000</v>
      </c>
      <c r="R89" s="143">
        <f t="shared" si="18"/>
        <v>880000000</v>
      </c>
      <c r="S89" s="144" t="s">
        <v>222</v>
      </c>
      <c r="T89" s="140">
        <f t="shared" si="19"/>
        <v>0</v>
      </c>
      <c r="U89" s="145" t="str">
        <f t="shared" si="20"/>
        <v>SUBDIRECCION DE GESTION CONTRACTUAL</v>
      </c>
      <c r="V89" s="132" t="str">
        <f t="shared" si="21"/>
        <v>CO-DC</v>
      </c>
      <c r="W89" s="145" t="str">
        <f t="shared" si="22"/>
        <v>Distrito Capital de Bogotá</v>
      </c>
      <c r="X89" s="146" t="s">
        <v>177</v>
      </c>
      <c r="Y89" s="132">
        <v>2427400</v>
      </c>
      <c r="Z89" s="148" t="s">
        <v>178</v>
      </c>
    </row>
    <row r="90" spans="1:26" s="7" customFormat="1" ht="12.75" customHeight="1" x14ac:dyDescent="0.2">
      <c r="A90" s="131" t="s">
        <v>176</v>
      </c>
      <c r="B90" s="132">
        <v>36</v>
      </c>
      <c r="C90" s="133" t="s">
        <v>257</v>
      </c>
      <c r="D90" s="133" t="s">
        <v>179</v>
      </c>
      <c r="E90" s="134"/>
      <c r="F90" s="134">
        <f>3781000000-500000000-400000000</f>
        <v>2881000000</v>
      </c>
      <c r="G90" s="134"/>
      <c r="H90" s="135" t="s">
        <v>752</v>
      </c>
      <c r="I90" s="136" t="s">
        <v>238</v>
      </c>
      <c r="J90" s="137">
        <v>2</v>
      </c>
      <c r="K90" s="138">
        <v>3</v>
      </c>
      <c r="L90" s="139">
        <v>9</v>
      </c>
      <c r="M90" s="132">
        <f t="shared" si="15"/>
        <v>1</v>
      </c>
      <c r="N90" s="140" t="s">
        <v>226</v>
      </c>
      <c r="O90" s="141" t="str">
        <f>IF(ISBLANK(N90),"",VLOOKUP(N90,[6]Parámetros!$G$2:$H$23,2,FALSE))</f>
        <v>Licitación pública</v>
      </c>
      <c r="P90" s="142">
        <f t="shared" si="16"/>
        <v>1</v>
      </c>
      <c r="Q90" s="143">
        <f t="shared" si="17"/>
        <v>2881000000</v>
      </c>
      <c r="R90" s="143">
        <f t="shared" si="18"/>
        <v>2881000000</v>
      </c>
      <c r="S90" s="144" t="s">
        <v>222</v>
      </c>
      <c r="T90" s="140">
        <f t="shared" si="19"/>
        <v>0</v>
      </c>
      <c r="U90" s="145" t="str">
        <f t="shared" si="20"/>
        <v>SUBDIRECCION DE GESTION CONTRACTUAL</v>
      </c>
      <c r="V90" s="132" t="str">
        <f t="shared" si="21"/>
        <v>CO-DC</v>
      </c>
      <c r="W90" s="145" t="str">
        <f t="shared" si="22"/>
        <v>Distrito Capital de Bogotá</v>
      </c>
      <c r="X90" s="146" t="s">
        <v>177</v>
      </c>
      <c r="Y90" s="132">
        <v>2427400</v>
      </c>
      <c r="Z90" s="148" t="s">
        <v>178</v>
      </c>
    </row>
    <row r="91" spans="1:26" s="7" customFormat="1" ht="12.75" customHeight="1" x14ac:dyDescent="0.2">
      <c r="A91" s="131" t="s">
        <v>176</v>
      </c>
      <c r="B91" s="132">
        <v>37</v>
      </c>
      <c r="C91" s="133" t="s">
        <v>257</v>
      </c>
      <c r="D91" s="133" t="s">
        <v>179</v>
      </c>
      <c r="E91" s="134"/>
      <c r="F91" s="134">
        <v>350000000</v>
      </c>
      <c r="G91" s="134"/>
      <c r="H91" s="135" t="s">
        <v>103</v>
      </c>
      <c r="I91" s="136" t="s">
        <v>592</v>
      </c>
      <c r="J91" s="137">
        <v>2</v>
      </c>
      <c r="K91" s="138">
        <v>3</v>
      </c>
      <c r="L91" s="139">
        <v>10</v>
      </c>
      <c r="M91" s="132">
        <f t="shared" si="15"/>
        <v>1</v>
      </c>
      <c r="N91" s="140" t="s">
        <v>36</v>
      </c>
      <c r="O91" s="141" t="str">
        <f>IF(ISBLANK(N91),"",VLOOKUP(N91,[1]Parámetros!$G$2:$H$23,2,FALSE))</f>
        <v xml:space="preserve">Contratación directa (con ofertas) </v>
      </c>
      <c r="P91" s="142">
        <f t="shared" si="16"/>
        <v>1</v>
      </c>
      <c r="Q91" s="143">
        <f t="shared" si="17"/>
        <v>350000000</v>
      </c>
      <c r="R91" s="143">
        <f t="shared" si="18"/>
        <v>350000000</v>
      </c>
      <c r="S91" s="144" t="s">
        <v>222</v>
      </c>
      <c r="T91" s="140">
        <f t="shared" si="19"/>
        <v>0</v>
      </c>
      <c r="U91" s="145" t="str">
        <f t="shared" si="20"/>
        <v>SUBDIRECCION DE GESTION CONTRACTUAL</v>
      </c>
      <c r="V91" s="132" t="str">
        <f t="shared" si="21"/>
        <v>CO-DC</v>
      </c>
      <c r="W91" s="145" t="str">
        <f t="shared" si="22"/>
        <v>Distrito Capital de Bogotá</v>
      </c>
      <c r="X91" s="146" t="s">
        <v>177</v>
      </c>
      <c r="Y91" s="132">
        <v>2427400</v>
      </c>
      <c r="Z91" s="148" t="s">
        <v>178</v>
      </c>
    </row>
    <row r="92" spans="1:26" s="7" customFormat="1" ht="12.75" customHeight="1" x14ac:dyDescent="0.2">
      <c r="A92" s="131" t="s">
        <v>176</v>
      </c>
      <c r="B92" s="132">
        <v>38</v>
      </c>
      <c r="C92" s="133" t="s">
        <v>257</v>
      </c>
      <c r="D92" s="133" t="s">
        <v>179</v>
      </c>
      <c r="E92" s="134"/>
      <c r="F92" s="134">
        <v>15000000</v>
      </c>
      <c r="G92" s="134"/>
      <c r="H92" s="135" t="s">
        <v>51</v>
      </c>
      <c r="I92" s="136" t="s">
        <v>259</v>
      </c>
      <c r="J92" s="137">
        <v>4</v>
      </c>
      <c r="K92" s="138">
        <v>6</v>
      </c>
      <c r="L92" s="139">
        <v>1</v>
      </c>
      <c r="M92" s="132">
        <f t="shared" si="15"/>
        <v>1</v>
      </c>
      <c r="N92" s="140" t="s">
        <v>43</v>
      </c>
      <c r="O92" s="141" t="str">
        <f>IF(ISBLANK(N92),"",VLOOKUP(N92,[6]Parámetros!$G$2:$H$23,2,FALSE))</f>
        <v>Selección abreviada subasta inversa</v>
      </c>
      <c r="P92" s="142">
        <f t="shared" si="16"/>
        <v>1</v>
      </c>
      <c r="Q92" s="143">
        <f t="shared" si="17"/>
        <v>15000000</v>
      </c>
      <c r="R92" s="143">
        <f t="shared" si="18"/>
        <v>15000000</v>
      </c>
      <c r="S92" s="144" t="s">
        <v>222</v>
      </c>
      <c r="T92" s="140">
        <f t="shared" si="19"/>
        <v>0</v>
      </c>
      <c r="U92" s="145" t="str">
        <f t="shared" si="20"/>
        <v>SUBDIRECCION DE GESTION CONTRACTUAL</v>
      </c>
      <c r="V92" s="132" t="str">
        <f t="shared" si="21"/>
        <v>CO-DC</v>
      </c>
      <c r="W92" s="145" t="str">
        <f t="shared" si="22"/>
        <v>Distrito Capital de Bogotá</v>
      </c>
      <c r="X92" s="146" t="s">
        <v>73</v>
      </c>
      <c r="Y92" s="132">
        <v>2427400</v>
      </c>
      <c r="Z92" s="148" t="s">
        <v>74</v>
      </c>
    </row>
    <row r="93" spans="1:26" s="7" customFormat="1" ht="12.75" customHeight="1" x14ac:dyDescent="0.2">
      <c r="A93" s="131" t="s">
        <v>176</v>
      </c>
      <c r="B93" s="132">
        <v>39</v>
      </c>
      <c r="C93" s="133" t="s">
        <v>257</v>
      </c>
      <c r="D93" s="133" t="s">
        <v>179</v>
      </c>
      <c r="E93" s="134"/>
      <c r="F93" s="134">
        <v>300000000</v>
      </c>
      <c r="G93" s="134"/>
      <c r="H93" s="135" t="s">
        <v>230</v>
      </c>
      <c r="I93" s="136" t="s">
        <v>260</v>
      </c>
      <c r="J93" s="137">
        <v>2</v>
      </c>
      <c r="K93" s="138">
        <v>3</v>
      </c>
      <c r="L93" s="139">
        <v>4</v>
      </c>
      <c r="M93" s="132">
        <f t="shared" si="15"/>
        <v>1</v>
      </c>
      <c r="N93" s="140" t="s">
        <v>43</v>
      </c>
      <c r="O93" s="141" t="str">
        <f>IF(ISBLANK(N93),"",VLOOKUP(N93,[6]Parámetros!$G$2:$H$23,2,FALSE))</f>
        <v>Selección abreviada subasta inversa</v>
      </c>
      <c r="P93" s="142">
        <f t="shared" si="16"/>
        <v>1</v>
      </c>
      <c r="Q93" s="143">
        <f t="shared" si="17"/>
        <v>300000000</v>
      </c>
      <c r="R93" s="143">
        <f t="shared" si="18"/>
        <v>300000000</v>
      </c>
      <c r="S93" s="144" t="s">
        <v>222</v>
      </c>
      <c r="T93" s="140">
        <f t="shared" si="19"/>
        <v>0</v>
      </c>
      <c r="U93" s="145" t="str">
        <f t="shared" si="20"/>
        <v>SUBDIRECCION DE GESTION CONTRACTUAL</v>
      </c>
      <c r="V93" s="132" t="str">
        <f t="shared" si="21"/>
        <v>CO-DC</v>
      </c>
      <c r="W93" s="145" t="str">
        <f t="shared" si="22"/>
        <v>Distrito Capital de Bogotá</v>
      </c>
      <c r="X93" s="146" t="s">
        <v>307</v>
      </c>
      <c r="Y93" s="132">
        <v>2427400</v>
      </c>
      <c r="Z93" s="148" t="s">
        <v>94</v>
      </c>
    </row>
    <row r="94" spans="1:26" s="7" customFormat="1" ht="12.75" customHeight="1" x14ac:dyDescent="0.2">
      <c r="A94" s="131" t="s">
        <v>176</v>
      </c>
      <c r="B94" s="132">
        <v>40</v>
      </c>
      <c r="C94" s="133" t="s">
        <v>257</v>
      </c>
      <c r="D94" s="133" t="s">
        <v>179</v>
      </c>
      <c r="E94" s="134"/>
      <c r="F94" s="134">
        <v>600000000</v>
      </c>
      <c r="G94" s="134"/>
      <c r="H94" s="135" t="s">
        <v>42</v>
      </c>
      <c r="I94" s="136" t="s">
        <v>261</v>
      </c>
      <c r="J94" s="137">
        <v>3</v>
      </c>
      <c r="K94" s="138">
        <v>4</v>
      </c>
      <c r="L94" s="139">
        <v>9</v>
      </c>
      <c r="M94" s="132">
        <f t="shared" si="15"/>
        <v>1</v>
      </c>
      <c r="N94" s="140" t="s">
        <v>61</v>
      </c>
      <c r="O94" s="141" t="str">
        <f>IF(ISBLANK(N94),"",VLOOKUP(N94,[6]Parámetros!$G$2:$H$23,2,FALSE))</f>
        <v>Contratación régimen especial - Selección de comisionista</v>
      </c>
      <c r="P94" s="142">
        <f t="shared" si="16"/>
        <v>1</v>
      </c>
      <c r="Q94" s="143">
        <f t="shared" si="17"/>
        <v>600000000</v>
      </c>
      <c r="R94" s="143">
        <f t="shared" si="18"/>
        <v>600000000</v>
      </c>
      <c r="S94" s="144" t="s">
        <v>222</v>
      </c>
      <c r="T94" s="140">
        <f t="shared" si="19"/>
        <v>0</v>
      </c>
      <c r="U94" s="145" t="str">
        <f t="shared" si="20"/>
        <v>SUBDIRECCION DE GESTION CONTRACTUAL</v>
      </c>
      <c r="V94" s="132" t="str">
        <f t="shared" si="21"/>
        <v>CO-DC</v>
      </c>
      <c r="W94" s="145" t="str">
        <f t="shared" si="22"/>
        <v>Distrito Capital de Bogotá</v>
      </c>
      <c r="X94" s="146" t="s">
        <v>331</v>
      </c>
      <c r="Y94" s="132">
        <v>2427400</v>
      </c>
      <c r="Z94" s="148" t="s">
        <v>75</v>
      </c>
    </row>
    <row r="95" spans="1:26" s="7" customFormat="1" ht="12.75" customHeight="1" x14ac:dyDescent="0.2">
      <c r="A95" s="131" t="s">
        <v>176</v>
      </c>
      <c r="B95" s="132">
        <v>41</v>
      </c>
      <c r="C95" s="133" t="s">
        <v>257</v>
      </c>
      <c r="D95" s="133" t="s">
        <v>179</v>
      </c>
      <c r="E95" s="134"/>
      <c r="F95" s="134">
        <v>20000000</v>
      </c>
      <c r="G95" s="134"/>
      <c r="H95" s="135" t="s">
        <v>262</v>
      </c>
      <c r="I95" s="136" t="s">
        <v>263</v>
      </c>
      <c r="J95" s="137">
        <v>5</v>
      </c>
      <c r="K95" s="138">
        <v>6</v>
      </c>
      <c r="L95" s="139">
        <v>1</v>
      </c>
      <c r="M95" s="132">
        <f t="shared" si="15"/>
        <v>1</v>
      </c>
      <c r="N95" s="140" t="s">
        <v>53</v>
      </c>
      <c r="O95" s="141" t="str">
        <f>IF(ISBLANK(N95),"",VLOOKUP(N95,[6]Parámetros!$G$2:$H$23,2,FALSE))</f>
        <v>Seléccion abreviada - acuerdo marco</v>
      </c>
      <c r="P95" s="142">
        <f t="shared" si="16"/>
        <v>1</v>
      </c>
      <c r="Q95" s="143">
        <f t="shared" si="17"/>
        <v>20000000</v>
      </c>
      <c r="R95" s="143">
        <f t="shared" si="18"/>
        <v>20000000</v>
      </c>
      <c r="S95" s="144" t="s">
        <v>222</v>
      </c>
      <c r="T95" s="140">
        <f t="shared" si="19"/>
        <v>0</v>
      </c>
      <c r="U95" s="145" t="str">
        <f t="shared" si="20"/>
        <v>SUBDIRECCION DE GESTION CONTRACTUAL</v>
      </c>
      <c r="V95" s="132" t="str">
        <f t="shared" si="21"/>
        <v>CO-DC</v>
      </c>
      <c r="W95" s="145" t="str">
        <f t="shared" si="22"/>
        <v>Distrito Capital de Bogotá</v>
      </c>
      <c r="X95" s="146" t="s">
        <v>77</v>
      </c>
      <c r="Y95" s="132">
        <v>2427400</v>
      </c>
      <c r="Z95" s="148" t="s">
        <v>264</v>
      </c>
    </row>
    <row r="96" spans="1:26" s="7" customFormat="1" ht="12.75" customHeight="1" x14ac:dyDescent="0.2">
      <c r="A96" s="131" t="s">
        <v>176</v>
      </c>
      <c r="B96" s="132">
        <v>42</v>
      </c>
      <c r="C96" s="133" t="s">
        <v>257</v>
      </c>
      <c r="D96" s="133" t="s">
        <v>179</v>
      </c>
      <c r="E96" s="134"/>
      <c r="F96" s="134">
        <v>300000000</v>
      </c>
      <c r="G96" s="134"/>
      <c r="H96" s="135" t="s">
        <v>604</v>
      </c>
      <c r="I96" s="136" t="s">
        <v>265</v>
      </c>
      <c r="J96" s="137">
        <v>2</v>
      </c>
      <c r="K96" s="138">
        <v>2</v>
      </c>
      <c r="L96" s="139">
        <v>10</v>
      </c>
      <c r="M96" s="132">
        <f t="shared" si="15"/>
        <v>1</v>
      </c>
      <c r="N96" s="140" t="s">
        <v>36</v>
      </c>
      <c r="O96" s="141" t="str">
        <f>IF(ISBLANK(N96),"",VLOOKUP(N96,[6]Parámetros!$G$2:$H$23,2,FALSE))</f>
        <v xml:space="preserve">Contratación directa (con ofertas) </v>
      </c>
      <c r="P96" s="142">
        <f t="shared" si="16"/>
        <v>1</v>
      </c>
      <c r="Q96" s="143">
        <f t="shared" si="17"/>
        <v>300000000</v>
      </c>
      <c r="R96" s="143">
        <f t="shared" si="18"/>
        <v>300000000</v>
      </c>
      <c r="S96" s="144" t="s">
        <v>222</v>
      </c>
      <c r="T96" s="140">
        <f t="shared" si="19"/>
        <v>0</v>
      </c>
      <c r="U96" s="145" t="str">
        <f t="shared" si="20"/>
        <v>SUBDIRECCION DE GESTION CONTRACTUAL</v>
      </c>
      <c r="V96" s="132" t="str">
        <f t="shared" si="21"/>
        <v>CO-DC</v>
      </c>
      <c r="W96" s="145" t="str">
        <f t="shared" si="22"/>
        <v>Distrito Capital de Bogotá</v>
      </c>
      <c r="X96" s="146" t="s">
        <v>307</v>
      </c>
      <c r="Y96" s="132">
        <v>2427400</v>
      </c>
      <c r="Z96" s="148" t="s">
        <v>94</v>
      </c>
    </row>
    <row r="97" spans="1:26" s="7" customFormat="1" ht="12.75" customHeight="1" x14ac:dyDescent="0.2">
      <c r="A97" s="131" t="s">
        <v>176</v>
      </c>
      <c r="B97" s="132">
        <v>43</v>
      </c>
      <c r="C97" s="133" t="s">
        <v>257</v>
      </c>
      <c r="D97" s="133" t="s">
        <v>179</v>
      </c>
      <c r="E97" s="134"/>
      <c r="F97" s="134">
        <v>2950000000</v>
      </c>
      <c r="G97" s="134"/>
      <c r="H97" s="135">
        <v>80111600</v>
      </c>
      <c r="I97" s="136" t="s">
        <v>237</v>
      </c>
      <c r="J97" s="137">
        <v>1</v>
      </c>
      <c r="K97" s="138">
        <v>1</v>
      </c>
      <c r="L97" s="139">
        <v>12</v>
      </c>
      <c r="M97" s="132">
        <f t="shared" si="15"/>
        <v>1</v>
      </c>
      <c r="N97" s="140" t="s">
        <v>216</v>
      </c>
      <c r="O97" s="141" t="str">
        <f>IF(ISBLANK(N97),"",VLOOKUP(N97,[6]Parámetros!$G$2:$H$23,2,FALSE))</f>
        <v>Contratación directa.</v>
      </c>
      <c r="P97" s="142">
        <f t="shared" si="16"/>
        <v>1</v>
      </c>
      <c r="Q97" s="143">
        <f t="shared" si="17"/>
        <v>2950000000</v>
      </c>
      <c r="R97" s="143">
        <f t="shared" si="18"/>
        <v>2950000000</v>
      </c>
      <c r="S97" s="144" t="s">
        <v>222</v>
      </c>
      <c r="T97" s="140">
        <f t="shared" si="19"/>
        <v>0</v>
      </c>
      <c r="U97" s="145" t="str">
        <f t="shared" si="20"/>
        <v>SUBDIRECCION DE GESTION CONTRACTUAL</v>
      </c>
      <c r="V97" s="132" t="str">
        <f t="shared" si="21"/>
        <v>CO-DC</v>
      </c>
      <c r="W97" s="145" t="str">
        <f t="shared" si="22"/>
        <v>Distrito Capital de Bogotá</v>
      </c>
      <c r="X97" s="146" t="s">
        <v>177</v>
      </c>
      <c r="Y97" s="132">
        <v>2427400</v>
      </c>
      <c r="Z97" s="148" t="s">
        <v>178</v>
      </c>
    </row>
    <row r="98" spans="1:26" s="7" customFormat="1" ht="12.75" customHeight="1" x14ac:dyDescent="0.2">
      <c r="A98" s="131" t="s">
        <v>176</v>
      </c>
      <c r="B98" s="132">
        <v>44</v>
      </c>
      <c r="C98" s="133" t="s">
        <v>257</v>
      </c>
      <c r="D98" s="133" t="s">
        <v>179</v>
      </c>
      <c r="E98" s="134"/>
      <c r="F98" s="134">
        <f>500000000-500000000</f>
        <v>0</v>
      </c>
      <c r="G98" s="134"/>
      <c r="H98" s="135" t="s">
        <v>752</v>
      </c>
      <c r="I98" s="136" t="s">
        <v>238</v>
      </c>
      <c r="J98" s="160">
        <v>1</v>
      </c>
      <c r="K98" s="160">
        <v>2</v>
      </c>
      <c r="L98" s="160">
        <v>3</v>
      </c>
      <c r="M98" s="132">
        <f t="shared" si="15"/>
        <v>1</v>
      </c>
      <c r="N98" s="140" t="s">
        <v>36</v>
      </c>
      <c r="O98" s="141" t="str">
        <f>IF(ISBLANK(N98),"",VLOOKUP(N98,[6]Parámetros!$G$2:$H$23,2,FALSE))</f>
        <v xml:space="preserve">Contratación directa (con ofertas) </v>
      </c>
      <c r="P98" s="142">
        <f t="shared" si="16"/>
        <v>1</v>
      </c>
      <c r="Q98" s="143">
        <f t="shared" si="17"/>
        <v>0</v>
      </c>
      <c r="R98" s="143">
        <f t="shared" si="18"/>
        <v>0</v>
      </c>
      <c r="S98" s="144" t="s">
        <v>222</v>
      </c>
      <c r="T98" s="140">
        <f t="shared" si="19"/>
        <v>0</v>
      </c>
      <c r="U98" s="145" t="str">
        <f t="shared" si="20"/>
        <v>SUBDIRECCION DE GESTION CONTRACTUAL</v>
      </c>
      <c r="V98" s="132" t="str">
        <f t="shared" si="21"/>
        <v>CO-DC</v>
      </c>
      <c r="W98" s="145" t="str">
        <f t="shared" si="22"/>
        <v>Distrito Capital de Bogotá</v>
      </c>
      <c r="X98" s="146" t="s">
        <v>177</v>
      </c>
      <c r="Y98" s="132">
        <v>2427400</v>
      </c>
      <c r="Z98" s="148" t="s">
        <v>178</v>
      </c>
    </row>
    <row r="99" spans="1:26" s="7" customFormat="1" ht="12.75" customHeight="1" x14ac:dyDescent="0.2">
      <c r="A99" s="131" t="s">
        <v>176</v>
      </c>
      <c r="B99" s="132">
        <v>45</v>
      </c>
      <c r="C99" s="133" t="s">
        <v>244</v>
      </c>
      <c r="D99" s="133" t="s">
        <v>179</v>
      </c>
      <c r="E99" s="134"/>
      <c r="F99" s="134">
        <f>500000000-500000000</f>
        <v>0</v>
      </c>
      <c r="G99" s="134"/>
      <c r="H99" s="135" t="s">
        <v>752</v>
      </c>
      <c r="I99" s="136" t="s">
        <v>238</v>
      </c>
      <c r="J99" s="160">
        <v>1</v>
      </c>
      <c r="K99" s="160">
        <v>2</v>
      </c>
      <c r="L99" s="160">
        <v>3</v>
      </c>
      <c r="M99" s="132">
        <f t="shared" si="15"/>
        <v>1</v>
      </c>
      <c r="N99" s="140" t="s">
        <v>36</v>
      </c>
      <c r="O99" s="141" t="str">
        <f>IF(ISBLANK(N99),"",VLOOKUP(N99,[6]Parámetros!$G$2:$H$23,2,FALSE))</f>
        <v xml:space="preserve">Contratación directa (con ofertas) </v>
      </c>
      <c r="P99" s="142">
        <v>1</v>
      </c>
      <c r="Q99" s="143">
        <f t="shared" si="17"/>
        <v>0</v>
      </c>
      <c r="R99" s="143">
        <f t="shared" si="18"/>
        <v>0</v>
      </c>
      <c r="S99" s="144" t="s">
        <v>222</v>
      </c>
      <c r="T99" s="140">
        <v>0</v>
      </c>
      <c r="U99" s="145" t="str">
        <f t="shared" si="20"/>
        <v>SUBDIRECCION DE GESTION CONTRACTUAL</v>
      </c>
      <c r="V99" s="132" t="s">
        <v>39</v>
      </c>
      <c r="W99" s="145" t="s">
        <v>38</v>
      </c>
      <c r="X99" s="146" t="s">
        <v>177</v>
      </c>
      <c r="Y99" s="132">
        <v>2427400</v>
      </c>
      <c r="Z99" s="148" t="s">
        <v>178</v>
      </c>
    </row>
    <row r="100" spans="1:26" s="7" customFormat="1" ht="12.75" customHeight="1" x14ac:dyDescent="0.25">
      <c r="A100" s="131" t="s">
        <v>176</v>
      </c>
      <c r="B100" s="132">
        <v>46</v>
      </c>
      <c r="C100" s="133" t="s">
        <v>257</v>
      </c>
      <c r="D100" s="133" t="s">
        <v>179</v>
      </c>
      <c r="E100" s="134"/>
      <c r="F100" s="134">
        <f>200000000+100000000</f>
        <v>300000000</v>
      </c>
      <c r="G100" s="134"/>
      <c r="H100" s="161" t="s">
        <v>823</v>
      </c>
      <c r="I100" s="162" t="s">
        <v>824</v>
      </c>
      <c r="J100" s="160">
        <v>3</v>
      </c>
      <c r="K100" s="160">
        <v>4</v>
      </c>
      <c r="L100" s="160">
        <v>3</v>
      </c>
      <c r="M100" s="132">
        <v>1</v>
      </c>
      <c r="N100" s="140" t="s">
        <v>36</v>
      </c>
      <c r="O100" s="141" t="str">
        <f>IF(ISBLANK(N100),"",VLOOKUP(N100,[6]Parámetros!$G$2:$H$23,2,FALSE))</f>
        <v xml:space="preserve">Contratación directa (con ofertas) </v>
      </c>
      <c r="P100" s="142">
        <v>1</v>
      </c>
      <c r="Q100" s="143">
        <f t="shared" si="17"/>
        <v>300000000</v>
      </c>
      <c r="R100" s="143">
        <f t="shared" si="18"/>
        <v>300000000</v>
      </c>
      <c r="S100" s="144">
        <v>0</v>
      </c>
      <c r="T100" s="140">
        <v>0</v>
      </c>
      <c r="U100" s="145" t="str">
        <f t="shared" si="20"/>
        <v>SUBDIRECCION DE GESTION CONTRACTUAL</v>
      </c>
      <c r="V100" s="132" t="s">
        <v>39</v>
      </c>
      <c r="W100" s="145" t="s">
        <v>38</v>
      </c>
      <c r="X100" s="146" t="s">
        <v>177</v>
      </c>
      <c r="Y100" s="132">
        <v>2427400</v>
      </c>
      <c r="Z100" s="127" t="s">
        <v>178</v>
      </c>
    </row>
    <row r="101" spans="1:26" s="7" customFormat="1" ht="12.75" customHeight="1" x14ac:dyDescent="0.25">
      <c r="A101" s="131" t="s">
        <v>176</v>
      </c>
      <c r="B101" s="132">
        <v>47</v>
      </c>
      <c r="C101" s="133" t="s">
        <v>826</v>
      </c>
      <c r="D101" s="133" t="s">
        <v>179</v>
      </c>
      <c r="E101" s="134"/>
      <c r="F101" s="134">
        <v>1300000000</v>
      </c>
      <c r="G101" s="134"/>
      <c r="H101" s="161" t="s">
        <v>828</v>
      </c>
      <c r="I101" s="162" t="s">
        <v>827</v>
      </c>
      <c r="J101" s="160">
        <v>3</v>
      </c>
      <c r="K101" s="160">
        <v>4</v>
      </c>
      <c r="L101" s="160">
        <v>4</v>
      </c>
      <c r="M101" s="132">
        <v>1</v>
      </c>
      <c r="N101" s="140" t="s">
        <v>36</v>
      </c>
      <c r="O101" s="141" t="str">
        <f>IF(ISBLANK(N101),"",VLOOKUP(N101,[6]Parámetros!$G$2:$H$23,2,FALSE))</f>
        <v xml:space="preserve">Contratación directa (con ofertas) </v>
      </c>
      <c r="P101" s="142">
        <v>1</v>
      </c>
      <c r="Q101" s="143">
        <f t="shared" si="17"/>
        <v>1300000000</v>
      </c>
      <c r="R101" s="143">
        <f t="shared" si="18"/>
        <v>1300000000</v>
      </c>
      <c r="S101" s="144">
        <v>0</v>
      </c>
      <c r="T101" s="140">
        <v>0</v>
      </c>
      <c r="U101" s="145" t="str">
        <f t="shared" si="20"/>
        <v>SUBDIRECCION DE GESTION CONTRACTUAL</v>
      </c>
      <c r="V101" s="132" t="s">
        <v>39</v>
      </c>
      <c r="W101" s="145" t="s">
        <v>38</v>
      </c>
      <c r="X101" s="146" t="s">
        <v>177</v>
      </c>
      <c r="Y101" s="132">
        <v>2427400</v>
      </c>
      <c r="Z101" s="127" t="s">
        <v>178</v>
      </c>
    </row>
    <row r="102" spans="1:26" s="7" customFormat="1" ht="12.75" customHeight="1" x14ac:dyDescent="0.25">
      <c r="A102" s="131" t="s">
        <v>176</v>
      </c>
      <c r="B102" s="132">
        <v>48</v>
      </c>
      <c r="C102" s="133" t="s">
        <v>236</v>
      </c>
      <c r="D102" s="133" t="s">
        <v>179</v>
      </c>
      <c r="E102" s="134"/>
      <c r="F102" s="134">
        <v>800000000</v>
      </c>
      <c r="G102" s="134"/>
      <c r="H102" s="161" t="s">
        <v>828</v>
      </c>
      <c r="I102" s="162" t="s">
        <v>827</v>
      </c>
      <c r="J102" s="160">
        <v>3</v>
      </c>
      <c r="K102" s="160">
        <v>4</v>
      </c>
      <c r="L102" s="160">
        <v>4</v>
      </c>
      <c r="M102" s="132">
        <v>1</v>
      </c>
      <c r="N102" s="140" t="s">
        <v>36</v>
      </c>
      <c r="O102" s="141" t="str">
        <f>IF(ISBLANK(N102),"",VLOOKUP(N102,[6]Parámetros!$G$2:$H$23,2,FALSE))</f>
        <v xml:space="preserve">Contratación directa (con ofertas) </v>
      </c>
      <c r="P102" s="142">
        <v>1</v>
      </c>
      <c r="Q102" s="143">
        <f t="shared" si="17"/>
        <v>800000000</v>
      </c>
      <c r="R102" s="143">
        <f t="shared" si="18"/>
        <v>800000000</v>
      </c>
      <c r="S102" s="144">
        <v>0</v>
      </c>
      <c r="T102" s="140">
        <v>0</v>
      </c>
      <c r="U102" s="145" t="str">
        <f t="shared" si="20"/>
        <v>SUBDIRECCION DE GESTION CONTRACTUAL</v>
      </c>
      <c r="V102" s="132" t="s">
        <v>39</v>
      </c>
      <c r="W102" s="145" t="s">
        <v>38</v>
      </c>
      <c r="X102" s="146" t="s">
        <v>177</v>
      </c>
      <c r="Y102" s="132">
        <v>2427400</v>
      </c>
      <c r="Z102" s="127" t="s">
        <v>178</v>
      </c>
    </row>
    <row r="103" spans="1:26" s="7" customFormat="1" ht="12.75" customHeight="1" x14ac:dyDescent="0.2">
      <c r="A103" s="131" t="s">
        <v>67</v>
      </c>
      <c r="B103" s="132">
        <v>1</v>
      </c>
      <c r="C103" s="133" t="s">
        <v>266</v>
      </c>
      <c r="D103" s="133" t="s">
        <v>88</v>
      </c>
      <c r="E103" s="134"/>
      <c r="F103" s="134">
        <v>10263157661</v>
      </c>
      <c r="G103" s="134"/>
      <c r="H103" s="135" t="s">
        <v>68</v>
      </c>
      <c r="I103" s="136" t="s">
        <v>874</v>
      </c>
      <c r="J103" s="137">
        <v>3</v>
      </c>
      <c r="K103" s="138">
        <v>4</v>
      </c>
      <c r="L103" s="139">
        <v>8</v>
      </c>
      <c r="M103" s="132">
        <f t="shared" si="15"/>
        <v>1</v>
      </c>
      <c r="N103" s="140" t="s">
        <v>36</v>
      </c>
      <c r="O103" s="141" t="str">
        <f>IF(ISBLANK(N103),"",VLOOKUP(N103,[7]Parámetros!$G$2:$H$23,2,FALSE))</f>
        <v xml:space="preserve">Contratación directa (con ofertas) </v>
      </c>
      <c r="P103" s="142">
        <f t="shared" ref="P103:P139" si="23">IF(ISBLANK(N103),"",1)</f>
        <v>1</v>
      </c>
      <c r="Q103" s="143">
        <f t="shared" si="17"/>
        <v>10263157661</v>
      </c>
      <c r="R103" s="143">
        <f t="shared" si="18"/>
        <v>10263157661</v>
      </c>
      <c r="S103" s="144" t="s">
        <v>222</v>
      </c>
      <c r="T103" s="140">
        <f t="shared" ref="T103:T139" si="24">IF(ISBLANK(S103),"",IF(VALUE(S103)=0,0,IF(VALUE(S103)=1,3,"")))</f>
        <v>0</v>
      </c>
      <c r="U103" s="145" t="str">
        <f t="shared" si="20"/>
        <v>SUBDIRECCION DE GESTION CONTRACTUAL</v>
      </c>
      <c r="V103" s="132" t="str">
        <f t="shared" ref="V103:V173" si="25">IF(ISBLANK(N103),"","CO-DC")</f>
        <v>CO-DC</v>
      </c>
      <c r="W103" s="145" t="str">
        <f t="shared" ref="W103:W173" si="26">IF(ISBLANK(N103),"","Distrito Capital de Bogotá")</f>
        <v>Distrito Capital de Bogotá</v>
      </c>
      <c r="X103" s="146" t="s">
        <v>69</v>
      </c>
      <c r="Y103" s="132">
        <v>2427401</v>
      </c>
      <c r="Z103" s="148" t="s">
        <v>70</v>
      </c>
    </row>
    <row r="104" spans="1:26" s="7" customFormat="1" ht="12.75" customHeight="1" x14ac:dyDescent="0.2">
      <c r="A104" s="131" t="s">
        <v>67</v>
      </c>
      <c r="B104" s="132">
        <v>2</v>
      </c>
      <c r="C104" s="133" t="s">
        <v>268</v>
      </c>
      <c r="D104" s="133" t="s">
        <v>71</v>
      </c>
      <c r="E104" s="134"/>
      <c r="F104" s="134">
        <f>70044339442-2600000000-500000000-23319797103</f>
        <v>43624542339</v>
      </c>
      <c r="G104" s="134"/>
      <c r="H104" s="135" t="s">
        <v>68</v>
      </c>
      <c r="I104" s="136" t="s">
        <v>875</v>
      </c>
      <c r="J104" s="137">
        <v>3</v>
      </c>
      <c r="K104" s="138">
        <v>4</v>
      </c>
      <c r="L104" s="139">
        <v>8</v>
      </c>
      <c r="M104" s="132">
        <f t="shared" si="15"/>
        <v>1</v>
      </c>
      <c r="N104" s="140" t="s">
        <v>36</v>
      </c>
      <c r="O104" s="141" t="str">
        <f>IF(ISBLANK(N104),"",VLOOKUP(N104,[7]Parámetros!$G$2:$H$23,2,FALSE))</f>
        <v xml:space="preserve">Contratación directa (con ofertas) </v>
      </c>
      <c r="P104" s="142">
        <f t="shared" si="23"/>
        <v>1</v>
      </c>
      <c r="Q104" s="143">
        <f t="shared" si="17"/>
        <v>43624542339</v>
      </c>
      <c r="R104" s="143">
        <f t="shared" si="18"/>
        <v>43624542339</v>
      </c>
      <c r="S104" s="144" t="s">
        <v>222</v>
      </c>
      <c r="T104" s="140">
        <f t="shared" si="24"/>
        <v>0</v>
      </c>
      <c r="U104" s="145" t="str">
        <f t="shared" si="20"/>
        <v>SUBDIRECCION DE GESTION CONTRACTUAL</v>
      </c>
      <c r="V104" s="132" t="str">
        <f t="shared" si="25"/>
        <v>CO-DC</v>
      </c>
      <c r="W104" s="145" t="str">
        <f t="shared" si="26"/>
        <v>Distrito Capital de Bogotá</v>
      </c>
      <c r="X104" s="146" t="s">
        <v>69</v>
      </c>
      <c r="Y104" s="132">
        <v>2427401</v>
      </c>
      <c r="Z104" s="148" t="s">
        <v>70</v>
      </c>
    </row>
    <row r="105" spans="1:26" s="7" customFormat="1" ht="12.75" customHeight="1" x14ac:dyDescent="0.2">
      <c r="A105" s="131" t="s">
        <v>67</v>
      </c>
      <c r="B105" s="132">
        <v>3</v>
      </c>
      <c r="C105" s="133" t="s">
        <v>269</v>
      </c>
      <c r="D105" s="133" t="s">
        <v>71</v>
      </c>
      <c r="E105" s="134"/>
      <c r="F105" s="134">
        <f>3400000000-150000000</f>
        <v>3250000000</v>
      </c>
      <c r="G105" s="134"/>
      <c r="H105" s="135" t="s">
        <v>68</v>
      </c>
      <c r="I105" s="136" t="s">
        <v>875</v>
      </c>
      <c r="J105" s="137">
        <v>3</v>
      </c>
      <c r="K105" s="138">
        <v>4</v>
      </c>
      <c r="L105" s="139">
        <v>8</v>
      </c>
      <c r="M105" s="132">
        <f t="shared" si="15"/>
        <v>1</v>
      </c>
      <c r="N105" s="140" t="s">
        <v>36</v>
      </c>
      <c r="O105" s="141" t="str">
        <f>IF(ISBLANK(N105),"",VLOOKUP(N105,[7]Parámetros!$G$2:$H$23,2,FALSE))</f>
        <v xml:space="preserve">Contratación directa (con ofertas) </v>
      </c>
      <c r="P105" s="142">
        <f t="shared" si="23"/>
        <v>1</v>
      </c>
      <c r="Q105" s="143">
        <f t="shared" si="17"/>
        <v>3250000000</v>
      </c>
      <c r="R105" s="143">
        <f t="shared" si="18"/>
        <v>3250000000</v>
      </c>
      <c r="S105" s="144" t="s">
        <v>222</v>
      </c>
      <c r="T105" s="140">
        <f t="shared" si="24"/>
        <v>0</v>
      </c>
      <c r="U105" s="145" t="str">
        <f t="shared" si="20"/>
        <v>SUBDIRECCION DE GESTION CONTRACTUAL</v>
      </c>
      <c r="V105" s="132" t="str">
        <f t="shared" si="25"/>
        <v>CO-DC</v>
      </c>
      <c r="W105" s="145" t="str">
        <f t="shared" si="26"/>
        <v>Distrito Capital de Bogotá</v>
      </c>
      <c r="X105" s="146" t="s">
        <v>69</v>
      </c>
      <c r="Y105" s="132">
        <v>2427401</v>
      </c>
      <c r="Z105" s="148" t="s">
        <v>70</v>
      </c>
    </row>
    <row r="106" spans="1:26" s="7" customFormat="1" ht="12.75" customHeight="1" x14ac:dyDescent="0.2">
      <c r="A106" s="131" t="s">
        <v>67</v>
      </c>
      <c r="B106" s="132">
        <v>4</v>
      </c>
      <c r="C106" s="133" t="s">
        <v>270</v>
      </c>
      <c r="D106" s="133" t="s">
        <v>71</v>
      </c>
      <c r="E106" s="134"/>
      <c r="F106" s="134">
        <v>550000000</v>
      </c>
      <c r="G106" s="134"/>
      <c r="H106" s="135" t="s">
        <v>752</v>
      </c>
      <c r="I106" s="136" t="s">
        <v>586</v>
      </c>
      <c r="J106" s="137">
        <v>2</v>
      </c>
      <c r="K106" s="138">
        <v>3</v>
      </c>
      <c r="L106" s="139">
        <v>9</v>
      </c>
      <c r="M106" s="132">
        <f t="shared" si="15"/>
        <v>1</v>
      </c>
      <c r="N106" s="140" t="s">
        <v>226</v>
      </c>
      <c r="O106" s="141" t="str">
        <f>IF(ISBLANK(N106),"",VLOOKUP(N106,[7]Parámetros!$G$2:$H$23,2,FALSE))</f>
        <v>Licitación pública</v>
      </c>
      <c r="P106" s="142">
        <f t="shared" si="23"/>
        <v>1</v>
      </c>
      <c r="Q106" s="143">
        <f t="shared" si="17"/>
        <v>550000000</v>
      </c>
      <c r="R106" s="143">
        <f t="shared" si="18"/>
        <v>550000000</v>
      </c>
      <c r="S106" s="144" t="s">
        <v>222</v>
      </c>
      <c r="T106" s="140">
        <f t="shared" si="24"/>
        <v>0</v>
      </c>
      <c r="U106" s="145" t="str">
        <f t="shared" si="20"/>
        <v>SUBDIRECCION DE GESTION CONTRACTUAL</v>
      </c>
      <c r="V106" s="132" t="str">
        <f t="shared" si="25"/>
        <v>CO-DC</v>
      </c>
      <c r="W106" s="145" t="str">
        <f t="shared" si="26"/>
        <v>Distrito Capital de Bogotá</v>
      </c>
      <c r="X106" s="146" t="s">
        <v>69</v>
      </c>
      <c r="Y106" s="132">
        <v>2427401</v>
      </c>
      <c r="Z106" s="148" t="s">
        <v>70</v>
      </c>
    </row>
    <row r="107" spans="1:26" s="7" customFormat="1" ht="12.75" customHeight="1" x14ac:dyDescent="0.2">
      <c r="A107" s="131" t="s">
        <v>67</v>
      </c>
      <c r="B107" s="132">
        <v>5</v>
      </c>
      <c r="C107" s="133" t="s">
        <v>271</v>
      </c>
      <c r="D107" s="133" t="s">
        <v>71</v>
      </c>
      <c r="E107" s="134"/>
      <c r="F107" s="134">
        <v>4800000000</v>
      </c>
      <c r="G107" s="134"/>
      <c r="H107" s="135" t="s">
        <v>752</v>
      </c>
      <c r="I107" s="136" t="s">
        <v>586</v>
      </c>
      <c r="J107" s="137">
        <v>2</v>
      </c>
      <c r="K107" s="138">
        <v>3</v>
      </c>
      <c r="L107" s="139">
        <v>9</v>
      </c>
      <c r="M107" s="132">
        <f t="shared" si="15"/>
        <v>1</v>
      </c>
      <c r="N107" s="140" t="s">
        <v>226</v>
      </c>
      <c r="O107" s="141" t="str">
        <f>IF(ISBLANK(N107),"",VLOOKUP(N107,[7]Parámetros!$G$2:$H$23,2,FALSE))</f>
        <v>Licitación pública</v>
      </c>
      <c r="P107" s="142">
        <f t="shared" si="23"/>
        <v>1</v>
      </c>
      <c r="Q107" s="143">
        <f t="shared" si="17"/>
        <v>4800000000</v>
      </c>
      <c r="R107" s="143">
        <f t="shared" si="18"/>
        <v>4800000000</v>
      </c>
      <c r="S107" s="144" t="s">
        <v>222</v>
      </c>
      <c r="T107" s="140">
        <f t="shared" si="24"/>
        <v>0</v>
      </c>
      <c r="U107" s="145" t="str">
        <f t="shared" si="20"/>
        <v>SUBDIRECCION DE GESTION CONTRACTUAL</v>
      </c>
      <c r="V107" s="132" t="str">
        <f t="shared" si="25"/>
        <v>CO-DC</v>
      </c>
      <c r="W107" s="145" t="str">
        <f t="shared" si="26"/>
        <v>Distrito Capital de Bogotá</v>
      </c>
      <c r="X107" s="146" t="s">
        <v>69</v>
      </c>
      <c r="Y107" s="132">
        <v>2427401</v>
      </c>
      <c r="Z107" s="148" t="s">
        <v>70</v>
      </c>
    </row>
    <row r="108" spans="1:26" s="7" customFormat="1" ht="12.75" customHeight="1" x14ac:dyDescent="0.2">
      <c r="A108" s="131" t="s">
        <v>67</v>
      </c>
      <c r="B108" s="132">
        <v>6</v>
      </c>
      <c r="C108" s="133" t="s">
        <v>272</v>
      </c>
      <c r="D108" s="133" t="s">
        <v>71</v>
      </c>
      <c r="E108" s="134"/>
      <c r="F108" s="134">
        <v>1500000000</v>
      </c>
      <c r="G108" s="134"/>
      <c r="H108" s="135" t="s">
        <v>752</v>
      </c>
      <c r="I108" s="136" t="s">
        <v>586</v>
      </c>
      <c r="J108" s="160">
        <v>2</v>
      </c>
      <c r="K108" s="160">
        <v>3</v>
      </c>
      <c r="L108" s="160">
        <v>9</v>
      </c>
      <c r="M108" s="132">
        <f t="shared" si="15"/>
        <v>1</v>
      </c>
      <c r="N108" s="140" t="s">
        <v>226</v>
      </c>
      <c r="O108" s="141" t="str">
        <f>IF(ISBLANK(N108),"",VLOOKUP(N108,[7]Parámetros!$G$2:$H$23,2,FALSE))</f>
        <v>Licitación pública</v>
      </c>
      <c r="P108" s="142">
        <f t="shared" si="23"/>
        <v>1</v>
      </c>
      <c r="Q108" s="143">
        <f t="shared" si="17"/>
        <v>1500000000</v>
      </c>
      <c r="R108" s="143">
        <f t="shared" si="18"/>
        <v>1500000000</v>
      </c>
      <c r="S108" s="144" t="s">
        <v>222</v>
      </c>
      <c r="T108" s="140">
        <f t="shared" si="24"/>
        <v>0</v>
      </c>
      <c r="U108" s="145" t="str">
        <f t="shared" si="20"/>
        <v>SUBDIRECCION DE GESTION CONTRACTUAL</v>
      </c>
      <c r="V108" s="132" t="str">
        <f t="shared" si="25"/>
        <v>CO-DC</v>
      </c>
      <c r="W108" s="145" t="str">
        <f t="shared" si="26"/>
        <v>Distrito Capital de Bogotá</v>
      </c>
      <c r="X108" s="146" t="s">
        <v>69</v>
      </c>
      <c r="Y108" s="132">
        <v>2427401</v>
      </c>
      <c r="Z108" s="148" t="s">
        <v>70</v>
      </c>
    </row>
    <row r="109" spans="1:26" s="7" customFormat="1" ht="12.75" customHeight="1" x14ac:dyDescent="0.2">
      <c r="A109" s="131" t="s">
        <v>67</v>
      </c>
      <c r="B109" s="132">
        <v>7</v>
      </c>
      <c r="C109" s="133" t="s">
        <v>273</v>
      </c>
      <c r="D109" s="133" t="s">
        <v>71</v>
      </c>
      <c r="E109" s="134"/>
      <c r="F109" s="134">
        <v>100000000</v>
      </c>
      <c r="G109" s="134"/>
      <c r="H109" s="135" t="s">
        <v>752</v>
      </c>
      <c r="I109" s="136" t="s">
        <v>586</v>
      </c>
      <c r="J109" s="137">
        <v>2</v>
      </c>
      <c r="K109" s="138">
        <v>3</v>
      </c>
      <c r="L109" s="139">
        <v>9</v>
      </c>
      <c r="M109" s="132">
        <f t="shared" si="15"/>
        <v>1</v>
      </c>
      <c r="N109" s="140" t="s">
        <v>226</v>
      </c>
      <c r="O109" s="141" t="str">
        <f>IF(ISBLANK(N109),"",VLOOKUP(N109,[7]Parámetros!$G$2:$H$23,2,FALSE))</f>
        <v>Licitación pública</v>
      </c>
      <c r="P109" s="142">
        <f t="shared" si="23"/>
        <v>1</v>
      </c>
      <c r="Q109" s="143">
        <f t="shared" si="17"/>
        <v>100000000</v>
      </c>
      <c r="R109" s="143">
        <f t="shared" si="18"/>
        <v>100000000</v>
      </c>
      <c r="S109" s="144" t="s">
        <v>222</v>
      </c>
      <c r="T109" s="140">
        <f t="shared" si="24"/>
        <v>0</v>
      </c>
      <c r="U109" s="145" t="str">
        <f t="shared" si="20"/>
        <v>SUBDIRECCION DE GESTION CONTRACTUAL</v>
      </c>
      <c r="V109" s="132" t="str">
        <f t="shared" si="25"/>
        <v>CO-DC</v>
      </c>
      <c r="W109" s="145" t="str">
        <f t="shared" si="26"/>
        <v>Distrito Capital de Bogotá</v>
      </c>
      <c r="X109" s="146" t="s">
        <v>69</v>
      </c>
      <c r="Y109" s="132">
        <v>2427401</v>
      </c>
      <c r="Z109" s="148" t="s">
        <v>70</v>
      </c>
    </row>
    <row r="110" spans="1:26" s="7" customFormat="1" ht="12.75" customHeight="1" x14ac:dyDescent="0.2">
      <c r="A110" s="131" t="s">
        <v>67</v>
      </c>
      <c r="B110" s="132">
        <v>8</v>
      </c>
      <c r="C110" s="133" t="s">
        <v>274</v>
      </c>
      <c r="D110" s="133" t="s">
        <v>71</v>
      </c>
      <c r="E110" s="134"/>
      <c r="F110" s="134">
        <f>10000000000+2000000000</f>
        <v>12000000000</v>
      </c>
      <c r="G110" s="134"/>
      <c r="H110" s="135">
        <v>80111600</v>
      </c>
      <c r="I110" s="136" t="s">
        <v>876</v>
      </c>
      <c r="J110" s="137">
        <v>1</v>
      </c>
      <c r="K110" s="138">
        <v>1</v>
      </c>
      <c r="L110" s="139">
        <v>12</v>
      </c>
      <c r="M110" s="132">
        <f t="shared" si="15"/>
        <v>1</v>
      </c>
      <c r="N110" s="140" t="s">
        <v>216</v>
      </c>
      <c r="O110" s="141" t="str">
        <f>IF(ISBLANK(N110),"",VLOOKUP(N110,[7]Parámetros!$G$2:$H$23,2,FALSE))</f>
        <v>Contratación directa.</v>
      </c>
      <c r="P110" s="142">
        <f t="shared" si="23"/>
        <v>1</v>
      </c>
      <c r="Q110" s="143">
        <f t="shared" si="17"/>
        <v>12000000000</v>
      </c>
      <c r="R110" s="143">
        <f t="shared" si="18"/>
        <v>12000000000</v>
      </c>
      <c r="S110" s="144" t="s">
        <v>222</v>
      </c>
      <c r="T110" s="140">
        <f t="shared" si="24"/>
        <v>0</v>
      </c>
      <c r="U110" s="145" t="str">
        <f t="shared" si="20"/>
        <v>SUBDIRECCION DE GESTION CONTRACTUAL</v>
      </c>
      <c r="V110" s="132" t="str">
        <f t="shared" si="25"/>
        <v>CO-DC</v>
      </c>
      <c r="W110" s="145" t="str">
        <f t="shared" si="26"/>
        <v>Distrito Capital de Bogotá</v>
      </c>
      <c r="X110" s="146" t="s">
        <v>69</v>
      </c>
      <c r="Y110" s="132">
        <v>2427401</v>
      </c>
      <c r="Z110" s="148" t="s">
        <v>70</v>
      </c>
    </row>
    <row r="111" spans="1:26" s="7" customFormat="1" ht="12.75" customHeight="1" x14ac:dyDescent="0.2">
      <c r="A111" s="131" t="s">
        <v>67</v>
      </c>
      <c r="B111" s="132">
        <v>9</v>
      </c>
      <c r="C111" s="133" t="s">
        <v>274</v>
      </c>
      <c r="D111" s="133" t="s">
        <v>71</v>
      </c>
      <c r="E111" s="134"/>
      <c r="F111" s="134">
        <v>1000000000</v>
      </c>
      <c r="G111" s="134"/>
      <c r="H111" s="135" t="s">
        <v>103</v>
      </c>
      <c r="I111" s="136" t="s">
        <v>877</v>
      </c>
      <c r="J111" s="137">
        <v>2</v>
      </c>
      <c r="K111" s="138">
        <v>3</v>
      </c>
      <c r="L111" s="139">
        <v>10</v>
      </c>
      <c r="M111" s="132">
        <f t="shared" si="15"/>
        <v>1</v>
      </c>
      <c r="N111" s="140" t="s">
        <v>36</v>
      </c>
      <c r="O111" s="141" t="str">
        <f>IF(ISBLANK(N111),"",VLOOKUP(N111,[1]Parámetros!$G$2:$H$23,2,FALSE))</f>
        <v xml:space="preserve">Contratación directa (con ofertas) </v>
      </c>
      <c r="P111" s="142">
        <f t="shared" si="23"/>
        <v>1</v>
      </c>
      <c r="Q111" s="143">
        <f t="shared" si="17"/>
        <v>1000000000</v>
      </c>
      <c r="R111" s="143">
        <f t="shared" si="18"/>
        <v>1000000000</v>
      </c>
      <c r="S111" s="144" t="s">
        <v>222</v>
      </c>
      <c r="T111" s="140">
        <f t="shared" si="24"/>
        <v>0</v>
      </c>
      <c r="U111" s="145" t="str">
        <f t="shared" si="20"/>
        <v>SUBDIRECCION DE GESTION CONTRACTUAL</v>
      </c>
      <c r="V111" s="132" t="str">
        <f t="shared" si="25"/>
        <v>CO-DC</v>
      </c>
      <c r="W111" s="145" t="str">
        <f t="shared" si="26"/>
        <v>Distrito Capital de Bogotá</v>
      </c>
      <c r="X111" s="146" t="s">
        <v>69</v>
      </c>
      <c r="Y111" s="132">
        <v>2427401</v>
      </c>
      <c r="Z111" s="148" t="s">
        <v>70</v>
      </c>
    </row>
    <row r="112" spans="1:26" s="7" customFormat="1" ht="12.75" customHeight="1" x14ac:dyDescent="0.2">
      <c r="A112" s="131" t="s">
        <v>67</v>
      </c>
      <c r="B112" s="132">
        <v>10</v>
      </c>
      <c r="C112" s="133" t="s">
        <v>274</v>
      </c>
      <c r="D112" s="133" t="s">
        <v>71</v>
      </c>
      <c r="E112" s="134"/>
      <c r="F112" s="134">
        <v>800000000</v>
      </c>
      <c r="G112" s="134"/>
      <c r="H112" s="135" t="s">
        <v>42</v>
      </c>
      <c r="I112" s="136" t="s">
        <v>591</v>
      </c>
      <c r="J112" s="137">
        <v>3</v>
      </c>
      <c r="K112" s="138">
        <v>4</v>
      </c>
      <c r="L112" s="139">
        <v>9</v>
      </c>
      <c r="M112" s="132">
        <f t="shared" si="15"/>
        <v>1</v>
      </c>
      <c r="N112" s="140" t="s">
        <v>61</v>
      </c>
      <c r="O112" s="141" t="str">
        <f>IF(ISBLANK(N112),"",VLOOKUP(N112,[7]Parámetros!$G$2:$H$23,2,FALSE))</f>
        <v>Contratación régimen especial - Selección de comisionista</v>
      </c>
      <c r="P112" s="142">
        <f t="shared" si="23"/>
        <v>1</v>
      </c>
      <c r="Q112" s="143">
        <f t="shared" si="17"/>
        <v>800000000</v>
      </c>
      <c r="R112" s="143">
        <f t="shared" si="18"/>
        <v>800000000</v>
      </c>
      <c r="S112" s="144" t="s">
        <v>222</v>
      </c>
      <c r="T112" s="140">
        <f t="shared" si="24"/>
        <v>0</v>
      </c>
      <c r="U112" s="145" t="str">
        <f t="shared" si="20"/>
        <v>SUBDIRECCION DE GESTION CONTRACTUAL</v>
      </c>
      <c r="V112" s="132" t="str">
        <f t="shared" si="25"/>
        <v>CO-DC</v>
      </c>
      <c r="W112" s="145" t="str">
        <f t="shared" si="26"/>
        <v>Distrito Capital de Bogotá</v>
      </c>
      <c r="X112" s="146" t="s">
        <v>69</v>
      </c>
      <c r="Y112" s="132">
        <v>2427401</v>
      </c>
      <c r="Z112" s="148" t="s">
        <v>70</v>
      </c>
    </row>
    <row r="113" spans="1:26" s="7" customFormat="1" ht="12.75" customHeight="1" x14ac:dyDescent="0.2">
      <c r="A113" s="131" t="s">
        <v>67</v>
      </c>
      <c r="B113" s="132">
        <v>11</v>
      </c>
      <c r="C113" s="133" t="s">
        <v>276</v>
      </c>
      <c r="D113" s="133" t="s">
        <v>71</v>
      </c>
      <c r="E113" s="134"/>
      <c r="F113" s="134">
        <v>500000000</v>
      </c>
      <c r="G113" s="134"/>
      <c r="H113" s="135" t="s">
        <v>752</v>
      </c>
      <c r="I113" s="136" t="s">
        <v>586</v>
      </c>
      <c r="J113" s="137">
        <v>2</v>
      </c>
      <c r="K113" s="138">
        <v>3</v>
      </c>
      <c r="L113" s="139">
        <v>9</v>
      </c>
      <c r="M113" s="132">
        <f t="shared" si="15"/>
        <v>1</v>
      </c>
      <c r="N113" s="140" t="s">
        <v>226</v>
      </c>
      <c r="O113" s="141" t="str">
        <f>IF(ISBLANK(N113),"",VLOOKUP(N113,[7]Parámetros!$G$2:$H$23,2,FALSE))</f>
        <v>Licitación pública</v>
      </c>
      <c r="P113" s="142">
        <f t="shared" si="23"/>
        <v>1</v>
      </c>
      <c r="Q113" s="143">
        <f t="shared" si="17"/>
        <v>500000000</v>
      </c>
      <c r="R113" s="143">
        <f t="shared" si="18"/>
        <v>500000000</v>
      </c>
      <c r="S113" s="144" t="s">
        <v>222</v>
      </c>
      <c r="T113" s="140">
        <f t="shared" si="24"/>
        <v>0</v>
      </c>
      <c r="U113" s="145" t="str">
        <f t="shared" si="20"/>
        <v>SUBDIRECCION DE GESTION CONTRACTUAL</v>
      </c>
      <c r="V113" s="132" t="str">
        <f t="shared" si="25"/>
        <v>CO-DC</v>
      </c>
      <c r="W113" s="145" t="str">
        <f t="shared" si="26"/>
        <v>Distrito Capital de Bogotá</v>
      </c>
      <c r="X113" s="146" t="s">
        <v>69</v>
      </c>
      <c r="Y113" s="132">
        <v>2427401</v>
      </c>
      <c r="Z113" s="148" t="s">
        <v>70</v>
      </c>
    </row>
    <row r="114" spans="1:26" s="7" customFormat="1" ht="12.75" customHeight="1" x14ac:dyDescent="0.2">
      <c r="A114" s="131" t="s">
        <v>67</v>
      </c>
      <c r="B114" s="132">
        <v>12</v>
      </c>
      <c r="C114" s="133" t="s">
        <v>277</v>
      </c>
      <c r="D114" s="133" t="s">
        <v>71</v>
      </c>
      <c r="E114" s="134"/>
      <c r="F114" s="134">
        <v>350000000</v>
      </c>
      <c r="G114" s="134"/>
      <c r="H114" s="135" t="s">
        <v>752</v>
      </c>
      <c r="I114" s="136" t="s">
        <v>586</v>
      </c>
      <c r="J114" s="137">
        <v>2</v>
      </c>
      <c r="K114" s="138">
        <v>3</v>
      </c>
      <c r="L114" s="139">
        <v>9</v>
      </c>
      <c r="M114" s="132">
        <f t="shared" si="15"/>
        <v>1</v>
      </c>
      <c r="N114" s="140" t="s">
        <v>226</v>
      </c>
      <c r="O114" s="141" t="str">
        <f>IF(ISBLANK(N114),"",VLOOKUP(N114,[7]Parámetros!$G$2:$H$23,2,FALSE))</f>
        <v>Licitación pública</v>
      </c>
      <c r="P114" s="142">
        <f t="shared" si="23"/>
        <v>1</v>
      </c>
      <c r="Q114" s="143">
        <f t="shared" si="17"/>
        <v>350000000</v>
      </c>
      <c r="R114" s="143">
        <f t="shared" si="18"/>
        <v>350000000</v>
      </c>
      <c r="S114" s="144" t="s">
        <v>222</v>
      </c>
      <c r="T114" s="140">
        <f t="shared" si="24"/>
        <v>0</v>
      </c>
      <c r="U114" s="145" t="str">
        <f t="shared" si="20"/>
        <v>SUBDIRECCION DE GESTION CONTRACTUAL</v>
      </c>
      <c r="V114" s="132" t="str">
        <f t="shared" si="25"/>
        <v>CO-DC</v>
      </c>
      <c r="W114" s="145" t="str">
        <f t="shared" si="26"/>
        <v>Distrito Capital de Bogotá</v>
      </c>
      <c r="X114" s="146" t="s">
        <v>69</v>
      </c>
      <c r="Y114" s="132">
        <v>2427401</v>
      </c>
      <c r="Z114" s="148" t="s">
        <v>70</v>
      </c>
    </row>
    <row r="115" spans="1:26" s="7" customFormat="1" ht="12.75" customHeight="1" x14ac:dyDescent="0.2">
      <c r="A115" s="131" t="s">
        <v>67</v>
      </c>
      <c r="B115" s="132">
        <v>13</v>
      </c>
      <c r="C115" s="133" t="s">
        <v>278</v>
      </c>
      <c r="D115" s="133" t="s">
        <v>71</v>
      </c>
      <c r="E115" s="134"/>
      <c r="F115" s="134">
        <v>800000000</v>
      </c>
      <c r="G115" s="134"/>
      <c r="H115" s="135" t="s">
        <v>752</v>
      </c>
      <c r="I115" s="136" t="s">
        <v>586</v>
      </c>
      <c r="J115" s="137">
        <v>2</v>
      </c>
      <c r="K115" s="138">
        <v>3</v>
      </c>
      <c r="L115" s="139">
        <v>9</v>
      </c>
      <c r="M115" s="132">
        <f t="shared" si="15"/>
        <v>1</v>
      </c>
      <c r="N115" s="140" t="s">
        <v>226</v>
      </c>
      <c r="O115" s="141" t="str">
        <f>IF(ISBLANK(N115),"",VLOOKUP(N115,[7]Parámetros!$G$2:$H$23,2,FALSE))</f>
        <v>Licitación pública</v>
      </c>
      <c r="P115" s="142">
        <f t="shared" si="23"/>
        <v>1</v>
      </c>
      <c r="Q115" s="143">
        <f t="shared" si="17"/>
        <v>800000000</v>
      </c>
      <c r="R115" s="143">
        <f t="shared" si="18"/>
        <v>800000000</v>
      </c>
      <c r="S115" s="144" t="s">
        <v>222</v>
      </c>
      <c r="T115" s="140">
        <f t="shared" si="24"/>
        <v>0</v>
      </c>
      <c r="U115" s="145" t="str">
        <f t="shared" si="20"/>
        <v>SUBDIRECCION DE GESTION CONTRACTUAL</v>
      </c>
      <c r="V115" s="132" t="str">
        <f t="shared" si="25"/>
        <v>CO-DC</v>
      </c>
      <c r="W115" s="145" t="str">
        <f t="shared" si="26"/>
        <v>Distrito Capital de Bogotá</v>
      </c>
      <c r="X115" s="146" t="s">
        <v>69</v>
      </c>
      <c r="Y115" s="132">
        <v>2427401</v>
      </c>
      <c r="Z115" s="148" t="s">
        <v>70</v>
      </c>
    </row>
    <row r="116" spans="1:26" s="7" customFormat="1" ht="12.75" customHeight="1" x14ac:dyDescent="0.2">
      <c r="A116" s="131" t="s">
        <v>67</v>
      </c>
      <c r="B116" s="132">
        <v>14</v>
      </c>
      <c r="C116" s="133" t="s">
        <v>279</v>
      </c>
      <c r="D116" s="133" t="s">
        <v>71</v>
      </c>
      <c r="E116" s="134"/>
      <c r="F116" s="134">
        <v>200000000</v>
      </c>
      <c r="G116" s="134"/>
      <c r="H116" s="135" t="s">
        <v>752</v>
      </c>
      <c r="I116" s="136" t="s">
        <v>586</v>
      </c>
      <c r="J116" s="137">
        <v>2</v>
      </c>
      <c r="K116" s="138">
        <v>3</v>
      </c>
      <c r="L116" s="139">
        <v>9</v>
      </c>
      <c r="M116" s="132">
        <f t="shared" si="15"/>
        <v>1</v>
      </c>
      <c r="N116" s="140" t="s">
        <v>226</v>
      </c>
      <c r="O116" s="141" t="str">
        <f>IF(ISBLANK(N116),"",VLOOKUP(N116,[7]Parámetros!$G$2:$H$23,2,FALSE))</f>
        <v>Licitación pública</v>
      </c>
      <c r="P116" s="142">
        <f t="shared" si="23"/>
        <v>1</v>
      </c>
      <c r="Q116" s="143">
        <f t="shared" si="17"/>
        <v>200000000</v>
      </c>
      <c r="R116" s="143">
        <f t="shared" si="18"/>
        <v>200000000</v>
      </c>
      <c r="S116" s="144" t="s">
        <v>222</v>
      </c>
      <c r="T116" s="140">
        <f t="shared" si="24"/>
        <v>0</v>
      </c>
      <c r="U116" s="145" t="str">
        <f t="shared" si="20"/>
        <v>SUBDIRECCION DE GESTION CONTRACTUAL</v>
      </c>
      <c r="V116" s="132" t="str">
        <f t="shared" si="25"/>
        <v>CO-DC</v>
      </c>
      <c r="W116" s="145" t="str">
        <f t="shared" si="26"/>
        <v>Distrito Capital de Bogotá</v>
      </c>
      <c r="X116" s="146" t="s">
        <v>69</v>
      </c>
      <c r="Y116" s="132">
        <v>2427401</v>
      </c>
      <c r="Z116" s="148" t="s">
        <v>70</v>
      </c>
    </row>
    <row r="117" spans="1:26" s="7" customFormat="1" ht="12.75" customHeight="1" x14ac:dyDescent="0.2">
      <c r="A117" s="131" t="s">
        <v>67</v>
      </c>
      <c r="B117" s="132">
        <v>15</v>
      </c>
      <c r="C117" s="133" t="s">
        <v>280</v>
      </c>
      <c r="D117" s="133" t="s">
        <v>71</v>
      </c>
      <c r="E117" s="134"/>
      <c r="F117" s="134">
        <v>200000000</v>
      </c>
      <c r="G117" s="134"/>
      <c r="H117" s="135" t="s">
        <v>752</v>
      </c>
      <c r="I117" s="136" t="s">
        <v>586</v>
      </c>
      <c r="J117" s="137">
        <v>2</v>
      </c>
      <c r="K117" s="138">
        <v>3</v>
      </c>
      <c r="L117" s="139">
        <v>9</v>
      </c>
      <c r="M117" s="132">
        <f t="shared" si="15"/>
        <v>1</v>
      </c>
      <c r="N117" s="140" t="s">
        <v>226</v>
      </c>
      <c r="O117" s="141" t="str">
        <f>IF(ISBLANK(N117),"",VLOOKUP(N117,[7]Parámetros!$G$2:$H$23,2,FALSE))</f>
        <v>Licitación pública</v>
      </c>
      <c r="P117" s="142">
        <f t="shared" si="23"/>
        <v>1</v>
      </c>
      <c r="Q117" s="143">
        <f t="shared" si="17"/>
        <v>200000000</v>
      </c>
      <c r="R117" s="143">
        <f t="shared" si="18"/>
        <v>200000000</v>
      </c>
      <c r="S117" s="144" t="s">
        <v>222</v>
      </c>
      <c r="T117" s="140">
        <f t="shared" si="24"/>
        <v>0</v>
      </c>
      <c r="U117" s="145" t="str">
        <f t="shared" si="20"/>
        <v>SUBDIRECCION DE GESTION CONTRACTUAL</v>
      </c>
      <c r="V117" s="132" t="str">
        <f t="shared" si="25"/>
        <v>CO-DC</v>
      </c>
      <c r="W117" s="145" t="str">
        <f t="shared" si="26"/>
        <v>Distrito Capital de Bogotá</v>
      </c>
      <c r="X117" s="146" t="s">
        <v>69</v>
      </c>
      <c r="Y117" s="132">
        <v>2427401</v>
      </c>
      <c r="Z117" s="148" t="s">
        <v>70</v>
      </c>
    </row>
    <row r="118" spans="1:26" s="7" customFormat="1" ht="12.75" customHeight="1" x14ac:dyDescent="0.2">
      <c r="A118" s="131" t="s">
        <v>67</v>
      </c>
      <c r="B118" s="132">
        <v>16</v>
      </c>
      <c r="C118" s="133" t="s">
        <v>281</v>
      </c>
      <c r="D118" s="133" t="s">
        <v>71</v>
      </c>
      <c r="E118" s="134"/>
      <c r="F118" s="134">
        <v>500000000</v>
      </c>
      <c r="G118" s="134"/>
      <c r="H118" s="135" t="s">
        <v>752</v>
      </c>
      <c r="I118" s="136" t="s">
        <v>586</v>
      </c>
      <c r="J118" s="137">
        <v>2</v>
      </c>
      <c r="K118" s="138">
        <v>3</v>
      </c>
      <c r="L118" s="139">
        <v>9</v>
      </c>
      <c r="M118" s="132">
        <f t="shared" si="15"/>
        <v>1</v>
      </c>
      <c r="N118" s="140" t="s">
        <v>226</v>
      </c>
      <c r="O118" s="141" t="str">
        <f>IF(ISBLANK(N118),"",VLOOKUP(N118,[7]Parámetros!$G$2:$H$23,2,FALSE))</f>
        <v>Licitación pública</v>
      </c>
      <c r="P118" s="142">
        <f t="shared" si="23"/>
        <v>1</v>
      </c>
      <c r="Q118" s="143">
        <f t="shared" si="17"/>
        <v>500000000</v>
      </c>
      <c r="R118" s="143">
        <f t="shared" si="18"/>
        <v>500000000</v>
      </c>
      <c r="S118" s="144" t="s">
        <v>222</v>
      </c>
      <c r="T118" s="140">
        <f t="shared" si="24"/>
        <v>0</v>
      </c>
      <c r="U118" s="145" t="str">
        <f t="shared" si="20"/>
        <v>SUBDIRECCION DE GESTION CONTRACTUAL</v>
      </c>
      <c r="V118" s="132" t="str">
        <f t="shared" si="25"/>
        <v>CO-DC</v>
      </c>
      <c r="W118" s="145" t="str">
        <f t="shared" si="26"/>
        <v>Distrito Capital de Bogotá</v>
      </c>
      <c r="X118" s="146" t="s">
        <v>69</v>
      </c>
      <c r="Y118" s="132">
        <v>2427401</v>
      </c>
      <c r="Z118" s="148" t="s">
        <v>70</v>
      </c>
    </row>
    <row r="119" spans="1:26" s="7" customFormat="1" ht="12.75" customHeight="1" x14ac:dyDescent="0.2">
      <c r="A119" s="131" t="s">
        <v>67</v>
      </c>
      <c r="B119" s="132">
        <v>17</v>
      </c>
      <c r="C119" s="133" t="s">
        <v>268</v>
      </c>
      <c r="D119" s="133" t="s">
        <v>282</v>
      </c>
      <c r="E119" s="134"/>
      <c r="F119" s="134">
        <v>8562300000</v>
      </c>
      <c r="G119" s="134"/>
      <c r="H119" s="135" t="s">
        <v>68</v>
      </c>
      <c r="I119" s="136" t="s">
        <v>875</v>
      </c>
      <c r="J119" s="137">
        <v>3</v>
      </c>
      <c r="K119" s="138">
        <v>4</v>
      </c>
      <c r="L119" s="139">
        <v>8</v>
      </c>
      <c r="M119" s="132">
        <f t="shared" si="15"/>
        <v>1</v>
      </c>
      <c r="N119" s="140" t="s">
        <v>36</v>
      </c>
      <c r="O119" s="141" t="str">
        <f>IF(ISBLANK(N119),"",VLOOKUP(N119,[7]Parámetros!$G$2:$H$23,2,FALSE))</f>
        <v xml:space="preserve">Contratación directa (con ofertas) </v>
      </c>
      <c r="P119" s="142">
        <f t="shared" si="23"/>
        <v>1</v>
      </c>
      <c r="Q119" s="143">
        <f t="shared" si="17"/>
        <v>8562300000</v>
      </c>
      <c r="R119" s="143">
        <f t="shared" si="18"/>
        <v>8562300000</v>
      </c>
      <c r="S119" s="144" t="s">
        <v>222</v>
      </c>
      <c r="T119" s="140">
        <f t="shared" si="24"/>
        <v>0</v>
      </c>
      <c r="U119" s="145" t="str">
        <f t="shared" si="20"/>
        <v>SUBDIRECCION DE GESTION CONTRACTUAL</v>
      </c>
      <c r="V119" s="132" t="str">
        <f t="shared" si="25"/>
        <v>CO-DC</v>
      </c>
      <c r="W119" s="145" t="str">
        <f t="shared" si="26"/>
        <v>Distrito Capital de Bogotá</v>
      </c>
      <c r="X119" s="146" t="s">
        <v>69</v>
      </c>
      <c r="Y119" s="132">
        <v>2427401</v>
      </c>
      <c r="Z119" s="148" t="s">
        <v>70</v>
      </c>
    </row>
    <row r="120" spans="1:26" s="7" customFormat="1" ht="12.75" customHeight="1" x14ac:dyDescent="0.2">
      <c r="A120" s="131" t="s">
        <v>67</v>
      </c>
      <c r="B120" s="132">
        <v>18</v>
      </c>
      <c r="C120" s="133" t="s">
        <v>283</v>
      </c>
      <c r="D120" s="133" t="s">
        <v>284</v>
      </c>
      <c r="E120" s="134"/>
      <c r="F120" s="134">
        <v>7011100000</v>
      </c>
      <c r="G120" s="134"/>
      <c r="H120" s="135" t="s">
        <v>68</v>
      </c>
      <c r="I120" s="136" t="s">
        <v>878</v>
      </c>
      <c r="J120" s="137">
        <v>3</v>
      </c>
      <c r="K120" s="138">
        <v>4</v>
      </c>
      <c r="L120" s="139">
        <v>8</v>
      </c>
      <c r="M120" s="132">
        <f t="shared" si="15"/>
        <v>1</v>
      </c>
      <c r="N120" s="140" t="s">
        <v>36</v>
      </c>
      <c r="O120" s="141" t="str">
        <f>IF(ISBLANK(N120),"",VLOOKUP(N120,[7]Parámetros!$G$2:$H$23,2,FALSE))</f>
        <v xml:space="preserve">Contratación directa (con ofertas) </v>
      </c>
      <c r="P120" s="142">
        <f t="shared" si="23"/>
        <v>1</v>
      </c>
      <c r="Q120" s="143">
        <f t="shared" si="17"/>
        <v>7011100000</v>
      </c>
      <c r="R120" s="143">
        <f t="shared" si="18"/>
        <v>7011100000</v>
      </c>
      <c r="S120" s="144" t="s">
        <v>222</v>
      </c>
      <c r="T120" s="140">
        <f t="shared" si="24"/>
        <v>0</v>
      </c>
      <c r="U120" s="145" t="str">
        <f t="shared" si="20"/>
        <v>SUBDIRECCION DE GESTION CONTRACTUAL</v>
      </c>
      <c r="V120" s="132" t="str">
        <f t="shared" si="25"/>
        <v>CO-DC</v>
      </c>
      <c r="W120" s="145" t="str">
        <f t="shared" si="26"/>
        <v>Distrito Capital de Bogotá</v>
      </c>
      <c r="X120" s="146" t="s">
        <v>69</v>
      </c>
      <c r="Y120" s="132">
        <v>2427401</v>
      </c>
      <c r="Z120" s="148" t="s">
        <v>70</v>
      </c>
    </row>
    <row r="121" spans="1:26" s="7" customFormat="1" ht="12.75" customHeight="1" x14ac:dyDescent="0.2">
      <c r="A121" s="131" t="s">
        <v>67</v>
      </c>
      <c r="B121" s="132">
        <v>19</v>
      </c>
      <c r="C121" s="133" t="s">
        <v>268</v>
      </c>
      <c r="D121" s="133" t="s">
        <v>288</v>
      </c>
      <c r="E121" s="134"/>
      <c r="F121" s="134">
        <v>7950000000</v>
      </c>
      <c r="G121" s="134"/>
      <c r="H121" s="135" t="s">
        <v>68</v>
      </c>
      <c r="I121" s="136" t="s">
        <v>875</v>
      </c>
      <c r="J121" s="137">
        <v>3</v>
      </c>
      <c r="K121" s="138">
        <v>4</v>
      </c>
      <c r="L121" s="139">
        <v>8</v>
      </c>
      <c r="M121" s="132">
        <f t="shared" si="15"/>
        <v>1</v>
      </c>
      <c r="N121" s="140" t="s">
        <v>36</v>
      </c>
      <c r="O121" s="141" t="str">
        <f>IF(ISBLANK(N121),"",VLOOKUP(N121,[7]Parámetros!$G$2:$H$23,2,FALSE))</f>
        <v xml:space="preserve">Contratación directa (con ofertas) </v>
      </c>
      <c r="P121" s="142">
        <f t="shared" si="23"/>
        <v>1</v>
      </c>
      <c r="Q121" s="143">
        <f t="shared" si="17"/>
        <v>7950000000</v>
      </c>
      <c r="R121" s="143">
        <f t="shared" si="18"/>
        <v>7950000000</v>
      </c>
      <c r="S121" s="144" t="s">
        <v>222</v>
      </c>
      <c r="T121" s="140">
        <f t="shared" si="24"/>
        <v>0</v>
      </c>
      <c r="U121" s="145" t="str">
        <f t="shared" si="20"/>
        <v>SUBDIRECCION DE GESTION CONTRACTUAL</v>
      </c>
      <c r="V121" s="132" t="str">
        <f t="shared" si="25"/>
        <v>CO-DC</v>
      </c>
      <c r="W121" s="145" t="str">
        <f t="shared" si="26"/>
        <v>Distrito Capital de Bogotá</v>
      </c>
      <c r="X121" s="146" t="s">
        <v>69</v>
      </c>
      <c r="Y121" s="132">
        <v>2427401</v>
      </c>
      <c r="Z121" s="148" t="s">
        <v>70</v>
      </c>
    </row>
    <row r="122" spans="1:26" s="7" customFormat="1" ht="12.75" customHeight="1" x14ac:dyDescent="0.2">
      <c r="A122" s="131" t="s">
        <v>67</v>
      </c>
      <c r="B122" s="132">
        <v>20</v>
      </c>
      <c r="C122" s="133" t="s">
        <v>269</v>
      </c>
      <c r="D122" s="133" t="s">
        <v>288</v>
      </c>
      <c r="E122" s="134"/>
      <c r="F122" s="134">
        <v>4750000000</v>
      </c>
      <c r="G122" s="134"/>
      <c r="H122" s="135" t="s">
        <v>68</v>
      </c>
      <c r="I122" s="136" t="s">
        <v>875</v>
      </c>
      <c r="J122" s="137">
        <v>3</v>
      </c>
      <c r="K122" s="138">
        <v>4</v>
      </c>
      <c r="L122" s="139">
        <v>8</v>
      </c>
      <c r="M122" s="132">
        <f t="shared" si="15"/>
        <v>1</v>
      </c>
      <c r="N122" s="140" t="s">
        <v>36</v>
      </c>
      <c r="O122" s="141" t="str">
        <f>IF(ISBLANK(N122),"",VLOOKUP(N122,[7]Parámetros!$G$2:$H$23,2,FALSE))</f>
        <v xml:space="preserve">Contratación directa (con ofertas) </v>
      </c>
      <c r="P122" s="142">
        <f t="shared" si="23"/>
        <v>1</v>
      </c>
      <c r="Q122" s="143">
        <f t="shared" si="17"/>
        <v>4750000000</v>
      </c>
      <c r="R122" s="143">
        <f t="shared" si="18"/>
        <v>4750000000</v>
      </c>
      <c r="S122" s="144" t="s">
        <v>222</v>
      </c>
      <c r="T122" s="140">
        <f t="shared" si="24"/>
        <v>0</v>
      </c>
      <c r="U122" s="145" t="str">
        <f t="shared" si="20"/>
        <v>SUBDIRECCION DE GESTION CONTRACTUAL</v>
      </c>
      <c r="V122" s="132" t="str">
        <f t="shared" si="25"/>
        <v>CO-DC</v>
      </c>
      <c r="W122" s="145" t="str">
        <f t="shared" si="26"/>
        <v>Distrito Capital de Bogotá</v>
      </c>
      <c r="X122" s="146" t="s">
        <v>69</v>
      </c>
      <c r="Y122" s="132">
        <v>2427401</v>
      </c>
      <c r="Z122" s="148" t="s">
        <v>70</v>
      </c>
    </row>
    <row r="123" spans="1:26" s="7" customFormat="1" ht="12.75" customHeight="1" x14ac:dyDescent="0.2">
      <c r="A123" s="131" t="s">
        <v>67</v>
      </c>
      <c r="B123" s="132">
        <v>21</v>
      </c>
      <c r="C123" s="133" t="s">
        <v>270</v>
      </c>
      <c r="D123" s="133" t="s">
        <v>289</v>
      </c>
      <c r="E123" s="134"/>
      <c r="F123" s="134">
        <v>800000000</v>
      </c>
      <c r="G123" s="134"/>
      <c r="H123" s="135" t="s">
        <v>752</v>
      </c>
      <c r="I123" s="136" t="s">
        <v>586</v>
      </c>
      <c r="J123" s="137">
        <v>2</v>
      </c>
      <c r="K123" s="138">
        <v>3</v>
      </c>
      <c r="L123" s="139">
        <v>9</v>
      </c>
      <c r="M123" s="132">
        <f t="shared" si="15"/>
        <v>1</v>
      </c>
      <c r="N123" s="140" t="s">
        <v>226</v>
      </c>
      <c r="O123" s="141" t="str">
        <f>IF(ISBLANK(N123),"",VLOOKUP(N123,[7]Parámetros!$G$2:$H$23,2,FALSE))</f>
        <v>Licitación pública</v>
      </c>
      <c r="P123" s="142">
        <f t="shared" si="23"/>
        <v>1</v>
      </c>
      <c r="Q123" s="143">
        <f t="shared" si="17"/>
        <v>800000000</v>
      </c>
      <c r="R123" s="143">
        <f t="shared" si="18"/>
        <v>800000000</v>
      </c>
      <c r="S123" s="144" t="s">
        <v>222</v>
      </c>
      <c r="T123" s="140">
        <f t="shared" si="24"/>
        <v>0</v>
      </c>
      <c r="U123" s="145" t="str">
        <f t="shared" si="20"/>
        <v>SUBDIRECCION DE GESTION CONTRACTUAL</v>
      </c>
      <c r="V123" s="132" t="str">
        <f t="shared" si="25"/>
        <v>CO-DC</v>
      </c>
      <c r="W123" s="145" t="str">
        <f t="shared" si="26"/>
        <v>Distrito Capital de Bogotá</v>
      </c>
      <c r="X123" s="146" t="s">
        <v>69</v>
      </c>
      <c r="Y123" s="132">
        <v>2427401</v>
      </c>
      <c r="Z123" s="148" t="s">
        <v>70</v>
      </c>
    </row>
    <row r="124" spans="1:26" s="7" customFormat="1" ht="12.75" customHeight="1" x14ac:dyDescent="0.2">
      <c r="A124" s="131" t="s">
        <v>67</v>
      </c>
      <c r="B124" s="132">
        <v>22</v>
      </c>
      <c r="C124" s="133" t="s">
        <v>285</v>
      </c>
      <c r="D124" s="133" t="s">
        <v>288</v>
      </c>
      <c r="E124" s="134"/>
      <c r="F124" s="134">
        <v>25000000000</v>
      </c>
      <c r="G124" s="134"/>
      <c r="H124" s="135" t="s">
        <v>68</v>
      </c>
      <c r="I124" s="136" t="s">
        <v>879</v>
      </c>
      <c r="J124" s="137">
        <v>3</v>
      </c>
      <c r="K124" s="138">
        <v>4</v>
      </c>
      <c r="L124" s="139">
        <v>8</v>
      </c>
      <c r="M124" s="132">
        <f t="shared" si="15"/>
        <v>1</v>
      </c>
      <c r="N124" s="140" t="s">
        <v>36</v>
      </c>
      <c r="O124" s="141" t="str">
        <f>IF(ISBLANK(N124),"",VLOOKUP(N124,[7]Parámetros!$G$2:$H$23,2,FALSE))</f>
        <v xml:space="preserve">Contratación directa (con ofertas) </v>
      </c>
      <c r="P124" s="142">
        <f t="shared" si="23"/>
        <v>1</v>
      </c>
      <c r="Q124" s="143">
        <f t="shared" si="17"/>
        <v>25000000000</v>
      </c>
      <c r="R124" s="143">
        <f t="shared" si="18"/>
        <v>25000000000</v>
      </c>
      <c r="S124" s="144" t="s">
        <v>222</v>
      </c>
      <c r="T124" s="140">
        <f t="shared" si="24"/>
        <v>0</v>
      </c>
      <c r="U124" s="145" t="str">
        <f t="shared" si="20"/>
        <v>SUBDIRECCION DE GESTION CONTRACTUAL</v>
      </c>
      <c r="V124" s="132" t="str">
        <f t="shared" si="25"/>
        <v>CO-DC</v>
      </c>
      <c r="W124" s="145" t="str">
        <f t="shared" si="26"/>
        <v>Distrito Capital de Bogotá</v>
      </c>
      <c r="X124" s="146" t="s">
        <v>69</v>
      </c>
      <c r="Y124" s="132">
        <v>2427401</v>
      </c>
      <c r="Z124" s="148" t="s">
        <v>70</v>
      </c>
    </row>
    <row r="125" spans="1:26" s="7" customFormat="1" ht="12.75" customHeight="1" x14ac:dyDescent="0.2">
      <c r="A125" s="131" t="s">
        <v>67</v>
      </c>
      <c r="B125" s="132">
        <v>23</v>
      </c>
      <c r="C125" s="133" t="s">
        <v>76</v>
      </c>
      <c r="D125" s="133" t="s">
        <v>288</v>
      </c>
      <c r="E125" s="134"/>
      <c r="F125" s="134">
        <v>8000000000</v>
      </c>
      <c r="G125" s="134"/>
      <c r="H125" s="135" t="s">
        <v>752</v>
      </c>
      <c r="I125" s="136" t="s">
        <v>586</v>
      </c>
      <c r="J125" s="137">
        <v>2</v>
      </c>
      <c r="K125" s="138">
        <v>3</v>
      </c>
      <c r="L125" s="139">
        <v>9</v>
      </c>
      <c r="M125" s="132">
        <f t="shared" si="15"/>
        <v>1</v>
      </c>
      <c r="N125" s="140" t="s">
        <v>226</v>
      </c>
      <c r="O125" s="141" t="str">
        <f>IF(ISBLANK(N125),"",VLOOKUP(N125,[7]Parámetros!$G$2:$H$23,2,FALSE))</f>
        <v>Licitación pública</v>
      </c>
      <c r="P125" s="142">
        <f t="shared" si="23"/>
        <v>1</v>
      </c>
      <c r="Q125" s="143">
        <f t="shared" si="17"/>
        <v>8000000000</v>
      </c>
      <c r="R125" s="143">
        <f t="shared" si="18"/>
        <v>8000000000</v>
      </c>
      <c r="S125" s="144" t="s">
        <v>222</v>
      </c>
      <c r="T125" s="140">
        <f t="shared" si="24"/>
        <v>0</v>
      </c>
      <c r="U125" s="145" t="str">
        <f t="shared" si="20"/>
        <v>SUBDIRECCION DE GESTION CONTRACTUAL</v>
      </c>
      <c r="V125" s="132" t="str">
        <f t="shared" si="25"/>
        <v>CO-DC</v>
      </c>
      <c r="W125" s="145" t="str">
        <f t="shared" si="26"/>
        <v>Distrito Capital de Bogotá</v>
      </c>
      <c r="X125" s="146" t="s">
        <v>69</v>
      </c>
      <c r="Y125" s="132">
        <v>2427401</v>
      </c>
      <c r="Z125" s="148" t="s">
        <v>70</v>
      </c>
    </row>
    <row r="126" spans="1:26" s="7" customFormat="1" ht="12.75" customHeight="1" x14ac:dyDescent="0.2">
      <c r="A126" s="131" t="s">
        <v>67</v>
      </c>
      <c r="B126" s="132">
        <v>24</v>
      </c>
      <c r="C126" s="133" t="s">
        <v>286</v>
      </c>
      <c r="D126" s="133" t="s">
        <v>79</v>
      </c>
      <c r="E126" s="134"/>
      <c r="F126" s="134">
        <f>40500000000-2000000000</f>
        <v>38500000000</v>
      </c>
      <c r="G126" s="134"/>
      <c r="H126" s="135" t="s">
        <v>68</v>
      </c>
      <c r="I126" s="136" t="s">
        <v>880</v>
      </c>
      <c r="J126" s="137">
        <v>3</v>
      </c>
      <c r="K126" s="138">
        <v>4</v>
      </c>
      <c r="L126" s="139">
        <v>8</v>
      </c>
      <c r="M126" s="132">
        <f t="shared" si="15"/>
        <v>1</v>
      </c>
      <c r="N126" s="140" t="s">
        <v>36</v>
      </c>
      <c r="O126" s="141" t="str">
        <f>IF(ISBLANK(N126),"",VLOOKUP(N126,[7]Parámetros!$G$2:$H$23,2,FALSE))</f>
        <v xml:space="preserve">Contratación directa (con ofertas) </v>
      </c>
      <c r="P126" s="142">
        <f t="shared" si="23"/>
        <v>1</v>
      </c>
      <c r="Q126" s="143">
        <f t="shared" si="17"/>
        <v>38500000000</v>
      </c>
      <c r="R126" s="143">
        <f t="shared" si="18"/>
        <v>38500000000</v>
      </c>
      <c r="S126" s="144" t="s">
        <v>222</v>
      </c>
      <c r="T126" s="140">
        <f t="shared" si="24"/>
        <v>0</v>
      </c>
      <c r="U126" s="145" t="str">
        <f t="shared" si="20"/>
        <v>SUBDIRECCION DE GESTION CONTRACTUAL</v>
      </c>
      <c r="V126" s="132" t="str">
        <f t="shared" si="25"/>
        <v>CO-DC</v>
      </c>
      <c r="W126" s="145" t="str">
        <f t="shared" si="26"/>
        <v>Distrito Capital de Bogotá</v>
      </c>
      <c r="X126" s="146" t="s">
        <v>69</v>
      </c>
      <c r="Y126" s="132">
        <v>2427401</v>
      </c>
      <c r="Z126" s="148" t="s">
        <v>70</v>
      </c>
    </row>
    <row r="127" spans="1:26" s="7" customFormat="1" ht="12.75" customHeight="1" x14ac:dyDescent="0.2">
      <c r="A127" s="131" t="s">
        <v>67</v>
      </c>
      <c r="B127" s="132">
        <v>25</v>
      </c>
      <c r="C127" s="133" t="s">
        <v>287</v>
      </c>
      <c r="D127" s="133" t="s">
        <v>290</v>
      </c>
      <c r="E127" s="134"/>
      <c r="F127" s="134">
        <v>20000000000</v>
      </c>
      <c r="G127" s="134"/>
      <c r="H127" s="135" t="s">
        <v>68</v>
      </c>
      <c r="I127" s="136" t="s">
        <v>881</v>
      </c>
      <c r="J127" s="137">
        <v>3</v>
      </c>
      <c r="K127" s="138">
        <v>4</v>
      </c>
      <c r="L127" s="139">
        <v>8</v>
      </c>
      <c r="M127" s="132">
        <f t="shared" si="15"/>
        <v>1</v>
      </c>
      <c r="N127" s="140" t="s">
        <v>36</v>
      </c>
      <c r="O127" s="141" t="str">
        <f>IF(ISBLANK(N127),"",VLOOKUP(N127,[7]Parámetros!$G$2:$H$23,2,FALSE))</f>
        <v xml:space="preserve">Contratación directa (con ofertas) </v>
      </c>
      <c r="P127" s="142">
        <f t="shared" si="23"/>
        <v>1</v>
      </c>
      <c r="Q127" s="143">
        <f t="shared" si="17"/>
        <v>20000000000</v>
      </c>
      <c r="R127" s="143">
        <f t="shared" si="18"/>
        <v>20000000000</v>
      </c>
      <c r="S127" s="144" t="s">
        <v>222</v>
      </c>
      <c r="T127" s="140">
        <f t="shared" si="24"/>
        <v>0</v>
      </c>
      <c r="U127" s="145" t="str">
        <f t="shared" si="20"/>
        <v>SUBDIRECCION DE GESTION CONTRACTUAL</v>
      </c>
      <c r="V127" s="132" t="str">
        <f t="shared" si="25"/>
        <v>CO-DC</v>
      </c>
      <c r="W127" s="145" t="str">
        <f t="shared" si="26"/>
        <v>Distrito Capital de Bogotá</v>
      </c>
      <c r="X127" s="146" t="s">
        <v>69</v>
      </c>
      <c r="Y127" s="132">
        <v>2427401</v>
      </c>
      <c r="Z127" s="148" t="s">
        <v>70</v>
      </c>
    </row>
    <row r="128" spans="1:26" s="7" customFormat="1" ht="12.75" customHeight="1" x14ac:dyDescent="0.2">
      <c r="A128" s="131" t="s">
        <v>67</v>
      </c>
      <c r="B128" s="132">
        <v>26</v>
      </c>
      <c r="C128" s="133" t="s">
        <v>272</v>
      </c>
      <c r="D128" s="133" t="s">
        <v>71</v>
      </c>
      <c r="E128" s="134"/>
      <c r="F128" s="134">
        <f>7796660558-1500000000</f>
        <v>6296660558</v>
      </c>
      <c r="G128" s="134"/>
      <c r="H128" s="135" t="s">
        <v>752</v>
      </c>
      <c r="I128" s="136" t="s">
        <v>586</v>
      </c>
      <c r="J128" s="137">
        <v>2</v>
      </c>
      <c r="K128" s="138">
        <v>3</v>
      </c>
      <c r="L128" s="139">
        <v>9</v>
      </c>
      <c r="M128" s="132">
        <f t="shared" si="15"/>
        <v>1</v>
      </c>
      <c r="N128" s="140" t="s">
        <v>226</v>
      </c>
      <c r="O128" s="141" t="str">
        <f>IF(ISBLANK(N128),"",VLOOKUP(N128,[7]Parámetros!$G$2:$H$23,2,FALSE))</f>
        <v>Licitación pública</v>
      </c>
      <c r="P128" s="142">
        <f t="shared" si="23"/>
        <v>1</v>
      </c>
      <c r="Q128" s="143">
        <f t="shared" si="17"/>
        <v>6296660558</v>
      </c>
      <c r="R128" s="143">
        <f t="shared" si="18"/>
        <v>6296660558</v>
      </c>
      <c r="S128" s="144" t="s">
        <v>222</v>
      </c>
      <c r="T128" s="140">
        <f t="shared" si="24"/>
        <v>0</v>
      </c>
      <c r="U128" s="145" t="str">
        <f t="shared" si="20"/>
        <v>SUBDIRECCION DE GESTION CONTRACTUAL</v>
      </c>
      <c r="V128" s="132" t="str">
        <f t="shared" si="25"/>
        <v>CO-DC</v>
      </c>
      <c r="W128" s="145" t="str">
        <f t="shared" si="26"/>
        <v>Distrito Capital de Bogotá</v>
      </c>
      <c r="X128" s="146" t="s">
        <v>69</v>
      </c>
      <c r="Y128" s="132">
        <v>2427401</v>
      </c>
      <c r="Z128" s="148" t="s">
        <v>70</v>
      </c>
    </row>
    <row r="129" spans="1:26" s="7" customFormat="1" ht="12.75" customHeight="1" x14ac:dyDescent="0.2">
      <c r="A129" s="131" t="s">
        <v>67</v>
      </c>
      <c r="B129" s="132">
        <v>27</v>
      </c>
      <c r="C129" s="133" t="s">
        <v>286</v>
      </c>
      <c r="D129" s="133" t="s">
        <v>79</v>
      </c>
      <c r="E129" s="134"/>
      <c r="F129" s="134">
        <v>2000000000</v>
      </c>
      <c r="G129" s="134"/>
      <c r="H129" s="135" t="s">
        <v>68</v>
      </c>
      <c r="I129" s="136" t="s">
        <v>882</v>
      </c>
      <c r="J129" s="137">
        <v>2</v>
      </c>
      <c r="K129" s="138">
        <v>3</v>
      </c>
      <c r="L129" s="139">
        <v>9</v>
      </c>
      <c r="M129" s="132">
        <f t="shared" si="15"/>
        <v>1</v>
      </c>
      <c r="N129" s="140" t="s">
        <v>36</v>
      </c>
      <c r="O129" s="141" t="str">
        <f>IF(ISBLANK(N129),"",VLOOKUP(N129,[8]Parámetros!$G$2:$H$23,2,FALSE))</f>
        <v xml:space="preserve">Contratación directa (con ofertas) </v>
      </c>
      <c r="P129" s="142">
        <f t="shared" si="23"/>
        <v>1</v>
      </c>
      <c r="Q129" s="143">
        <f t="shared" ref="Q129:Q131" si="27">IF(VALUE(E129+F129+G129)=0,"",E129+F129+G129)</f>
        <v>2000000000</v>
      </c>
      <c r="R129" s="143">
        <f t="shared" ref="R129:R131" si="28">IF(VALUE(F129)=0,"",F129)</f>
        <v>2000000000</v>
      </c>
      <c r="S129" s="144" t="s">
        <v>222</v>
      </c>
      <c r="T129" s="140">
        <f t="shared" si="24"/>
        <v>0</v>
      </c>
      <c r="U129" s="145" t="str">
        <f t="shared" si="20"/>
        <v>SUBDIRECCION DE GESTION CONTRACTUAL</v>
      </c>
      <c r="V129" s="132" t="str">
        <f t="shared" si="25"/>
        <v>CO-DC</v>
      </c>
      <c r="W129" s="145" t="str">
        <f t="shared" si="26"/>
        <v>Distrito Capital de Bogotá</v>
      </c>
      <c r="X129" s="146" t="s">
        <v>69</v>
      </c>
      <c r="Y129" s="132">
        <v>2427401</v>
      </c>
      <c r="Z129" s="148" t="s">
        <v>70</v>
      </c>
    </row>
    <row r="130" spans="1:26" s="7" customFormat="1" ht="12.75" customHeight="1" x14ac:dyDescent="0.2">
      <c r="A130" s="131" t="s">
        <v>67</v>
      </c>
      <c r="B130" s="132">
        <v>28</v>
      </c>
      <c r="C130" s="133" t="s">
        <v>268</v>
      </c>
      <c r="D130" s="133" t="s">
        <v>71</v>
      </c>
      <c r="E130" s="134"/>
      <c r="F130" s="134">
        <v>200000000</v>
      </c>
      <c r="G130" s="134"/>
      <c r="H130" s="135" t="s">
        <v>68</v>
      </c>
      <c r="I130" s="136" t="s">
        <v>883</v>
      </c>
      <c r="J130" s="137">
        <v>2</v>
      </c>
      <c r="K130" s="138">
        <v>3</v>
      </c>
      <c r="L130" s="139">
        <v>9</v>
      </c>
      <c r="M130" s="132">
        <f t="shared" si="15"/>
        <v>1</v>
      </c>
      <c r="N130" s="140" t="s">
        <v>36</v>
      </c>
      <c r="O130" s="141" t="str">
        <f>IF(ISBLANK(N130),"",VLOOKUP(N130,[8]Parámetros!$G$2:$H$23,2,FALSE))</f>
        <v xml:space="preserve">Contratación directa (con ofertas) </v>
      </c>
      <c r="P130" s="142">
        <f t="shared" si="23"/>
        <v>1</v>
      </c>
      <c r="Q130" s="143">
        <f t="shared" si="27"/>
        <v>200000000</v>
      </c>
      <c r="R130" s="143">
        <f t="shared" si="28"/>
        <v>200000000</v>
      </c>
      <c r="S130" s="144" t="s">
        <v>222</v>
      </c>
      <c r="T130" s="140">
        <f t="shared" si="24"/>
        <v>0</v>
      </c>
      <c r="U130" s="145" t="str">
        <f t="shared" si="20"/>
        <v>SUBDIRECCION DE GESTION CONTRACTUAL</v>
      </c>
      <c r="V130" s="132" t="str">
        <f t="shared" si="25"/>
        <v>CO-DC</v>
      </c>
      <c r="W130" s="145" t="str">
        <f t="shared" si="26"/>
        <v>Distrito Capital de Bogotá</v>
      </c>
      <c r="X130" s="146" t="s">
        <v>69</v>
      </c>
      <c r="Y130" s="132">
        <v>2427401</v>
      </c>
      <c r="Z130" s="148" t="s">
        <v>70</v>
      </c>
    </row>
    <row r="131" spans="1:26" s="7" customFormat="1" ht="12.75" customHeight="1" x14ac:dyDescent="0.2">
      <c r="A131" s="131" t="s">
        <v>67</v>
      </c>
      <c r="B131" s="132">
        <v>29</v>
      </c>
      <c r="C131" s="133" t="s">
        <v>268</v>
      </c>
      <c r="D131" s="133" t="s">
        <v>71</v>
      </c>
      <c r="E131" s="134"/>
      <c r="F131" s="134">
        <v>2400000000</v>
      </c>
      <c r="G131" s="136"/>
      <c r="H131" s="135" t="s">
        <v>822</v>
      </c>
      <c r="I131" s="162" t="s">
        <v>884</v>
      </c>
      <c r="J131" s="139">
        <v>2</v>
      </c>
      <c r="K131" s="132">
        <v>3</v>
      </c>
      <c r="L131" s="140">
        <v>9</v>
      </c>
      <c r="M131" s="142">
        <f t="shared" si="15"/>
        <v>1</v>
      </c>
      <c r="N131" s="142" t="s">
        <v>36</v>
      </c>
      <c r="O131" s="163" t="str">
        <f>IF(ISBLANK(N131),"",VLOOKUP(N131,[8]Parámetros!$G$2:$H$23,2,FALSE))</f>
        <v xml:space="preserve">Contratación directa (con ofertas) </v>
      </c>
      <c r="P131" s="164">
        <f t="shared" si="23"/>
        <v>1</v>
      </c>
      <c r="Q131" s="143">
        <f t="shared" si="27"/>
        <v>2400000000</v>
      </c>
      <c r="R131" s="143">
        <f t="shared" si="28"/>
        <v>2400000000</v>
      </c>
      <c r="S131" s="132" t="s">
        <v>222</v>
      </c>
      <c r="T131" s="132">
        <f t="shared" si="24"/>
        <v>0</v>
      </c>
      <c r="U131" s="145" t="str">
        <f t="shared" si="20"/>
        <v>SUBDIRECCION DE GESTION CONTRACTUAL</v>
      </c>
      <c r="V131" s="132" t="str">
        <f t="shared" si="25"/>
        <v>CO-DC</v>
      </c>
      <c r="W131" s="132" t="str">
        <f t="shared" si="26"/>
        <v>Distrito Capital de Bogotá</v>
      </c>
      <c r="X131" s="148" t="s">
        <v>69</v>
      </c>
      <c r="Y131" s="165">
        <v>2427401</v>
      </c>
      <c r="Z131" s="7" t="s">
        <v>70</v>
      </c>
    </row>
    <row r="132" spans="1:26" s="7" customFormat="1" ht="12.75" customHeight="1" x14ac:dyDescent="0.2">
      <c r="A132" s="131" t="s">
        <v>67</v>
      </c>
      <c r="B132" s="132">
        <v>30</v>
      </c>
      <c r="C132" s="133" t="s">
        <v>268</v>
      </c>
      <c r="D132" s="133" t="s">
        <v>71</v>
      </c>
      <c r="E132" s="134"/>
      <c r="F132" s="134">
        <v>500000000</v>
      </c>
      <c r="G132" s="136"/>
      <c r="H132" s="135" t="s">
        <v>68</v>
      </c>
      <c r="I132" s="136" t="s">
        <v>839</v>
      </c>
      <c r="J132" s="139">
        <v>3</v>
      </c>
      <c r="K132" s="132">
        <v>4</v>
      </c>
      <c r="L132" s="140">
        <v>8</v>
      </c>
      <c r="M132" s="142">
        <f>IF(ISBLANK(J132),"",1)</f>
        <v>1</v>
      </c>
      <c r="N132" s="142" t="s">
        <v>36</v>
      </c>
      <c r="O132" s="163" t="str">
        <f>IF(ISBLANK(N132),"",VLOOKUP(N132,[9]Parámetros!$G$2:$H$23,2,FALSE))</f>
        <v xml:space="preserve">Contratación directa (con ofertas) </v>
      </c>
      <c r="P132" s="164">
        <f t="shared" si="23"/>
        <v>1</v>
      </c>
      <c r="Q132" s="143">
        <f>IF(VALUE(E132+F132+G132)=0,"",E132+F132+G132)</f>
        <v>500000000</v>
      </c>
      <c r="R132" s="143">
        <f>IF(VALUE(F132)=0,"",F132)</f>
        <v>500000000</v>
      </c>
      <c r="S132" s="132" t="s">
        <v>222</v>
      </c>
      <c r="T132" s="132">
        <f t="shared" si="24"/>
        <v>0</v>
      </c>
      <c r="U132" s="145" t="str">
        <f t="shared" si="20"/>
        <v>SUBDIRECCION DE GESTION CONTRACTUAL</v>
      </c>
      <c r="V132" s="132" t="str">
        <f t="shared" si="25"/>
        <v>CO-DC</v>
      </c>
      <c r="W132" s="132" t="str">
        <f t="shared" si="26"/>
        <v>Distrito Capital de Bogotá</v>
      </c>
      <c r="X132" s="148" t="s">
        <v>69</v>
      </c>
      <c r="Y132" s="165">
        <v>2427401</v>
      </c>
      <c r="Z132" s="7" t="s">
        <v>70</v>
      </c>
    </row>
    <row r="133" spans="1:26" s="7" customFormat="1" ht="12.75" customHeight="1" x14ac:dyDescent="0.2">
      <c r="A133" s="131" t="s">
        <v>67</v>
      </c>
      <c r="B133" s="132">
        <v>31</v>
      </c>
      <c r="C133" s="133" t="s">
        <v>272</v>
      </c>
      <c r="D133" s="133" t="s">
        <v>71</v>
      </c>
      <c r="E133" s="134"/>
      <c r="F133" s="134">
        <v>21469797103</v>
      </c>
      <c r="G133" s="136"/>
      <c r="H133" s="135" t="s">
        <v>68</v>
      </c>
      <c r="I133" s="136" t="s">
        <v>885</v>
      </c>
      <c r="J133" s="139">
        <v>5</v>
      </c>
      <c r="K133" s="132">
        <v>6</v>
      </c>
      <c r="L133" s="140">
        <v>6</v>
      </c>
      <c r="M133" s="142">
        <f>IF(ISBLANK(J133),"",1)</f>
        <v>1</v>
      </c>
      <c r="N133" s="142" t="s">
        <v>36</v>
      </c>
      <c r="O133" s="163" t="str">
        <f>IF(ISBLANK(N133),"",VLOOKUP(N133,[10]Parámetros!$G$2:$H$23,2,FALSE))</f>
        <v xml:space="preserve">Contratación directa (con ofertas) </v>
      </c>
      <c r="P133" s="164">
        <f t="shared" si="23"/>
        <v>1</v>
      </c>
      <c r="Q133" s="143">
        <f>IF(VALUE(E133+F133+G133)=0,"",E133+F133+G133)</f>
        <v>21469797103</v>
      </c>
      <c r="R133" s="143">
        <f>IF(VALUE(F133)=0,"",F133)</f>
        <v>21469797103</v>
      </c>
      <c r="S133" s="132" t="s">
        <v>222</v>
      </c>
      <c r="T133" s="132">
        <f t="shared" si="24"/>
        <v>0</v>
      </c>
      <c r="U133" s="145" t="str">
        <f t="shared" si="20"/>
        <v>SUBDIRECCION DE GESTION CONTRACTUAL</v>
      </c>
      <c r="V133" s="132" t="str">
        <f t="shared" si="25"/>
        <v>CO-DC</v>
      </c>
      <c r="W133" s="132" t="str">
        <f t="shared" si="26"/>
        <v>Distrito Capital de Bogotá</v>
      </c>
      <c r="X133" s="148" t="s">
        <v>69</v>
      </c>
      <c r="Y133" s="165">
        <v>2427401</v>
      </c>
      <c r="Z133" s="7" t="s">
        <v>70</v>
      </c>
    </row>
    <row r="134" spans="1:26" s="7" customFormat="1" ht="12.75" customHeight="1" x14ac:dyDescent="0.2">
      <c r="A134" s="131" t="s">
        <v>291</v>
      </c>
      <c r="B134" s="132">
        <v>1</v>
      </c>
      <c r="C134" s="133" t="s">
        <v>292</v>
      </c>
      <c r="D134" s="133" t="s">
        <v>293</v>
      </c>
      <c r="E134" s="134"/>
      <c r="F134" s="134">
        <v>1612449178.0000002</v>
      </c>
      <c r="G134" s="134"/>
      <c r="H134" s="135">
        <v>80111600</v>
      </c>
      <c r="I134" s="136" t="s">
        <v>294</v>
      </c>
      <c r="J134" s="137">
        <v>1</v>
      </c>
      <c r="K134" s="138">
        <v>1</v>
      </c>
      <c r="L134" s="139">
        <v>12</v>
      </c>
      <c r="M134" s="132">
        <f t="shared" si="15"/>
        <v>1</v>
      </c>
      <c r="N134" s="140" t="s">
        <v>216</v>
      </c>
      <c r="O134" s="141" t="str">
        <f>IF(ISBLANK(N134),"",VLOOKUP(N134,[11]Parámetros!$G$2:$H$23,2,FALSE))</f>
        <v>Contratación directa.</v>
      </c>
      <c r="P134" s="142">
        <f t="shared" si="23"/>
        <v>1</v>
      </c>
      <c r="Q134" s="143">
        <f t="shared" si="17"/>
        <v>1612449178.0000002</v>
      </c>
      <c r="R134" s="143">
        <f t="shared" si="18"/>
        <v>1612449178.0000002</v>
      </c>
      <c r="S134" s="144" t="s">
        <v>222</v>
      </c>
      <c r="T134" s="140">
        <f t="shared" si="24"/>
        <v>0</v>
      </c>
      <c r="U134" s="145" t="str">
        <f t="shared" si="20"/>
        <v>SUBDIRECCION DE GESTION CONTRACTUAL</v>
      </c>
      <c r="V134" s="132" t="str">
        <f t="shared" si="25"/>
        <v>CO-DC</v>
      </c>
      <c r="W134" s="145" t="str">
        <f t="shared" si="26"/>
        <v>Distrito Capital de Bogotá</v>
      </c>
      <c r="X134" s="146" t="s">
        <v>82</v>
      </c>
      <c r="Y134" s="132">
        <v>2427400</v>
      </c>
      <c r="Z134" s="148" t="s">
        <v>83</v>
      </c>
    </row>
    <row r="135" spans="1:26" s="7" customFormat="1" ht="12.75" customHeight="1" x14ac:dyDescent="0.2">
      <c r="A135" s="131" t="s">
        <v>291</v>
      </c>
      <c r="B135" s="132">
        <v>2</v>
      </c>
      <c r="C135" s="133" t="s">
        <v>292</v>
      </c>
      <c r="D135" s="133" t="s">
        <v>293</v>
      </c>
      <c r="E135" s="134"/>
      <c r="F135" s="134">
        <v>0</v>
      </c>
      <c r="G135" s="134"/>
      <c r="H135" s="135" t="s">
        <v>752</v>
      </c>
      <c r="I135" s="136" t="s">
        <v>295</v>
      </c>
      <c r="J135" s="160">
        <v>1</v>
      </c>
      <c r="K135" s="160">
        <v>2</v>
      </c>
      <c r="L135" s="160">
        <v>3</v>
      </c>
      <c r="M135" s="132">
        <f t="shared" si="15"/>
        <v>1</v>
      </c>
      <c r="N135" s="140" t="s">
        <v>36</v>
      </c>
      <c r="O135" s="141" t="str">
        <f>IF(ISBLANK(N135),"",VLOOKUP(N135,[11]Parámetros!$G$2:$H$23,2,FALSE))</f>
        <v xml:space="preserve">Contratación directa (con ofertas) </v>
      </c>
      <c r="P135" s="142">
        <f t="shared" si="23"/>
        <v>1</v>
      </c>
      <c r="Q135" s="143">
        <f t="shared" si="17"/>
        <v>0</v>
      </c>
      <c r="R135" s="143">
        <f t="shared" si="18"/>
        <v>0</v>
      </c>
      <c r="S135" s="144" t="s">
        <v>222</v>
      </c>
      <c r="T135" s="140">
        <f t="shared" si="24"/>
        <v>0</v>
      </c>
      <c r="U135" s="145" t="str">
        <f t="shared" si="20"/>
        <v>SUBDIRECCION DE GESTION CONTRACTUAL</v>
      </c>
      <c r="V135" s="132" t="str">
        <f t="shared" si="25"/>
        <v>CO-DC</v>
      </c>
      <c r="W135" s="145" t="str">
        <f t="shared" si="26"/>
        <v>Distrito Capital de Bogotá</v>
      </c>
      <c r="X135" s="146" t="s">
        <v>82</v>
      </c>
      <c r="Y135" s="132">
        <v>2427400</v>
      </c>
      <c r="Z135" s="148" t="s">
        <v>83</v>
      </c>
    </row>
    <row r="136" spans="1:26" s="7" customFormat="1" ht="12.75" customHeight="1" x14ac:dyDescent="0.2">
      <c r="A136" s="131" t="s">
        <v>291</v>
      </c>
      <c r="B136" s="132">
        <v>3</v>
      </c>
      <c r="C136" s="133" t="s">
        <v>292</v>
      </c>
      <c r="D136" s="133" t="s">
        <v>293</v>
      </c>
      <c r="E136" s="134"/>
      <c r="F136" s="134">
        <f>150302362+40000000</f>
        <v>190302362</v>
      </c>
      <c r="G136" s="134"/>
      <c r="H136" s="135" t="s">
        <v>752</v>
      </c>
      <c r="I136" s="136" t="s">
        <v>295</v>
      </c>
      <c r="J136" s="137">
        <v>2</v>
      </c>
      <c r="K136" s="138">
        <v>3</v>
      </c>
      <c r="L136" s="139">
        <v>9</v>
      </c>
      <c r="M136" s="132">
        <f t="shared" si="15"/>
        <v>1</v>
      </c>
      <c r="N136" s="140" t="s">
        <v>226</v>
      </c>
      <c r="O136" s="141" t="str">
        <f>IF(ISBLANK(N136),"",VLOOKUP(N136,[11]Parámetros!$G$2:$H$23,2,FALSE))</f>
        <v>Licitación pública</v>
      </c>
      <c r="P136" s="142">
        <f t="shared" si="23"/>
        <v>1</v>
      </c>
      <c r="Q136" s="143">
        <f t="shared" si="17"/>
        <v>190302362</v>
      </c>
      <c r="R136" s="143">
        <f t="shared" si="18"/>
        <v>190302362</v>
      </c>
      <c r="S136" s="144" t="s">
        <v>222</v>
      </c>
      <c r="T136" s="140">
        <f t="shared" si="24"/>
        <v>0</v>
      </c>
      <c r="U136" s="145" t="str">
        <f t="shared" si="20"/>
        <v>SUBDIRECCION DE GESTION CONTRACTUAL</v>
      </c>
      <c r="V136" s="132" t="str">
        <f t="shared" si="25"/>
        <v>CO-DC</v>
      </c>
      <c r="W136" s="145" t="str">
        <f t="shared" si="26"/>
        <v>Distrito Capital de Bogotá</v>
      </c>
      <c r="X136" s="146" t="s">
        <v>82</v>
      </c>
      <c r="Y136" s="132">
        <v>2427400</v>
      </c>
      <c r="Z136" s="148" t="s">
        <v>83</v>
      </c>
    </row>
    <row r="137" spans="1:26" s="7" customFormat="1" ht="12.75" customHeight="1" x14ac:dyDescent="0.2">
      <c r="A137" s="131" t="s">
        <v>291</v>
      </c>
      <c r="B137" s="132">
        <v>4</v>
      </c>
      <c r="C137" s="133" t="s">
        <v>292</v>
      </c>
      <c r="D137" s="133" t="s">
        <v>293</v>
      </c>
      <c r="E137" s="134"/>
      <c r="F137" s="134">
        <v>50000000</v>
      </c>
      <c r="G137" s="134"/>
      <c r="H137" s="135" t="s">
        <v>42</v>
      </c>
      <c r="I137" s="136" t="s">
        <v>296</v>
      </c>
      <c r="J137" s="137">
        <v>3</v>
      </c>
      <c r="K137" s="138">
        <v>4</v>
      </c>
      <c r="L137" s="139">
        <v>9</v>
      </c>
      <c r="M137" s="132">
        <f t="shared" si="15"/>
        <v>1</v>
      </c>
      <c r="N137" s="140" t="s">
        <v>61</v>
      </c>
      <c r="O137" s="141" t="str">
        <f>IF(ISBLANK(N137),"",VLOOKUP(N137,[11]Parámetros!$G$2:$H$23,2,FALSE))</f>
        <v>Contratación régimen especial - Selección de comisionista</v>
      </c>
      <c r="P137" s="142">
        <f t="shared" si="23"/>
        <v>1</v>
      </c>
      <c r="Q137" s="143">
        <f t="shared" si="17"/>
        <v>50000000</v>
      </c>
      <c r="R137" s="143">
        <f t="shared" si="18"/>
        <v>50000000</v>
      </c>
      <c r="S137" s="144" t="s">
        <v>222</v>
      </c>
      <c r="T137" s="140">
        <f t="shared" si="24"/>
        <v>0</v>
      </c>
      <c r="U137" s="145" t="str">
        <f t="shared" si="20"/>
        <v>SUBDIRECCION DE GESTION CONTRACTUAL</v>
      </c>
      <c r="V137" s="132" t="str">
        <f t="shared" si="25"/>
        <v>CO-DC</v>
      </c>
      <c r="W137" s="145" t="str">
        <f t="shared" si="26"/>
        <v>Distrito Capital de Bogotá</v>
      </c>
      <c r="X137" s="146" t="s">
        <v>331</v>
      </c>
      <c r="Y137" s="132">
        <v>2427400</v>
      </c>
      <c r="Z137" s="148" t="s">
        <v>75</v>
      </c>
    </row>
    <row r="138" spans="1:26" s="7" customFormat="1" ht="12.75" customHeight="1" x14ac:dyDescent="0.2">
      <c r="A138" s="131" t="s">
        <v>291</v>
      </c>
      <c r="B138" s="132">
        <v>5</v>
      </c>
      <c r="C138" s="133" t="s">
        <v>292</v>
      </c>
      <c r="D138" s="133" t="s">
        <v>293</v>
      </c>
      <c r="E138" s="134"/>
      <c r="F138" s="134">
        <v>605901056.39999962</v>
      </c>
      <c r="G138" s="134"/>
      <c r="H138" s="135" t="s">
        <v>297</v>
      </c>
      <c r="I138" s="136" t="s">
        <v>298</v>
      </c>
      <c r="J138" s="137">
        <v>4</v>
      </c>
      <c r="K138" s="138">
        <v>4</v>
      </c>
      <c r="L138" s="139">
        <v>8</v>
      </c>
      <c r="M138" s="132">
        <f t="shared" si="15"/>
        <v>1</v>
      </c>
      <c r="N138" s="140" t="s">
        <v>36</v>
      </c>
      <c r="O138" s="141" t="str">
        <f>IF(ISBLANK(N138),"",VLOOKUP(N138,[11]Parámetros!$G$2:$H$23,2,FALSE))</f>
        <v xml:space="preserve">Contratación directa (con ofertas) </v>
      </c>
      <c r="P138" s="142">
        <f t="shared" si="23"/>
        <v>1</v>
      </c>
      <c r="Q138" s="143">
        <f t="shared" si="17"/>
        <v>605901056.39999962</v>
      </c>
      <c r="R138" s="143">
        <f t="shared" si="18"/>
        <v>605901056.39999962</v>
      </c>
      <c r="S138" s="144" t="s">
        <v>222</v>
      </c>
      <c r="T138" s="140">
        <f t="shared" si="24"/>
        <v>0</v>
      </c>
      <c r="U138" s="145" t="str">
        <f t="shared" si="20"/>
        <v>SUBDIRECCION DE GESTION CONTRACTUAL</v>
      </c>
      <c r="V138" s="132" t="str">
        <f t="shared" si="25"/>
        <v>CO-DC</v>
      </c>
      <c r="W138" s="145" t="str">
        <f t="shared" si="26"/>
        <v>Distrito Capital de Bogotá</v>
      </c>
      <c r="X138" s="146" t="s">
        <v>82</v>
      </c>
      <c r="Y138" s="132">
        <v>2427400</v>
      </c>
      <c r="Z138" s="148" t="s">
        <v>83</v>
      </c>
    </row>
    <row r="139" spans="1:26" s="7" customFormat="1" ht="12.75" customHeight="1" x14ac:dyDescent="0.2">
      <c r="A139" s="131" t="s">
        <v>291</v>
      </c>
      <c r="B139" s="132">
        <v>6</v>
      </c>
      <c r="C139" s="133" t="s">
        <v>292</v>
      </c>
      <c r="D139" s="133" t="s">
        <v>293</v>
      </c>
      <c r="E139" s="134"/>
      <c r="F139" s="134">
        <v>167927278.39999998</v>
      </c>
      <c r="G139" s="134"/>
      <c r="H139" s="135" t="s">
        <v>299</v>
      </c>
      <c r="I139" s="136" t="s">
        <v>300</v>
      </c>
      <c r="J139" s="137">
        <v>2</v>
      </c>
      <c r="K139" s="138">
        <v>2</v>
      </c>
      <c r="L139" s="139">
        <v>6</v>
      </c>
      <c r="M139" s="132">
        <f t="shared" si="15"/>
        <v>1</v>
      </c>
      <c r="N139" s="140" t="s">
        <v>36</v>
      </c>
      <c r="O139" s="141" t="str">
        <f>IF(ISBLANK(N139),"",VLOOKUP(N139,[11]Parámetros!$G$2:$H$23,2,FALSE))</f>
        <v xml:space="preserve">Contratación directa (con ofertas) </v>
      </c>
      <c r="P139" s="142">
        <f t="shared" si="23"/>
        <v>1</v>
      </c>
      <c r="Q139" s="143">
        <f t="shared" si="17"/>
        <v>167927278.39999998</v>
      </c>
      <c r="R139" s="143">
        <f t="shared" si="18"/>
        <v>167927278.39999998</v>
      </c>
      <c r="S139" s="144" t="s">
        <v>222</v>
      </c>
      <c r="T139" s="140">
        <f t="shared" si="24"/>
        <v>0</v>
      </c>
      <c r="U139" s="145" t="str">
        <f t="shared" si="20"/>
        <v>SUBDIRECCION DE GESTION CONTRACTUAL</v>
      </c>
      <c r="V139" s="132" t="str">
        <f t="shared" si="25"/>
        <v>CO-DC</v>
      </c>
      <c r="W139" s="145" t="str">
        <f t="shared" si="26"/>
        <v>Distrito Capital de Bogotá</v>
      </c>
      <c r="X139" s="146" t="s">
        <v>82</v>
      </c>
      <c r="Y139" s="132">
        <v>2427400</v>
      </c>
      <c r="Z139" s="148" t="s">
        <v>83</v>
      </c>
    </row>
    <row r="140" spans="1:26" s="7" customFormat="1" ht="12.75" customHeight="1" x14ac:dyDescent="0.2">
      <c r="A140" s="131" t="s">
        <v>291</v>
      </c>
      <c r="B140" s="132">
        <v>7</v>
      </c>
      <c r="C140" s="133" t="s">
        <v>301</v>
      </c>
      <c r="D140" s="133" t="s">
        <v>293</v>
      </c>
      <c r="E140" s="134"/>
      <c r="F140" s="134">
        <v>849530285.60000002</v>
      </c>
      <c r="G140" s="134"/>
      <c r="H140" s="135">
        <v>80111600</v>
      </c>
      <c r="I140" s="136" t="s">
        <v>294</v>
      </c>
      <c r="J140" s="137">
        <v>1</v>
      </c>
      <c r="K140" s="138">
        <v>1</v>
      </c>
      <c r="L140" s="139">
        <v>12</v>
      </c>
      <c r="M140" s="132">
        <f t="shared" si="15"/>
        <v>1</v>
      </c>
      <c r="N140" s="140" t="s">
        <v>216</v>
      </c>
      <c r="O140" s="141" t="str">
        <f>IF(ISBLANK(N140),"",VLOOKUP(N140,[11]Parámetros!$G$2:$H$23,2,FALSE))</f>
        <v>Contratación directa.</v>
      </c>
      <c r="P140" s="142">
        <f t="shared" ref="P140:P173" si="29">IF(ISBLANK(N140),"",1)</f>
        <v>1</v>
      </c>
      <c r="Q140" s="143">
        <f t="shared" si="17"/>
        <v>849530285.60000002</v>
      </c>
      <c r="R140" s="143">
        <f t="shared" si="18"/>
        <v>849530285.60000002</v>
      </c>
      <c r="S140" s="144" t="s">
        <v>222</v>
      </c>
      <c r="T140" s="140">
        <f t="shared" ref="T140:T173" si="30">IF(ISBLANK(S140),"",IF(VALUE(S140)=0,0,IF(VALUE(S140)=1,3,"")))</f>
        <v>0</v>
      </c>
      <c r="U140" s="145" t="str">
        <f t="shared" si="20"/>
        <v>SUBDIRECCION DE GESTION CONTRACTUAL</v>
      </c>
      <c r="V140" s="132" t="str">
        <f t="shared" si="25"/>
        <v>CO-DC</v>
      </c>
      <c r="W140" s="145" t="str">
        <f t="shared" si="26"/>
        <v>Distrito Capital de Bogotá</v>
      </c>
      <c r="X140" s="146" t="s">
        <v>82</v>
      </c>
      <c r="Y140" s="132">
        <v>2427400</v>
      </c>
      <c r="Z140" s="148" t="s">
        <v>83</v>
      </c>
    </row>
    <row r="141" spans="1:26" s="7" customFormat="1" ht="12.75" customHeight="1" x14ac:dyDescent="0.2">
      <c r="A141" s="131" t="s">
        <v>291</v>
      </c>
      <c r="B141" s="132">
        <v>8</v>
      </c>
      <c r="C141" s="133" t="s">
        <v>301</v>
      </c>
      <c r="D141" s="133" t="s">
        <v>293</v>
      </c>
      <c r="E141" s="134"/>
      <c r="F141" s="134">
        <v>500000000</v>
      </c>
      <c r="G141" s="134"/>
      <c r="H141" s="135" t="s">
        <v>302</v>
      </c>
      <c r="I141" s="136" t="s">
        <v>303</v>
      </c>
      <c r="J141" s="137">
        <v>2</v>
      </c>
      <c r="K141" s="138">
        <v>2</v>
      </c>
      <c r="L141" s="139">
        <v>10</v>
      </c>
      <c r="M141" s="132">
        <f t="shared" si="15"/>
        <v>1</v>
      </c>
      <c r="N141" s="140" t="s">
        <v>304</v>
      </c>
      <c r="O141" s="141" t="str">
        <f>IF(ISBLANK(N141),"",VLOOKUP(N141,[11]Parámetros!$G$2:$H$23,2,FALSE))</f>
        <v>Selección abreviada menor cuantía</v>
      </c>
      <c r="P141" s="142">
        <f t="shared" si="29"/>
        <v>1</v>
      </c>
      <c r="Q141" s="143">
        <f t="shared" si="17"/>
        <v>500000000</v>
      </c>
      <c r="R141" s="143">
        <f t="shared" si="18"/>
        <v>500000000</v>
      </c>
      <c r="S141" s="144" t="s">
        <v>222</v>
      </c>
      <c r="T141" s="140">
        <f t="shared" si="30"/>
        <v>0</v>
      </c>
      <c r="U141" s="145" t="str">
        <f t="shared" si="20"/>
        <v>SUBDIRECCION DE GESTION CONTRACTUAL</v>
      </c>
      <c r="V141" s="132" t="str">
        <f t="shared" si="25"/>
        <v>CO-DC</v>
      </c>
      <c r="W141" s="145" t="str">
        <f t="shared" si="26"/>
        <v>Distrito Capital de Bogotá</v>
      </c>
      <c r="X141" s="146" t="s">
        <v>82</v>
      </c>
      <c r="Y141" s="132">
        <v>2427400</v>
      </c>
      <c r="Z141" s="148" t="s">
        <v>83</v>
      </c>
    </row>
    <row r="142" spans="1:26" s="7" customFormat="1" ht="12.75" customHeight="1" x14ac:dyDescent="0.2">
      <c r="A142" s="131" t="s">
        <v>291</v>
      </c>
      <c r="B142" s="132">
        <v>9</v>
      </c>
      <c r="C142" s="133" t="s">
        <v>301</v>
      </c>
      <c r="D142" s="133" t="s">
        <v>293</v>
      </c>
      <c r="E142" s="134"/>
      <c r="F142" s="134">
        <v>100000000</v>
      </c>
      <c r="G142" s="134"/>
      <c r="H142" s="135" t="s">
        <v>305</v>
      </c>
      <c r="I142" s="136" t="s">
        <v>306</v>
      </c>
      <c r="J142" s="137">
        <v>2</v>
      </c>
      <c r="K142" s="138">
        <v>2</v>
      </c>
      <c r="L142" s="139">
        <v>6</v>
      </c>
      <c r="M142" s="132">
        <f t="shared" si="15"/>
        <v>1</v>
      </c>
      <c r="N142" s="140" t="s">
        <v>53</v>
      </c>
      <c r="O142" s="141" t="str">
        <f>IF(ISBLANK(N142),"",VLOOKUP(N142,[11]Parámetros!$G$2:$H$23,2,FALSE))</f>
        <v>Seléccion abreviada - acuerdo marco</v>
      </c>
      <c r="P142" s="142">
        <f t="shared" si="29"/>
        <v>1</v>
      </c>
      <c r="Q142" s="143">
        <f t="shared" si="17"/>
        <v>100000000</v>
      </c>
      <c r="R142" s="143">
        <f t="shared" si="18"/>
        <v>100000000</v>
      </c>
      <c r="S142" s="144" t="s">
        <v>222</v>
      </c>
      <c r="T142" s="140">
        <f t="shared" si="30"/>
        <v>0</v>
      </c>
      <c r="U142" s="145" t="str">
        <f t="shared" si="20"/>
        <v>SUBDIRECCION DE GESTION CONTRACTUAL</v>
      </c>
      <c r="V142" s="132" t="str">
        <f t="shared" si="25"/>
        <v>CO-DC</v>
      </c>
      <c r="W142" s="145" t="str">
        <f t="shared" si="26"/>
        <v>Distrito Capital de Bogotá</v>
      </c>
      <c r="X142" s="146" t="s">
        <v>307</v>
      </c>
      <c r="Y142" s="132">
        <v>2427400</v>
      </c>
      <c r="Z142" s="148" t="s">
        <v>308</v>
      </c>
    </row>
    <row r="143" spans="1:26" s="7" customFormat="1" ht="12.75" customHeight="1" x14ac:dyDescent="0.2">
      <c r="A143" s="131" t="s">
        <v>291</v>
      </c>
      <c r="B143" s="132">
        <v>10</v>
      </c>
      <c r="C143" s="133" t="s">
        <v>301</v>
      </c>
      <c r="D143" s="133" t="s">
        <v>293</v>
      </c>
      <c r="E143" s="134"/>
      <c r="F143" s="134">
        <v>229777840</v>
      </c>
      <c r="G143" s="134"/>
      <c r="H143" s="135" t="s">
        <v>309</v>
      </c>
      <c r="I143" s="136" t="s">
        <v>310</v>
      </c>
      <c r="J143" s="137">
        <v>2</v>
      </c>
      <c r="K143" s="138">
        <v>2</v>
      </c>
      <c r="L143" s="139">
        <v>6</v>
      </c>
      <c r="M143" s="132">
        <f t="shared" si="15"/>
        <v>1</v>
      </c>
      <c r="N143" s="140" t="s">
        <v>304</v>
      </c>
      <c r="O143" s="141" t="str">
        <f>IF(ISBLANK(N143),"",VLOOKUP(N143,[11]Parámetros!$G$2:$H$23,2,FALSE))</f>
        <v>Selección abreviada menor cuantía</v>
      </c>
      <c r="P143" s="142">
        <f t="shared" si="29"/>
        <v>1</v>
      </c>
      <c r="Q143" s="143">
        <f t="shared" si="17"/>
        <v>229777840</v>
      </c>
      <c r="R143" s="143">
        <f t="shared" si="18"/>
        <v>229777840</v>
      </c>
      <c r="S143" s="144" t="s">
        <v>222</v>
      </c>
      <c r="T143" s="140">
        <f t="shared" si="30"/>
        <v>0</v>
      </c>
      <c r="U143" s="145" t="str">
        <f t="shared" si="20"/>
        <v>SUBDIRECCION DE GESTION CONTRACTUAL</v>
      </c>
      <c r="V143" s="132" t="str">
        <f t="shared" si="25"/>
        <v>CO-DC</v>
      </c>
      <c r="W143" s="145" t="str">
        <f t="shared" si="26"/>
        <v>Distrito Capital de Bogotá</v>
      </c>
      <c r="X143" s="146" t="s">
        <v>82</v>
      </c>
      <c r="Y143" s="132">
        <v>2427400</v>
      </c>
      <c r="Z143" s="148" t="s">
        <v>83</v>
      </c>
    </row>
    <row r="144" spans="1:26" s="7" customFormat="1" ht="12.75" customHeight="1" x14ac:dyDescent="0.2">
      <c r="A144" s="131" t="s">
        <v>291</v>
      </c>
      <c r="B144" s="132">
        <v>11</v>
      </c>
      <c r="C144" s="133" t="s">
        <v>301</v>
      </c>
      <c r="D144" s="133" t="s">
        <v>293</v>
      </c>
      <c r="E144" s="134"/>
      <c r="F144" s="134">
        <v>150000000</v>
      </c>
      <c r="G144" s="134"/>
      <c r="H144" s="135" t="s">
        <v>230</v>
      </c>
      <c r="I144" s="136" t="s">
        <v>311</v>
      </c>
      <c r="J144" s="137">
        <v>2</v>
      </c>
      <c r="K144" s="138">
        <v>3</v>
      </c>
      <c r="L144" s="139">
        <v>4</v>
      </c>
      <c r="M144" s="132">
        <f t="shared" si="15"/>
        <v>1</v>
      </c>
      <c r="N144" s="140" t="s">
        <v>43</v>
      </c>
      <c r="O144" s="141" t="str">
        <f>IF(ISBLANK(N144),"",VLOOKUP(N144,[11]Parámetros!$G$2:$H$23,2,FALSE))</f>
        <v>Selección abreviada subasta inversa</v>
      </c>
      <c r="P144" s="142">
        <f t="shared" si="29"/>
        <v>1</v>
      </c>
      <c r="Q144" s="143">
        <f t="shared" si="17"/>
        <v>150000000</v>
      </c>
      <c r="R144" s="143">
        <f t="shared" si="18"/>
        <v>150000000</v>
      </c>
      <c r="S144" s="144" t="s">
        <v>222</v>
      </c>
      <c r="T144" s="140">
        <f t="shared" si="30"/>
        <v>0</v>
      </c>
      <c r="U144" s="145" t="str">
        <f t="shared" si="20"/>
        <v>SUBDIRECCION DE GESTION CONTRACTUAL</v>
      </c>
      <c r="V144" s="132" t="str">
        <f t="shared" si="25"/>
        <v>CO-DC</v>
      </c>
      <c r="W144" s="145" t="str">
        <f t="shared" si="26"/>
        <v>Distrito Capital de Bogotá</v>
      </c>
      <c r="X144" s="146" t="s">
        <v>307</v>
      </c>
      <c r="Y144" s="132">
        <v>2427400</v>
      </c>
      <c r="Z144" s="148" t="s">
        <v>94</v>
      </c>
    </row>
    <row r="145" spans="1:26" s="7" customFormat="1" ht="12.75" customHeight="1" x14ac:dyDescent="0.2">
      <c r="A145" s="131" t="s">
        <v>96</v>
      </c>
      <c r="B145" s="132">
        <v>1</v>
      </c>
      <c r="C145" s="133" t="s">
        <v>312</v>
      </c>
      <c r="D145" s="133" t="s">
        <v>97</v>
      </c>
      <c r="E145" s="134"/>
      <c r="F145" s="134">
        <v>122000000</v>
      </c>
      <c r="G145" s="134"/>
      <c r="H145" s="135">
        <v>80111600</v>
      </c>
      <c r="I145" s="136" t="s">
        <v>313</v>
      </c>
      <c r="J145" s="137">
        <v>1</v>
      </c>
      <c r="K145" s="138">
        <v>1</v>
      </c>
      <c r="L145" s="139">
        <v>12</v>
      </c>
      <c r="M145" s="132">
        <f t="shared" si="15"/>
        <v>1</v>
      </c>
      <c r="N145" s="140" t="s">
        <v>216</v>
      </c>
      <c r="O145" s="141" t="str">
        <f>IF(ISBLANK(N145),"",VLOOKUP(N145,[12]Parámetros!$G$2:$H$23,2,FALSE))</f>
        <v>Contratación directa.</v>
      </c>
      <c r="P145" s="142">
        <f t="shared" si="29"/>
        <v>1</v>
      </c>
      <c r="Q145" s="143">
        <f t="shared" si="17"/>
        <v>122000000</v>
      </c>
      <c r="R145" s="143">
        <f t="shared" si="18"/>
        <v>122000000</v>
      </c>
      <c r="S145" s="144" t="s">
        <v>222</v>
      </c>
      <c r="T145" s="140">
        <f t="shared" si="30"/>
        <v>0</v>
      </c>
      <c r="U145" s="145" t="str">
        <f t="shared" si="20"/>
        <v>SUBDIRECCION DE GESTION CONTRACTUAL</v>
      </c>
      <c r="V145" s="132" t="str">
        <f t="shared" si="25"/>
        <v>CO-DC</v>
      </c>
      <c r="W145" s="145" t="str">
        <f t="shared" si="26"/>
        <v>Distrito Capital de Bogotá</v>
      </c>
      <c r="X145" s="146" t="s">
        <v>625</v>
      </c>
      <c r="Y145" s="132">
        <v>2427400</v>
      </c>
      <c r="Z145" s="148" t="s">
        <v>98</v>
      </c>
    </row>
    <row r="146" spans="1:26" s="7" customFormat="1" ht="12.75" customHeight="1" x14ac:dyDescent="0.2">
      <c r="A146" s="131" t="s">
        <v>96</v>
      </c>
      <c r="B146" s="132">
        <v>2</v>
      </c>
      <c r="C146" s="133" t="s">
        <v>312</v>
      </c>
      <c r="D146" s="133" t="s">
        <v>97</v>
      </c>
      <c r="E146" s="134"/>
      <c r="F146" s="134">
        <v>235000000</v>
      </c>
      <c r="G146" s="134"/>
      <c r="H146" s="135">
        <v>80111600</v>
      </c>
      <c r="I146" s="136" t="s">
        <v>313</v>
      </c>
      <c r="J146" s="137">
        <v>1</v>
      </c>
      <c r="K146" s="138">
        <v>1</v>
      </c>
      <c r="L146" s="139">
        <v>12</v>
      </c>
      <c r="M146" s="132">
        <f t="shared" si="15"/>
        <v>1</v>
      </c>
      <c r="N146" s="140" t="s">
        <v>216</v>
      </c>
      <c r="O146" s="141" t="str">
        <f>IF(ISBLANK(N146),"",VLOOKUP(N146,[12]Parámetros!$G$2:$H$23,2,FALSE))</f>
        <v>Contratación directa.</v>
      </c>
      <c r="P146" s="142">
        <f t="shared" si="29"/>
        <v>1</v>
      </c>
      <c r="Q146" s="143">
        <f t="shared" si="17"/>
        <v>235000000</v>
      </c>
      <c r="R146" s="143">
        <f t="shared" si="18"/>
        <v>235000000</v>
      </c>
      <c r="S146" s="144" t="s">
        <v>222</v>
      </c>
      <c r="T146" s="140">
        <f t="shared" si="30"/>
        <v>0</v>
      </c>
      <c r="U146" s="145" t="str">
        <f t="shared" si="20"/>
        <v>SUBDIRECCION DE GESTION CONTRACTUAL</v>
      </c>
      <c r="V146" s="132" t="str">
        <f t="shared" si="25"/>
        <v>CO-DC</v>
      </c>
      <c r="W146" s="145" t="str">
        <f t="shared" si="26"/>
        <v>Distrito Capital de Bogotá</v>
      </c>
      <c r="X146" s="146" t="s">
        <v>625</v>
      </c>
      <c r="Y146" s="132">
        <v>2427400</v>
      </c>
      <c r="Z146" s="148" t="s">
        <v>98</v>
      </c>
    </row>
    <row r="147" spans="1:26" s="7" customFormat="1" ht="12.75" customHeight="1" x14ac:dyDescent="0.2">
      <c r="A147" s="131" t="s">
        <v>96</v>
      </c>
      <c r="B147" s="132">
        <v>3</v>
      </c>
      <c r="C147" s="133" t="s">
        <v>314</v>
      </c>
      <c r="D147" s="133" t="s">
        <v>97</v>
      </c>
      <c r="E147" s="134"/>
      <c r="F147" s="134">
        <v>65000000</v>
      </c>
      <c r="G147" s="134"/>
      <c r="H147" s="135">
        <v>80111600</v>
      </c>
      <c r="I147" s="136" t="s">
        <v>313</v>
      </c>
      <c r="J147" s="137">
        <v>1</v>
      </c>
      <c r="K147" s="138">
        <v>1</v>
      </c>
      <c r="L147" s="139">
        <v>12</v>
      </c>
      <c r="M147" s="132">
        <f t="shared" si="15"/>
        <v>1</v>
      </c>
      <c r="N147" s="140" t="s">
        <v>216</v>
      </c>
      <c r="O147" s="141" t="str">
        <f>IF(ISBLANK(N147),"",VLOOKUP(N147,[12]Parámetros!$G$2:$H$23,2,FALSE))</f>
        <v>Contratación directa.</v>
      </c>
      <c r="P147" s="142">
        <f t="shared" si="29"/>
        <v>1</v>
      </c>
      <c r="Q147" s="143">
        <f t="shared" si="17"/>
        <v>65000000</v>
      </c>
      <c r="R147" s="143">
        <f t="shared" si="18"/>
        <v>65000000</v>
      </c>
      <c r="S147" s="144" t="s">
        <v>222</v>
      </c>
      <c r="T147" s="140">
        <f t="shared" si="30"/>
        <v>0</v>
      </c>
      <c r="U147" s="145" t="str">
        <f t="shared" si="20"/>
        <v>SUBDIRECCION DE GESTION CONTRACTUAL</v>
      </c>
      <c r="V147" s="132" t="str">
        <f t="shared" si="25"/>
        <v>CO-DC</v>
      </c>
      <c r="W147" s="145" t="str">
        <f t="shared" si="26"/>
        <v>Distrito Capital de Bogotá</v>
      </c>
      <c r="X147" s="146" t="s">
        <v>625</v>
      </c>
      <c r="Y147" s="132">
        <v>2427400</v>
      </c>
      <c r="Z147" s="148" t="s">
        <v>98</v>
      </c>
    </row>
    <row r="148" spans="1:26" s="7" customFormat="1" ht="12.75" customHeight="1" x14ac:dyDescent="0.2">
      <c r="A148" s="131" t="s">
        <v>96</v>
      </c>
      <c r="B148" s="132">
        <v>4</v>
      </c>
      <c r="C148" s="133" t="s">
        <v>315</v>
      </c>
      <c r="D148" s="133" t="s">
        <v>97</v>
      </c>
      <c r="E148" s="134"/>
      <c r="F148" s="134">
        <v>24500000</v>
      </c>
      <c r="G148" s="134"/>
      <c r="H148" s="135" t="s">
        <v>103</v>
      </c>
      <c r="I148" s="136" t="s">
        <v>593</v>
      </c>
      <c r="J148" s="137">
        <v>2</v>
      </c>
      <c r="K148" s="138">
        <v>3</v>
      </c>
      <c r="L148" s="139">
        <v>10</v>
      </c>
      <c r="M148" s="132">
        <f t="shared" si="15"/>
        <v>1</v>
      </c>
      <c r="N148" s="140" t="s">
        <v>36</v>
      </c>
      <c r="O148" s="141" t="str">
        <f>IF(ISBLANK(N148),"",VLOOKUP(N148,[1]Parámetros!$G$2:$H$23,2,FALSE))</f>
        <v xml:space="preserve">Contratación directa (con ofertas) </v>
      </c>
      <c r="P148" s="142">
        <f t="shared" si="29"/>
        <v>1</v>
      </c>
      <c r="Q148" s="143">
        <f t="shared" si="17"/>
        <v>24500000</v>
      </c>
      <c r="R148" s="143">
        <f t="shared" si="18"/>
        <v>24500000</v>
      </c>
      <c r="S148" s="144" t="s">
        <v>222</v>
      </c>
      <c r="T148" s="140">
        <f t="shared" si="30"/>
        <v>0</v>
      </c>
      <c r="U148" s="145" t="str">
        <f t="shared" si="20"/>
        <v>SUBDIRECCION DE GESTION CONTRACTUAL</v>
      </c>
      <c r="V148" s="132" t="str">
        <f t="shared" si="25"/>
        <v>CO-DC</v>
      </c>
      <c r="W148" s="145" t="str">
        <f t="shared" si="26"/>
        <v>Distrito Capital de Bogotá</v>
      </c>
      <c r="X148" s="146" t="s">
        <v>625</v>
      </c>
      <c r="Y148" s="132">
        <v>2427400</v>
      </c>
      <c r="Z148" s="148" t="s">
        <v>98</v>
      </c>
    </row>
    <row r="149" spans="1:26" s="7" customFormat="1" ht="12.75" customHeight="1" x14ac:dyDescent="0.2">
      <c r="A149" s="131" t="s">
        <v>96</v>
      </c>
      <c r="B149" s="132">
        <v>5</v>
      </c>
      <c r="C149" s="133" t="s">
        <v>315</v>
      </c>
      <c r="D149" s="133" t="s">
        <v>97</v>
      </c>
      <c r="E149" s="134"/>
      <c r="F149" s="134">
        <v>54500000</v>
      </c>
      <c r="G149" s="134"/>
      <c r="H149" s="135" t="s">
        <v>604</v>
      </c>
      <c r="I149" s="136" t="s">
        <v>605</v>
      </c>
      <c r="J149" s="137">
        <v>2</v>
      </c>
      <c r="K149" s="138">
        <v>2</v>
      </c>
      <c r="L149" s="139">
        <v>10</v>
      </c>
      <c r="M149" s="132">
        <f t="shared" si="15"/>
        <v>1</v>
      </c>
      <c r="N149" s="140" t="s">
        <v>36</v>
      </c>
      <c r="O149" s="141" t="str">
        <f>IF(ISBLANK(N149),"",VLOOKUP(N149,[12]Parámetros!$G$2:$H$23,2,FALSE))</f>
        <v xml:space="preserve">Contratación directa (con ofertas) </v>
      </c>
      <c r="P149" s="142">
        <f t="shared" si="29"/>
        <v>1</v>
      </c>
      <c r="Q149" s="143">
        <f t="shared" si="17"/>
        <v>54500000</v>
      </c>
      <c r="R149" s="143">
        <f t="shared" si="18"/>
        <v>54500000</v>
      </c>
      <c r="S149" s="144" t="s">
        <v>222</v>
      </c>
      <c r="T149" s="140">
        <f t="shared" si="30"/>
        <v>0</v>
      </c>
      <c r="U149" s="145" t="str">
        <f t="shared" si="20"/>
        <v>SUBDIRECCION DE GESTION CONTRACTUAL</v>
      </c>
      <c r="V149" s="132" t="str">
        <f t="shared" si="25"/>
        <v>CO-DC</v>
      </c>
      <c r="W149" s="145" t="str">
        <f t="shared" si="26"/>
        <v>Distrito Capital de Bogotá</v>
      </c>
      <c r="X149" s="146" t="s">
        <v>307</v>
      </c>
      <c r="Y149" s="132">
        <v>2427400</v>
      </c>
      <c r="Z149" s="148" t="s">
        <v>94</v>
      </c>
    </row>
    <row r="150" spans="1:26" s="7" customFormat="1" ht="12.75" customHeight="1" x14ac:dyDescent="0.2">
      <c r="A150" s="131" t="s">
        <v>96</v>
      </c>
      <c r="B150" s="132">
        <v>6</v>
      </c>
      <c r="C150" s="133" t="s">
        <v>315</v>
      </c>
      <c r="D150" s="133" t="s">
        <v>97</v>
      </c>
      <c r="E150" s="134"/>
      <c r="F150" s="134">
        <f>390000000-24500000-54500000-96000000</f>
        <v>215000000</v>
      </c>
      <c r="G150" s="134"/>
      <c r="H150" s="135" t="s">
        <v>752</v>
      </c>
      <c r="I150" s="136" t="s">
        <v>316</v>
      </c>
      <c r="J150" s="137">
        <v>2</v>
      </c>
      <c r="K150" s="138">
        <v>3</v>
      </c>
      <c r="L150" s="139">
        <v>9</v>
      </c>
      <c r="M150" s="132">
        <f t="shared" si="15"/>
        <v>1</v>
      </c>
      <c r="N150" s="140" t="s">
        <v>226</v>
      </c>
      <c r="O150" s="141" t="str">
        <f>IF(ISBLANK(N150),"",VLOOKUP(N150,[12]Parámetros!$G$2:$H$23,2,FALSE))</f>
        <v>Licitación pública</v>
      </c>
      <c r="P150" s="142">
        <f t="shared" si="29"/>
        <v>1</v>
      </c>
      <c r="Q150" s="143">
        <f t="shared" si="17"/>
        <v>215000000</v>
      </c>
      <c r="R150" s="143">
        <f t="shared" si="18"/>
        <v>215000000</v>
      </c>
      <c r="S150" s="144" t="s">
        <v>222</v>
      </c>
      <c r="T150" s="140">
        <f t="shared" si="30"/>
        <v>0</v>
      </c>
      <c r="U150" s="145" t="str">
        <f t="shared" si="20"/>
        <v>SUBDIRECCION DE GESTION CONTRACTUAL</v>
      </c>
      <c r="V150" s="132" t="str">
        <f t="shared" si="25"/>
        <v>CO-DC</v>
      </c>
      <c r="W150" s="145" t="str">
        <f t="shared" si="26"/>
        <v>Distrito Capital de Bogotá</v>
      </c>
      <c r="X150" s="146" t="s">
        <v>625</v>
      </c>
      <c r="Y150" s="132">
        <v>2427400</v>
      </c>
      <c r="Z150" s="148" t="s">
        <v>98</v>
      </c>
    </row>
    <row r="151" spans="1:26" s="7" customFormat="1" ht="12.75" customHeight="1" x14ac:dyDescent="0.2">
      <c r="A151" s="131" t="s">
        <v>96</v>
      </c>
      <c r="B151" s="132">
        <v>7</v>
      </c>
      <c r="C151" s="133" t="s">
        <v>315</v>
      </c>
      <c r="D151" s="133" t="s">
        <v>97</v>
      </c>
      <c r="E151" s="134"/>
      <c r="F151" s="134">
        <v>170000000</v>
      </c>
      <c r="G151" s="134"/>
      <c r="H151" s="135">
        <v>80111600</v>
      </c>
      <c r="I151" s="136" t="s">
        <v>313</v>
      </c>
      <c r="J151" s="137">
        <v>1</v>
      </c>
      <c r="K151" s="138">
        <v>1</v>
      </c>
      <c r="L151" s="139">
        <v>12</v>
      </c>
      <c r="M151" s="132">
        <f t="shared" si="15"/>
        <v>1</v>
      </c>
      <c r="N151" s="140" t="s">
        <v>216</v>
      </c>
      <c r="O151" s="141" t="str">
        <f>IF(ISBLANK(N151),"",VLOOKUP(N151,[12]Parámetros!$G$2:$H$23,2,FALSE))</f>
        <v>Contratación directa.</v>
      </c>
      <c r="P151" s="142">
        <f t="shared" si="29"/>
        <v>1</v>
      </c>
      <c r="Q151" s="143">
        <f t="shared" si="17"/>
        <v>170000000</v>
      </c>
      <c r="R151" s="143">
        <f t="shared" si="18"/>
        <v>170000000</v>
      </c>
      <c r="S151" s="144" t="s">
        <v>222</v>
      </c>
      <c r="T151" s="140">
        <f t="shared" si="30"/>
        <v>0</v>
      </c>
      <c r="U151" s="145" t="str">
        <f t="shared" si="20"/>
        <v>SUBDIRECCION DE GESTION CONTRACTUAL</v>
      </c>
      <c r="V151" s="132" t="str">
        <f t="shared" si="25"/>
        <v>CO-DC</v>
      </c>
      <c r="W151" s="145" t="str">
        <f t="shared" si="26"/>
        <v>Distrito Capital de Bogotá</v>
      </c>
      <c r="X151" s="146" t="s">
        <v>625</v>
      </c>
      <c r="Y151" s="132">
        <v>2427400</v>
      </c>
      <c r="Z151" s="148" t="s">
        <v>98</v>
      </c>
    </row>
    <row r="152" spans="1:26" s="7" customFormat="1" ht="12.75" customHeight="1" x14ac:dyDescent="0.2">
      <c r="A152" s="131" t="s">
        <v>96</v>
      </c>
      <c r="B152" s="132">
        <v>8</v>
      </c>
      <c r="C152" s="133" t="s">
        <v>315</v>
      </c>
      <c r="D152" s="133" t="s">
        <v>97</v>
      </c>
      <c r="E152" s="134">
        <v>43196200</v>
      </c>
      <c r="F152" s="134">
        <f>96000000-E152</f>
        <v>52803800</v>
      </c>
      <c r="G152" s="134"/>
      <c r="H152" s="135" t="s">
        <v>42</v>
      </c>
      <c r="I152" s="136" t="s">
        <v>317</v>
      </c>
      <c r="J152" s="137">
        <v>3</v>
      </c>
      <c r="K152" s="138">
        <v>4</v>
      </c>
      <c r="L152" s="139">
        <v>9</v>
      </c>
      <c r="M152" s="132">
        <f t="shared" ref="M152:M217" si="31">IF(ISBLANK(J152),"",1)</f>
        <v>1</v>
      </c>
      <c r="N152" s="140" t="s">
        <v>61</v>
      </c>
      <c r="O152" s="141" t="str">
        <f>IF(ISBLANK(N152),"",VLOOKUP(N152,[12]Parámetros!$G$2:$H$23,2,FALSE))</f>
        <v>Contratación régimen especial - Selección de comisionista</v>
      </c>
      <c r="P152" s="142">
        <f t="shared" si="29"/>
        <v>1</v>
      </c>
      <c r="Q152" s="143">
        <f t="shared" ref="Q152:Q217" si="32">+E152+F152+G152</f>
        <v>96000000</v>
      </c>
      <c r="R152" s="143">
        <f t="shared" ref="R152:R217" si="33">+F152</f>
        <v>52803800</v>
      </c>
      <c r="S152" s="144" t="s">
        <v>222</v>
      </c>
      <c r="T152" s="140">
        <f t="shared" si="30"/>
        <v>0</v>
      </c>
      <c r="U152" s="145" t="str">
        <f t="shared" ref="U152:U217" si="34">IF(ISBLANK(N152),"","SUBDIRECCION DE GESTION CONTRACTUAL")</f>
        <v>SUBDIRECCION DE GESTION CONTRACTUAL</v>
      </c>
      <c r="V152" s="132" t="str">
        <f t="shared" si="25"/>
        <v>CO-DC</v>
      </c>
      <c r="W152" s="145" t="str">
        <f t="shared" si="26"/>
        <v>Distrito Capital de Bogotá</v>
      </c>
      <c r="X152" s="146" t="s">
        <v>625</v>
      </c>
      <c r="Y152" s="132">
        <v>2427400</v>
      </c>
      <c r="Z152" s="148" t="s">
        <v>98</v>
      </c>
    </row>
    <row r="153" spans="1:26" s="7" customFormat="1" ht="12.75" customHeight="1" x14ac:dyDescent="0.2">
      <c r="A153" s="131" t="s">
        <v>96</v>
      </c>
      <c r="B153" s="132">
        <v>9</v>
      </c>
      <c r="C153" s="133" t="s">
        <v>318</v>
      </c>
      <c r="D153" s="133" t="s">
        <v>97</v>
      </c>
      <c r="E153" s="134"/>
      <c r="F153" s="134">
        <v>355000000</v>
      </c>
      <c r="G153" s="134"/>
      <c r="H153" s="135" t="s">
        <v>319</v>
      </c>
      <c r="I153" s="136" t="s">
        <v>320</v>
      </c>
      <c r="J153" s="137">
        <v>4</v>
      </c>
      <c r="K153" s="138">
        <v>4</v>
      </c>
      <c r="L153" s="139">
        <v>8</v>
      </c>
      <c r="M153" s="132">
        <f t="shared" si="31"/>
        <v>1</v>
      </c>
      <c r="N153" s="140" t="s">
        <v>36</v>
      </c>
      <c r="O153" s="141" t="str">
        <f>IF(ISBLANK(N153),"",VLOOKUP(N153,[12]Parámetros!$G$2:$H$23,2,FALSE))</f>
        <v xml:space="preserve">Contratación directa (con ofertas) </v>
      </c>
      <c r="P153" s="142">
        <f t="shared" si="29"/>
        <v>1</v>
      </c>
      <c r="Q153" s="143">
        <f t="shared" si="32"/>
        <v>355000000</v>
      </c>
      <c r="R153" s="143">
        <f t="shared" si="33"/>
        <v>355000000</v>
      </c>
      <c r="S153" s="144" t="s">
        <v>222</v>
      </c>
      <c r="T153" s="140">
        <f t="shared" si="30"/>
        <v>0</v>
      </c>
      <c r="U153" s="145" t="str">
        <f t="shared" si="34"/>
        <v>SUBDIRECCION DE GESTION CONTRACTUAL</v>
      </c>
      <c r="V153" s="132" t="str">
        <f t="shared" si="25"/>
        <v>CO-DC</v>
      </c>
      <c r="W153" s="145" t="str">
        <f t="shared" si="26"/>
        <v>Distrito Capital de Bogotá</v>
      </c>
      <c r="X153" s="146" t="s">
        <v>625</v>
      </c>
      <c r="Y153" s="132">
        <v>2427400</v>
      </c>
      <c r="Z153" s="148" t="s">
        <v>98</v>
      </c>
    </row>
    <row r="154" spans="1:26" s="7" customFormat="1" ht="12.75" customHeight="1" x14ac:dyDescent="0.2">
      <c r="A154" s="131" t="s">
        <v>96</v>
      </c>
      <c r="B154" s="132">
        <v>10</v>
      </c>
      <c r="C154" s="133" t="s">
        <v>318</v>
      </c>
      <c r="D154" s="133" t="s">
        <v>807</v>
      </c>
      <c r="E154" s="134"/>
      <c r="F154" s="134">
        <f>950000000-100000000</f>
        <v>850000000</v>
      </c>
      <c r="G154" s="134"/>
      <c r="H154" s="135" t="s">
        <v>319</v>
      </c>
      <c r="I154" s="136" t="s">
        <v>321</v>
      </c>
      <c r="J154" s="137">
        <v>4</v>
      </c>
      <c r="K154" s="138">
        <v>4</v>
      </c>
      <c r="L154" s="139">
        <v>8</v>
      </c>
      <c r="M154" s="132">
        <f t="shared" si="31"/>
        <v>1</v>
      </c>
      <c r="N154" s="140" t="s">
        <v>36</v>
      </c>
      <c r="O154" s="141" t="str">
        <f>IF(ISBLANK(N154),"",VLOOKUP(N154,[12]Parámetros!$G$2:$H$23,2,FALSE))</f>
        <v xml:space="preserve">Contratación directa (con ofertas) </v>
      </c>
      <c r="P154" s="142">
        <f t="shared" si="29"/>
        <v>1</v>
      </c>
      <c r="Q154" s="143">
        <f t="shared" si="32"/>
        <v>850000000</v>
      </c>
      <c r="R154" s="143">
        <f t="shared" si="33"/>
        <v>850000000</v>
      </c>
      <c r="S154" s="144" t="s">
        <v>222</v>
      </c>
      <c r="T154" s="140">
        <f t="shared" si="30"/>
        <v>0</v>
      </c>
      <c r="U154" s="145" t="str">
        <f t="shared" si="34"/>
        <v>SUBDIRECCION DE GESTION CONTRACTUAL</v>
      </c>
      <c r="V154" s="132" t="str">
        <f t="shared" si="25"/>
        <v>CO-DC</v>
      </c>
      <c r="W154" s="145" t="str">
        <f t="shared" si="26"/>
        <v>Distrito Capital de Bogotá</v>
      </c>
      <c r="X154" s="146" t="s">
        <v>625</v>
      </c>
      <c r="Y154" s="132">
        <v>2427400</v>
      </c>
      <c r="Z154" s="148" t="s">
        <v>98</v>
      </c>
    </row>
    <row r="155" spans="1:26" s="7" customFormat="1" ht="12.75" customHeight="1" x14ac:dyDescent="0.2">
      <c r="A155" s="131" t="s">
        <v>96</v>
      </c>
      <c r="B155" s="132">
        <v>11</v>
      </c>
      <c r="C155" s="133" t="s">
        <v>322</v>
      </c>
      <c r="D155" s="133" t="s">
        <v>807</v>
      </c>
      <c r="E155" s="134"/>
      <c r="F155" s="134">
        <v>168150363</v>
      </c>
      <c r="G155" s="134"/>
      <c r="H155" s="135" t="s">
        <v>319</v>
      </c>
      <c r="I155" s="136" t="s">
        <v>323</v>
      </c>
      <c r="J155" s="137">
        <v>4</v>
      </c>
      <c r="K155" s="138">
        <v>4</v>
      </c>
      <c r="L155" s="139">
        <v>8</v>
      </c>
      <c r="M155" s="132">
        <f t="shared" si="31"/>
        <v>1</v>
      </c>
      <c r="N155" s="140" t="s">
        <v>36</v>
      </c>
      <c r="O155" s="141" t="str">
        <f>IF(ISBLANK(N155),"",VLOOKUP(N155,[12]Parámetros!$G$2:$H$23,2,FALSE))</f>
        <v xml:space="preserve">Contratación directa (con ofertas) </v>
      </c>
      <c r="P155" s="142">
        <f t="shared" si="29"/>
        <v>1</v>
      </c>
      <c r="Q155" s="143">
        <f t="shared" si="32"/>
        <v>168150363</v>
      </c>
      <c r="R155" s="143">
        <f t="shared" si="33"/>
        <v>168150363</v>
      </c>
      <c r="S155" s="144" t="s">
        <v>222</v>
      </c>
      <c r="T155" s="140">
        <f t="shared" si="30"/>
        <v>0</v>
      </c>
      <c r="U155" s="145" t="str">
        <f t="shared" si="34"/>
        <v>SUBDIRECCION DE GESTION CONTRACTUAL</v>
      </c>
      <c r="V155" s="132" t="str">
        <f t="shared" si="25"/>
        <v>CO-DC</v>
      </c>
      <c r="W155" s="145" t="str">
        <f t="shared" si="26"/>
        <v>Distrito Capital de Bogotá</v>
      </c>
      <c r="X155" s="146" t="s">
        <v>625</v>
      </c>
      <c r="Y155" s="132">
        <v>2427400</v>
      </c>
      <c r="Z155" s="148" t="s">
        <v>98</v>
      </c>
    </row>
    <row r="156" spans="1:26" s="7" customFormat="1" ht="12.75" customHeight="1" x14ac:dyDescent="0.2">
      <c r="A156" s="131" t="s">
        <v>96</v>
      </c>
      <c r="B156" s="132">
        <v>12</v>
      </c>
      <c r="C156" s="133" t="s">
        <v>322</v>
      </c>
      <c r="D156" s="133" t="s">
        <v>97</v>
      </c>
      <c r="E156" s="134"/>
      <c r="F156" s="134">
        <v>97800000</v>
      </c>
      <c r="G156" s="134"/>
      <c r="H156" s="135">
        <v>80111600</v>
      </c>
      <c r="I156" s="136" t="s">
        <v>313</v>
      </c>
      <c r="J156" s="137">
        <v>1</v>
      </c>
      <c r="K156" s="138">
        <v>1</v>
      </c>
      <c r="L156" s="139">
        <v>12</v>
      </c>
      <c r="M156" s="132">
        <f t="shared" si="31"/>
        <v>1</v>
      </c>
      <c r="N156" s="140" t="s">
        <v>216</v>
      </c>
      <c r="O156" s="141" t="str">
        <f>IF(ISBLANK(N156),"",VLOOKUP(N156,[12]Parámetros!$G$2:$H$23,2,FALSE))</f>
        <v>Contratación directa.</v>
      </c>
      <c r="P156" s="142">
        <f t="shared" si="29"/>
        <v>1</v>
      </c>
      <c r="Q156" s="143">
        <f t="shared" si="32"/>
        <v>97800000</v>
      </c>
      <c r="R156" s="143">
        <f t="shared" si="33"/>
        <v>97800000</v>
      </c>
      <c r="S156" s="144" t="s">
        <v>222</v>
      </c>
      <c r="T156" s="140">
        <f t="shared" si="30"/>
        <v>0</v>
      </c>
      <c r="U156" s="145" t="str">
        <f t="shared" si="34"/>
        <v>SUBDIRECCION DE GESTION CONTRACTUAL</v>
      </c>
      <c r="V156" s="132" t="str">
        <f t="shared" si="25"/>
        <v>CO-DC</v>
      </c>
      <c r="W156" s="145" t="str">
        <f t="shared" si="26"/>
        <v>Distrito Capital de Bogotá</v>
      </c>
      <c r="X156" s="146" t="s">
        <v>625</v>
      </c>
      <c r="Y156" s="132">
        <v>2427400</v>
      </c>
      <c r="Z156" s="148" t="s">
        <v>98</v>
      </c>
    </row>
    <row r="157" spans="1:26" s="7" customFormat="1" ht="12.75" customHeight="1" x14ac:dyDescent="0.2">
      <c r="A157" s="131" t="s">
        <v>96</v>
      </c>
      <c r="B157" s="132">
        <v>13</v>
      </c>
      <c r="C157" s="133" t="s">
        <v>322</v>
      </c>
      <c r="D157" s="133" t="s">
        <v>807</v>
      </c>
      <c r="E157" s="134"/>
      <c r="F157" s="134">
        <f>206849637+131000000</f>
        <v>337849637</v>
      </c>
      <c r="G157" s="134"/>
      <c r="H157" s="135">
        <v>80111600</v>
      </c>
      <c r="I157" s="136" t="s">
        <v>313</v>
      </c>
      <c r="J157" s="137">
        <v>1</v>
      </c>
      <c r="K157" s="138">
        <v>1</v>
      </c>
      <c r="L157" s="139">
        <v>12</v>
      </c>
      <c r="M157" s="132">
        <f t="shared" si="31"/>
        <v>1</v>
      </c>
      <c r="N157" s="140" t="s">
        <v>216</v>
      </c>
      <c r="O157" s="141" t="str">
        <f>IF(ISBLANK(N157),"",VLOOKUP(N157,[12]Parámetros!$G$2:$H$23,2,FALSE))</f>
        <v>Contratación directa.</v>
      </c>
      <c r="P157" s="142">
        <f t="shared" si="29"/>
        <v>1</v>
      </c>
      <c r="Q157" s="143">
        <f t="shared" si="32"/>
        <v>337849637</v>
      </c>
      <c r="R157" s="143">
        <f t="shared" si="33"/>
        <v>337849637</v>
      </c>
      <c r="S157" s="144" t="s">
        <v>222</v>
      </c>
      <c r="T157" s="140">
        <f t="shared" si="30"/>
        <v>0</v>
      </c>
      <c r="U157" s="145" t="str">
        <f t="shared" si="34"/>
        <v>SUBDIRECCION DE GESTION CONTRACTUAL</v>
      </c>
      <c r="V157" s="132" t="str">
        <f t="shared" si="25"/>
        <v>CO-DC</v>
      </c>
      <c r="W157" s="145" t="str">
        <f t="shared" si="26"/>
        <v>Distrito Capital de Bogotá</v>
      </c>
      <c r="X157" s="146" t="s">
        <v>625</v>
      </c>
      <c r="Y157" s="132">
        <v>2427400</v>
      </c>
      <c r="Z157" s="148" t="s">
        <v>98</v>
      </c>
    </row>
    <row r="158" spans="1:26" s="7" customFormat="1" ht="12.75" customHeight="1" x14ac:dyDescent="0.2">
      <c r="A158" s="131" t="s">
        <v>96</v>
      </c>
      <c r="B158" s="132">
        <v>14</v>
      </c>
      <c r="C158" s="133" t="s">
        <v>324</v>
      </c>
      <c r="D158" s="133" t="s">
        <v>807</v>
      </c>
      <c r="E158" s="134"/>
      <c r="F158" s="134">
        <v>288256034</v>
      </c>
      <c r="G158" s="134"/>
      <c r="H158" s="135" t="s">
        <v>752</v>
      </c>
      <c r="I158" s="136" t="s">
        <v>316</v>
      </c>
      <c r="J158" s="137">
        <v>2</v>
      </c>
      <c r="K158" s="138">
        <v>3</v>
      </c>
      <c r="L158" s="139">
        <v>9</v>
      </c>
      <c r="M158" s="132">
        <f t="shared" si="31"/>
        <v>1</v>
      </c>
      <c r="N158" s="140" t="s">
        <v>226</v>
      </c>
      <c r="O158" s="141" t="str">
        <f>IF(ISBLANK(N158),"",VLOOKUP(N158,[12]Parámetros!$G$2:$H$23,2,FALSE))</f>
        <v>Licitación pública</v>
      </c>
      <c r="P158" s="142">
        <f t="shared" si="29"/>
        <v>1</v>
      </c>
      <c r="Q158" s="143">
        <f t="shared" si="32"/>
        <v>288256034</v>
      </c>
      <c r="R158" s="143">
        <f t="shared" si="33"/>
        <v>288256034</v>
      </c>
      <c r="S158" s="144" t="s">
        <v>222</v>
      </c>
      <c r="T158" s="140">
        <f t="shared" si="30"/>
        <v>0</v>
      </c>
      <c r="U158" s="145" t="str">
        <f t="shared" si="34"/>
        <v>SUBDIRECCION DE GESTION CONTRACTUAL</v>
      </c>
      <c r="V158" s="132" t="str">
        <f t="shared" si="25"/>
        <v>CO-DC</v>
      </c>
      <c r="W158" s="145" t="str">
        <f t="shared" si="26"/>
        <v>Distrito Capital de Bogotá</v>
      </c>
      <c r="X158" s="146" t="s">
        <v>625</v>
      </c>
      <c r="Y158" s="132">
        <v>2427400</v>
      </c>
      <c r="Z158" s="148" t="s">
        <v>98</v>
      </c>
    </row>
    <row r="159" spans="1:26" s="7" customFormat="1" ht="12.75" customHeight="1" x14ac:dyDescent="0.2">
      <c r="A159" s="131" t="s">
        <v>96</v>
      </c>
      <c r="B159" s="132">
        <v>15</v>
      </c>
      <c r="C159" s="133" t="s">
        <v>324</v>
      </c>
      <c r="D159" s="133" t="s">
        <v>807</v>
      </c>
      <c r="E159" s="134"/>
      <c r="F159" s="134">
        <v>261743966</v>
      </c>
      <c r="G159" s="134"/>
      <c r="H159" s="135">
        <v>80111600</v>
      </c>
      <c r="I159" s="136" t="s">
        <v>313</v>
      </c>
      <c r="J159" s="137">
        <v>1</v>
      </c>
      <c r="K159" s="138">
        <v>1</v>
      </c>
      <c r="L159" s="139">
        <v>12</v>
      </c>
      <c r="M159" s="132">
        <f t="shared" si="31"/>
        <v>1</v>
      </c>
      <c r="N159" s="140" t="s">
        <v>216</v>
      </c>
      <c r="O159" s="141" t="str">
        <f>IF(ISBLANK(N159),"",VLOOKUP(N159,[12]Parámetros!$G$2:$H$23,2,FALSE))</f>
        <v>Contratación directa.</v>
      </c>
      <c r="P159" s="142">
        <f t="shared" si="29"/>
        <v>1</v>
      </c>
      <c r="Q159" s="143">
        <f t="shared" si="32"/>
        <v>261743966</v>
      </c>
      <c r="R159" s="143">
        <f t="shared" si="33"/>
        <v>261743966</v>
      </c>
      <c r="S159" s="144" t="s">
        <v>222</v>
      </c>
      <c r="T159" s="140">
        <f t="shared" si="30"/>
        <v>0</v>
      </c>
      <c r="U159" s="145" t="str">
        <f t="shared" si="34"/>
        <v>SUBDIRECCION DE GESTION CONTRACTUAL</v>
      </c>
      <c r="V159" s="132" t="str">
        <f t="shared" si="25"/>
        <v>CO-DC</v>
      </c>
      <c r="W159" s="145" t="str">
        <f t="shared" si="26"/>
        <v>Distrito Capital de Bogotá</v>
      </c>
      <c r="X159" s="146" t="s">
        <v>625</v>
      </c>
      <c r="Y159" s="132">
        <v>2427400</v>
      </c>
      <c r="Z159" s="148" t="s">
        <v>98</v>
      </c>
    </row>
    <row r="160" spans="1:26" s="7" customFormat="1" ht="12.75" customHeight="1" x14ac:dyDescent="0.2">
      <c r="A160" s="131" t="s">
        <v>96</v>
      </c>
      <c r="B160" s="132">
        <v>16</v>
      </c>
      <c r="C160" s="133" t="s">
        <v>325</v>
      </c>
      <c r="D160" s="133" t="s">
        <v>807</v>
      </c>
      <c r="E160" s="134"/>
      <c r="F160" s="134">
        <f>144000000-94000000</f>
        <v>50000000</v>
      </c>
      <c r="G160" s="134"/>
      <c r="H160" s="135" t="s">
        <v>752</v>
      </c>
      <c r="I160" s="136" t="s">
        <v>316</v>
      </c>
      <c r="J160" s="160">
        <v>2</v>
      </c>
      <c r="K160" s="160">
        <v>3</v>
      </c>
      <c r="L160" s="160">
        <v>9</v>
      </c>
      <c r="M160" s="132">
        <f t="shared" si="31"/>
        <v>1</v>
      </c>
      <c r="N160" s="140" t="s">
        <v>226</v>
      </c>
      <c r="O160" s="141" t="str">
        <f>IF(ISBLANK(N160),"",VLOOKUP(N160,[12]Parámetros!$G$2:$H$23,2,FALSE))</f>
        <v>Licitación pública</v>
      </c>
      <c r="P160" s="142">
        <f t="shared" si="29"/>
        <v>1</v>
      </c>
      <c r="Q160" s="143">
        <f t="shared" si="32"/>
        <v>50000000</v>
      </c>
      <c r="R160" s="143">
        <f t="shared" si="33"/>
        <v>50000000</v>
      </c>
      <c r="S160" s="144" t="s">
        <v>222</v>
      </c>
      <c r="T160" s="140">
        <f t="shared" si="30"/>
        <v>0</v>
      </c>
      <c r="U160" s="145" t="str">
        <f t="shared" si="34"/>
        <v>SUBDIRECCION DE GESTION CONTRACTUAL</v>
      </c>
      <c r="V160" s="132" t="str">
        <f t="shared" si="25"/>
        <v>CO-DC</v>
      </c>
      <c r="W160" s="145" t="str">
        <f t="shared" si="26"/>
        <v>Distrito Capital de Bogotá</v>
      </c>
      <c r="X160" s="146" t="s">
        <v>625</v>
      </c>
      <c r="Y160" s="132">
        <v>2427400</v>
      </c>
      <c r="Z160" s="148" t="s">
        <v>98</v>
      </c>
    </row>
    <row r="161" spans="1:16382" s="7" customFormat="1" ht="12.75" customHeight="1" x14ac:dyDescent="0.2">
      <c r="A161" s="131" t="s">
        <v>96</v>
      </c>
      <c r="B161" s="132">
        <v>17</v>
      </c>
      <c r="C161" s="133" t="s">
        <v>325</v>
      </c>
      <c r="D161" s="133" t="s">
        <v>807</v>
      </c>
      <c r="E161" s="134"/>
      <c r="F161" s="134">
        <v>50000000</v>
      </c>
      <c r="G161" s="134"/>
      <c r="H161" s="135" t="s">
        <v>230</v>
      </c>
      <c r="I161" s="136" t="s">
        <v>326</v>
      </c>
      <c r="J161" s="137">
        <v>2</v>
      </c>
      <c r="K161" s="138">
        <v>3</v>
      </c>
      <c r="L161" s="139">
        <v>4</v>
      </c>
      <c r="M161" s="132">
        <f t="shared" si="31"/>
        <v>1</v>
      </c>
      <c r="N161" s="140" t="s">
        <v>43</v>
      </c>
      <c r="O161" s="141" t="str">
        <f>IF(ISBLANK(N161),"",VLOOKUP(N161,[12]Parámetros!$G$2:$H$23,2,FALSE))</f>
        <v>Selección abreviada subasta inversa</v>
      </c>
      <c r="P161" s="142">
        <f t="shared" si="29"/>
        <v>1</v>
      </c>
      <c r="Q161" s="143">
        <f t="shared" si="32"/>
        <v>50000000</v>
      </c>
      <c r="R161" s="143">
        <f t="shared" si="33"/>
        <v>50000000</v>
      </c>
      <c r="S161" s="144" t="s">
        <v>222</v>
      </c>
      <c r="T161" s="140">
        <f t="shared" si="30"/>
        <v>0</v>
      </c>
      <c r="U161" s="145" t="str">
        <f t="shared" si="34"/>
        <v>SUBDIRECCION DE GESTION CONTRACTUAL</v>
      </c>
      <c r="V161" s="132" t="str">
        <f t="shared" si="25"/>
        <v>CO-DC</v>
      </c>
      <c r="W161" s="145" t="str">
        <f t="shared" si="26"/>
        <v>Distrito Capital de Bogotá</v>
      </c>
      <c r="X161" s="146" t="s">
        <v>307</v>
      </c>
      <c r="Y161" s="132">
        <v>2427400</v>
      </c>
      <c r="Z161" s="148" t="s">
        <v>94</v>
      </c>
    </row>
    <row r="162" spans="1:16382" s="7" customFormat="1" ht="12.75" customHeight="1" x14ac:dyDescent="0.2">
      <c r="A162" s="131" t="s">
        <v>96</v>
      </c>
      <c r="B162" s="132">
        <v>18</v>
      </c>
      <c r="C162" s="133" t="s">
        <v>325</v>
      </c>
      <c r="D162" s="133" t="s">
        <v>807</v>
      </c>
      <c r="E162" s="134"/>
      <c r="F162" s="134">
        <v>15000000</v>
      </c>
      <c r="G162" s="134"/>
      <c r="H162" s="135" t="s">
        <v>51</v>
      </c>
      <c r="I162" s="136" t="s">
        <v>327</v>
      </c>
      <c r="J162" s="137">
        <v>4</v>
      </c>
      <c r="K162" s="138">
        <v>6</v>
      </c>
      <c r="L162" s="139">
        <v>1</v>
      </c>
      <c r="M162" s="132">
        <f t="shared" si="31"/>
        <v>1</v>
      </c>
      <c r="N162" s="140" t="s">
        <v>43</v>
      </c>
      <c r="O162" s="141" t="str">
        <f>IF(ISBLANK(N162),"",VLOOKUP(N162,[12]Parámetros!$G$2:$H$23,2,FALSE))</f>
        <v>Selección abreviada subasta inversa</v>
      </c>
      <c r="P162" s="142">
        <f t="shared" si="29"/>
        <v>1</v>
      </c>
      <c r="Q162" s="143">
        <f t="shared" si="32"/>
        <v>15000000</v>
      </c>
      <c r="R162" s="143">
        <f t="shared" si="33"/>
        <v>15000000</v>
      </c>
      <c r="S162" s="144" t="s">
        <v>222</v>
      </c>
      <c r="T162" s="140">
        <f t="shared" si="30"/>
        <v>0</v>
      </c>
      <c r="U162" s="145" t="str">
        <f t="shared" si="34"/>
        <v>SUBDIRECCION DE GESTION CONTRACTUAL</v>
      </c>
      <c r="V162" s="132" t="str">
        <f t="shared" si="25"/>
        <v>CO-DC</v>
      </c>
      <c r="W162" s="145" t="str">
        <f t="shared" si="26"/>
        <v>Distrito Capital de Bogotá</v>
      </c>
      <c r="X162" s="146" t="s">
        <v>73</v>
      </c>
      <c r="Y162" s="132">
        <v>2427400</v>
      </c>
      <c r="Z162" s="148" t="s">
        <v>74</v>
      </c>
    </row>
    <row r="163" spans="1:16382" s="7" customFormat="1" ht="12.75" customHeight="1" x14ac:dyDescent="0.2">
      <c r="A163" s="131" t="s">
        <v>96</v>
      </c>
      <c r="B163" s="132">
        <v>19</v>
      </c>
      <c r="C163" s="133" t="s">
        <v>325</v>
      </c>
      <c r="D163" s="133" t="s">
        <v>807</v>
      </c>
      <c r="E163" s="134"/>
      <c r="F163" s="134">
        <f>847246000-32700000-10000000-5000000-17300000</f>
        <v>782246000</v>
      </c>
      <c r="G163" s="134"/>
      <c r="H163" s="135" t="s">
        <v>319</v>
      </c>
      <c r="I163" s="136" t="s">
        <v>328</v>
      </c>
      <c r="J163" s="137">
        <v>4</v>
      </c>
      <c r="K163" s="138">
        <v>4</v>
      </c>
      <c r="L163" s="139">
        <v>8</v>
      </c>
      <c r="M163" s="132">
        <f t="shared" si="31"/>
        <v>1</v>
      </c>
      <c r="N163" s="140" t="s">
        <v>36</v>
      </c>
      <c r="O163" s="141" t="str">
        <f>IF(ISBLANK(N163),"",VLOOKUP(N163,[12]Parámetros!$G$2:$H$23,2,FALSE))</f>
        <v xml:space="preserve">Contratación directa (con ofertas) </v>
      </c>
      <c r="P163" s="142">
        <f t="shared" si="29"/>
        <v>1</v>
      </c>
      <c r="Q163" s="143">
        <f t="shared" si="32"/>
        <v>782246000</v>
      </c>
      <c r="R163" s="143">
        <f t="shared" si="33"/>
        <v>782246000</v>
      </c>
      <c r="S163" s="144" t="s">
        <v>222</v>
      </c>
      <c r="T163" s="140">
        <f t="shared" si="30"/>
        <v>0</v>
      </c>
      <c r="U163" s="145" t="str">
        <f t="shared" si="34"/>
        <v>SUBDIRECCION DE GESTION CONTRACTUAL</v>
      </c>
      <c r="V163" s="132" t="str">
        <f t="shared" si="25"/>
        <v>CO-DC</v>
      </c>
      <c r="W163" s="145" t="str">
        <f t="shared" si="26"/>
        <v>Distrito Capital de Bogotá</v>
      </c>
      <c r="X163" s="146" t="s">
        <v>625</v>
      </c>
      <c r="Y163" s="132">
        <v>2427400</v>
      </c>
      <c r="Z163" s="148" t="s">
        <v>98</v>
      </c>
    </row>
    <row r="164" spans="1:16382" s="7" customFormat="1" ht="23.25" customHeight="1" x14ac:dyDescent="0.2">
      <c r="A164" s="166" t="s">
        <v>96</v>
      </c>
      <c r="B164" s="167">
        <v>20</v>
      </c>
      <c r="C164" s="133" t="s">
        <v>325</v>
      </c>
      <c r="D164" s="133" t="s">
        <v>807</v>
      </c>
      <c r="E164" s="168"/>
      <c r="F164" s="134">
        <f>144000000-50000000</f>
        <v>94000000</v>
      </c>
      <c r="G164" s="168"/>
      <c r="H164" s="169" t="s">
        <v>752</v>
      </c>
      <c r="I164" s="136" t="s">
        <v>808</v>
      </c>
      <c r="J164" s="137">
        <v>2</v>
      </c>
      <c r="K164" s="138">
        <v>3</v>
      </c>
      <c r="L164" s="139">
        <v>9</v>
      </c>
      <c r="M164" s="170">
        <f>IF(ISBLANK(J164),"",1)</f>
        <v>1</v>
      </c>
      <c r="N164" s="167" t="s">
        <v>226</v>
      </c>
      <c r="O164" s="171" t="str">
        <f>IF(ISBLANK(N164),"",VLOOKUP(N164,[13]Parámetros!$G$2:$H$23,2,FALSE))</f>
        <v>Licitación pública</v>
      </c>
      <c r="P164" s="172">
        <f t="shared" si="29"/>
        <v>1</v>
      </c>
      <c r="Q164" s="143">
        <f t="shared" ref="Q164:Q165" si="35">IF(VALUE(E164+F164+G164)=0,"",E164+F164+G164)</f>
        <v>94000000</v>
      </c>
      <c r="R164" s="143">
        <f t="shared" ref="R164:R165" si="36">IF(VALUE(F164)=0,"",F164)</f>
        <v>94000000</v>
      </c>
      <c r="S164" s="173" t="s">
        <v>222</v>
      </c>
      <c r="T164" s="174">
        <f t="shared" si="30"/>
        <v>0</v>
      </c>
      <c r="U164" s="175" t="str">
        <f t="shared" si="34"/>
        <v>SUBDIRECCION DE GESTION CONTRACTUAL</v>
      </c>
      <c r="V164" s="174" t="str">
        <f t="shared" si="25"/>
        <v>CO-DC</v>
      </c>
      <c r="W164" s="175" t="str">
        <f t="shared" si="26"/>
        <v>Distrito Capital de Bogotá</v>
      </c>
      <c r="X164" s="176" t="s">
        <v>625</v>
      </c>
      <c r="Y164" s="167">
        <v>2427400</v>
      </c>
      <c r="Z164" s="129" t="s">
        <v>98</v>
      </c>
    </row>
    <row r="165" spans="1:16382" s="263" customFormat="1" x14ac:dyDescent="0.25">
      <c r="A165" s="131" t="s">
        <v>96</v>
      </c>
      <c r="B165" s="177">
        <v>21</v>
      </c>
      <c r="C165" s="178" t="s">
        <v>318</v>
      </c>
      <c r="D165" s="178" t="s">
        <v>807</v>
      </c>
      <c r="E165" s="179"/>
      <c r="F165" s="134">
        <v>100000000</v>
      </c>
      <c r="G165" s="180"/>
      <c r="H165" s="169">
        <v>80111600</v>
      </c>
      <c r="I165" s="136" t="s">
        <v>313</v>
      </c>
      <c r="J165" s="181">
        <v>3</v>
      </c>
      <c r="K165" s="177">
        <v>4</v>
      </c>
      <c r="L165" s="182">
        <v>8</v>
      </c>
      <c r="M165" s="183">
        <f>IF(ISBLANK(J165),"",1)</f>
        <v>1</v>
      </c>
      <c r="N165" s="183" t="s">
        <v>216</v>
      </c>
      <c r="O165" s="184" t="str">
        <f>IF(ISBLANK(N165),"",VLOOKUP(N165,[14]Parámetros!$G$2:$H$23,2,FALSE))</f>
        <v>Contratación directa.</v>
      </c>
      <c r="P165" s="185">
        <f t="shared" si="29"/>
        <v>1</v>
      </c>
      <c r="Q165" s="143">
        <f t="shared" si="35"/>
        <v>100000000</v>
      </c>
      <c r="R165" s="143">
        <f t="shared" si="36"/>
        <v>100000000</v>
      </c>
      <c r="S165" s="177">
        <v>0</v>
      </c>
      <c r="T165" s="177">
        <f t="shared" si="30"/>
        <v>0</v>
      </c>
      <c r="U165" s="186" t="str">
        <f t="shared" si="34"/>
        <v>SUBDIRECCION DE GESTION CONTRACTUAL</v>
      </c>
      <c r="V165" s="177" t="str">
        <f t="shared" si="25"/>
        <v>CO-DC</v>
      </c>
      <c r="W165" s="177" t="str">
        <f t="shared" si="26"/>
        <v>Distrito Capital de Bogotá</v>
      </c>
      <c r="X165" s="148" t="s">
        <v>625</v>
      </c>
      <c r="Y165" s="165">
        <v>2427400</v>
      </c>
      <c r="Z165" s="127" t="s">
        <v>98</v>
      </c>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c r="IW165" s="7"/>
      <c r="IX165" s="7"/>
      <c r="IY165" s="7"/>
      <c r="IZ165" s="7"/>
      <c r="JA165" s="7"/>
      <c r="JB165" s="7"/>
      <c r="JC165" s="7"/>
      <c r="JD165" s="7"/>
      <c r="JE165" s="7"/>
      <c r="JF165" s="7"/>
      <c r="JG165" s="7"/>
      <c r="JH165" s="7"/>
      <c r="JI165" s="7"/>
      <c r="JJ165" s="7"/>
      <c r="JK165" s="7"/>
      <c r="JL165" s="7"/>
      <c r="JM165" s="7"/>
      <c r="JN165" s="7"/>
      <c r="JO165" s="7"/>
      <c r="JP165" s="7"/>
      <c r="JQ165" s="7"/>
      <c r="JR165" s="7"/>
      <c r="JS165" s="7"/>
      <c r="JT165" s="7"/>
      <c r="JU165" s="7"/>
      <c r="JV165" s="7"/>
      <c r="JW165" s="7"/>
      <c r="JX165" s="7"/>
      <c r="JY165" s="7"/>
      <c r="JZ165" s="7"/>
      <c r="KA165" s="7"/>
      <c r="KB165" s="7"/>
      <c r="KC165" s="7"/>
      <c r="KD165" s="7"/>
      <c r="KE165" s="7"/>
      <c r="KF165" s="7"/>
      <c r="KG165" s="7"/>
      <c r="KH165" s="7"/>
      <c r="KI165" s="7"/>
      <c r="KJ165" s="7"/>
      <c r="KK165" s="7"/>
      <c r="KL165" s="7"/>
      <c r="KM165" s="7"/>
      <c r="KN165" s="7"/>
      <c r="KO165" s="7"/>
      <c r="KP165" s="7"/>
      <c r="KQ165" s="7"/>
      <c r="KR165" s="7"/>
      <c r="KS165" s="7"/>
      <c r="KT165" s="7"/>
      <c r="KU165" s="7"/>
      <c r="KV165" s="7"/>
      <c r="KW165" s="7"/>
      <c r="KX165" s="7"/>
      <c r="KY165" s="7"/>
      <c r="KZ165" s="7"/>
      <c r="LA165" s="7"/>
      <c r="LB165" s="7"/>
      <c r="LC165" s="7"/>
      <c r="LD165" s="7"/>
      <c r="LE165" s="7"/>
      <c r="LF165" s="7"/>
      <c r="LG165" s="7"/>
      <c r="LH165" s="7"/>
      <c r="LI165" s="7"/>
      <c r="LJ165" s="7"/>
      <c r="LK165" s="7"/>
      <c r="LL165" s="7"/>
      <c r="LM165" s="7"/>
      <c r="LN165" s="7"/>
      <c r="LO165" s="7"/>
      <c r="LP165" s="7"/>
      <c r="LQ165" s="7"/>
      <c r="LR165" s="7"/>
      <c r="LS165" s="7"/>
      <c r="LT165" s="7"/>
      <c r="LU165" s="7"/>
      <c r="LV165" s="7"/>
      <c r="LW165" s="7"/>
      <c r="LX165" s="7"/>
      <c r="LY165" s="7"/>
      <c r="LZ165" s="7"/>
      <c r="MA165" s="7"/>
      <c r="MB165" s="7"/>
      <c r="MC165" s="7"/>
      <c r="MD165" s="7"/>
      <c r="ME165" s="7"/>
      <c r="MF165" s="7"/>
      <c r="MG165" s="7"/>
      <c r="MH165" s="7"/>
      <c r="MI165" s="7"/>
      <c r="MJ165" s="7"/>
      <c r="MK165" s="7"/>
      <c r="ML165" s="7"/>
      <c r="MM165" s="7"/>
      <c r="MN165" s="7"/>
      <c r="MO165" s="7"/>
      <c r="MP165" s="7"/>
      <c r="MQ165" s="7"/>
      <c r="MR165" s="7"/>
      <c r="MS165" s="7"/>
      <c r="MT165" s="7"/>
      <c r="MU165" s="7"/>
      <c r="MV165" s="7"/>
      <c r="MW165" s="7"/>
      <c r="MX165" s="7"/>
      <c r="MY165" s="7"/>
      <c r="MZ165" s="7"/>
      <c r="NA165" s="7"/>
      <c r="NB165" s="7"/>
      <c r="NC165" s="7"/>
      <c r="ND165" s="7"/>
      <c r="NE165" s="7"/>
      <c r="NF165" s="7"/>
      <c r="NG165" s="7"/>
      <c r="NH165" s="7"/>
      <c r="NI165" s="7"/>
      <c r="NJ165" s="7"/>
      <c r="NK165" s="7"/>
      <c r="NL165" s="7"/>
      <c r="NM165" s="7"/>
      <c r="NN165" s="7"/>
      <c r="NO165" s="7"/>
      <c r="NP165" s="7"/>
      <c r="NQ165" s="7"/>
      <c r="NR165" s="7"/>
      <c r="NS165" s="7"/>
      <c r="NT165" s="7"/>
      <c r="NU165" s="7"/>
      <c r="NV165" s="7"/>
      <c r="NW165" s="7"/>
      <c r="NX165" s="7"/>
      <c r="NY165" s="7"/>
      <c r="NZ165" s="7"/>
      <c r="OA165" s="7"/>
      <c r="OB165" s="7"/>
      <c r="OC165" s="7"/>
      <c r="OD165" s="7"/>
      <c r="OE165" s="7"/>
      <c r="OF165" s="7"/>
      <c r="OG165" s="7"/>
      <c r="OH165" s="7"/>
      <c r="OI165" s="7"/>
      <c r="OJ165" s="7"/>
      <c r="OK165" s="7"/>
      <c r="OL165" s="7"/>
      <c r="OM165" s="7"/>
      <c r="ON165" s="7"/>
      <c r="OO165" s="7"/>
      <c r="OP165" s="7"/>
      <c r="OQ165" s="7"/>
      <c r="OR165" s="7"/>
      <c r="OS165" s="7"/>
      <c r="OT165" s="7"/>
      <c r="OU165" s="7"/>
      <c r="OV165" s="7"/>
      <c r="OW165" s="7"/>
      <c r="OX165" s="7"/>
      <c r="OY165" s="7"/>
      <c r="OZ165" s="7"/>
      <c r="PA165" s="7"/>
      <c r="PB165" s="7"/>
      <c r="PC165" s="7"/>
      <c r="PD165" s="7"/>
      <c r="PE165" s="7"/>
      <c r="PF165" s="7"/>
      <c r="PG165" s="7"/>
      <c r="PH165" s="7"/>
      <c r="PI165" s="7"/>
      <c r="PJ165" s="7"/>
      <c r="PK165" s="7"/>
      <c r="PL165" s="7"/>
      <c r="PM165" s="7"/>
      <c r="PN165" s="7"/>
      <c r="PO165" s="7"/>
      <c r="PP165" s="7"/>
      <c r="PQ165" s="7"/>
      <c r="PR165" s="7"/>
      <c r="PS165" s="7"/>
      <c r="PT165" s="7"/>
      <c r="PU165" s="7"/>
      <c r="PV165" s="7"/>
      <c r="PW165" s="7"/>
      <c r="PX165" s="7"/>
      <c r="PY165" s="7"/>
      <c r="PZ165" s="7"/>
      <c r="QA165" s="7"/>
      <c r="QB165" s="7"/>
      <c r="QC165" s="7"/>
      <c r="QD165" s="7"/>
      <c r="QE165" s="7"/>
      <c r="QF165" s="7"/>
      <c r="QG165" s="7"/>
      <c r="QH165" s="7"/>
      <c r="QI165" s="7"/>
      <c r="QJ165" s="7"/>
      <c r="QK165" s="7"/>
      <c r="QL165" s="7"/>
      <c r="QM165" s="7"/>
      <c r="QN165" s="7"/>
      <c r="QO165" s="7"/>
      <c r="QP165" s="7"/>
      <c r="QQ165" s="7"/>
      <c r="QR165" s="7"/>
      <c r="QS165" s="7"/>
      <c r="QT165" s="7"/>
      <c r="QU165" s="7"/>
      <c r="QV165" s="7"/>
      <c r="QW165" s="7"/>
      <c r="QX165" s="7"/>
      <c r="QY165" s="7"/>
      <c r="QZ165" s="7"/>
      <c r="RA165" s="7"/>
      <c r="RB165" s="7"/>
      <c r="RC165" s="7"/>
      <c r="RD165" s="7"/>
      <c r="RE165" s="7"/>
      <c r="RF165" s="7"/>
      <c r="RG165" s="7"/>
      <c r="RH165" s="7"/>
      <c r="RI165" s="7"/>
      <c r="RJ165" s="7"/>
      <c r="RK165" s="7"/>
      <c r="RL165" s="7"/>
      <c r="RM165" s="7"/>
      <c r="RN165" s="7"/>
      <c r="RO165" s="7"/>
      <c r="RP165" s="7"/>
      <c r="RQ165" s="7"/>
      <c r="RR165" s="7"/>
      <c r="RS165" s="7"/>
      <c r="RT165" s="7"/>
      <c r="RU165" s="7"/>
      <c r="RV165" s="7"/>
      <c r="RW165" s="7"/>
      <c r="RX165" s="7"/>
      <c r="RY165" s="7"/>
      <c r="RZ165" s="7"/>
      <c r="SA165" s="7"/>
      <c r="SB165" s="7"/>
      <c r="SC165" s="7"/>
      <c r="SD165" s="7"/>
      <c r="SE165" s="7"/>
      <c r="SF165" s="7"/>
      <c r="SG165" s="7"/>
      <c r="SH165" s="7"/>
      <c r="SI165" s="7"/>
      <c r="SJ165" s="7"/>
      <c r="SK165" s="7"/>
      <c r="SL165" s="7"/>
      <c r="SM165" s="7"/>
      <c r="SN165" s="7"/>
      <c r="SO165" s="7"/>
      <c r="SP165" s="7"/>
      <c r="SQ165" s="7"/>
      <c r="SR165" s="7"/>
      <c r="SS165" s="7"/>
      <c r="ST165" s="7"/>
      <c r="SU165" s="7"/>
      <c r="SV165" s="7"/>
      <c r="SW165" s="7"/>
      <c r="SX165" s="7"/>
      <c r="SY165" s="7"/>
      <c r="SZ165" s="7"/>
      <c r="TA165" s="7"/>
      <c r="TB165" s="7"/>
      <c r="TC165" s="7"/>
      <c r="TD165" s="7"/>
      <c r="TE165" s="7"/>
      <c r="TF165" s="7"/>
      <c r="TG165" s="7"/>
      <c r="TH165" s="7"/>
      <c r="TI165" s="7"/>
      <c r="TJ165" s="7"/>
      <c r="TK165" s="7"/>
      <c r="TL165" s="7"/>
      <c r="TM165" s="7"/>
      <c r="TN165" s="7"/>
      <c r="TO165" s="7"/>
      <c r="TP165" s="7"/>
      <c r="TQ165" s="7"/>
      <c r="TR165" s="7"/>
      <c r="TS165" s="7"/>
      <c r="TT165" s="7"/>
      <c r="TU165" s="7"/>
      <c r="TV165" s="7"/>
      <c r="TW165" s="7"/>
      <c r="TX165" s="7"/>
      <c r="TY165" s="7"/>
      <c r="TZ165" s="7"/>
      <c r="UA165" s="7"/>
      <c r="UB165" s="7"/>
      <c r="UC165" s="7"/>
      <c r="UD165" s="7"/>
      <c r="UE165" s="7"/>
      <c r="UF165" s="7"/>
      <c r="UG165" s="7"/>
      <c r="UH165" s="7"/>
      <c r="UI165" s="7"/>
      <c r="UJ165" s="7"/>
      <c r="UK165" s="7"/>
      <c r="UL165" s="7"/>
      <c r="UM165" s="7"/>
      <c r="UN165" s="7"/>
      <c r="UO165" s="7"/>
      <c r="UP165" s="7"/>
      <c r="UQ165" s="7"/>
      <c r="UR165" s="7"/>
      <c r="US165" s="7"/>
      <c r="UT165" s="7"/>
      <c r="UU165" s="7"/>
      <c r="UV165" s="7"/>
      <c r="UW165" s="7"/>
      <c r="UX165" s="7"/>
      <c r="UY165" s="7"/>
      <c r="UZ165" s="7"/>
      <c r="VA165" s="7"/>
      <c r="VB165" s="7"/>
      <c r="VC165" s="7"/>
      <c r="VD165" s="7"/>
      <c r="VE165" s="7"/>
      <c r="VF165" s="7"/>
      <c r="VG165" s="7"/>
      <c r="VH165" s="7"/>
      <c r="VI165" s="7"/>
      <c r="VJ165" s="7"/>
      <c r="VK165" s="7"/>
      <c r="VL165" s="7"/>
      <c r="VM165" s="7"/>
      <c r="VN165" s="7"/>
      <c r="VO165" s="7"/>
      <c r="VP165" s="7"/>
      <c r="VQ165" s="7"/>
      <c r="VR165" s="7"/>
      <c r="VS165" s="7"/>
      <c r="VT165" s="7"/>
      <c r="VU165" s="7"/>
      <c r="VV165" s="7"/>
      <c r="VW165" s="7"/>
      <c r="VX165" s="7"/>
      <c r="VY165" s="7"/>
      <c r="VZ165" s="7"/>
      <c r="WA165" s="7"/>
      <c r="WB165" s="7"/>
      <c r="WC165" s="7"/>
      <c r="WD165" s="7"/>
      <c r="WE165" s="7"/>
      <c r="WF165" s="7"/>
      <c r="WG165" s="7"/>
      <c r="WH165" s="7"/>
      <c r="WI165" s="7"/>
      <c r="WJ165" s="7"/>
      <c r="WK165" s="7"/>
      <c r="WL165" s="7"/>
      <c r="WM165" s="7"/>
      <c r="WN165" s="7"/>
      <c r="WO165" s="7"/>
      <c r="WP165" s="7"/>
      <c r="WQ165" s="7"/>
      <c r="WR165" s="7"/>
      <c r="WS165" s="7"/>
      <c r="WT165" s="7"/>
      <c r="WU165" s="7"/>
      <c r="WV165" s="7"/>
      <c r="WW165" s="7"/>
      <c r="WX165" s="7"/>
      <c r="WY165" s="7"/>
      <c r="WZ165" s="7"/>
      <c r="XA165" s="7"/>
      <c r="XB165" s="7"/>
      <c r="XC165" s="7"/>
      <c r="XD165" s="7"/>
      <c r="XE165" s="7"/>
      <c r="XF165" s="7"/>
      <c r="XG165" s="7"/>
      <c r="XH165" s="7"/>
      <c r="XI165" s="7"/>
      <c r="XJ165" s="7"/>
      <c r="XK165" s="7"/>
      <c r="XL165" s="7"/>
      <c r="XM165" s="7"/>
      <c r="XN165" s="7"/>
      <c r="XO165" s="7"/>
      <c r="XP165" s="7"/>
      <c r="XQ165" s="7"/>
      <c r="XR165" s="7"/>
      <c r="XS165" s="7"/>
      <c r="XT165" s="7"/>
      <c r="XU165" s="7"/>
      <c r="XV165" s="7"/>
      <c r="XW165" s="7"/>
      <c r="XX165" s="7"/>
      <c r="XY165" s="7"/>
      <c r="XZ165" s="7"/>
      <c r="YA165" s="7"/>
      <c r="YB165" s="7"/>
      <c r="YC165" s="7"/>
      <c r="YD165" s="7"/>
      <c r="YE165" s="7"/>
      <c r="YF165" s="7"/>
      <c r="YG165" s="7"/>
      <c r="YH165" s="7"/>
      <c r="YI165" s="7"/>
      <c r="YJ165" s="7"/>
      <c r="YK165" s="7"/>
      <c r="YL165" s="7"/>
      <c r="YM165" s="7"/>
      <c r="YN165" s="7"/>
      <c r="YO165" s="7"/>
      <c r="YP165" s="7"/>
      <c r="YQ165" s="7"/>
      <c r="YR165" s="7"/>
      <c r="YS165" s="7"/>
      <c r="YT165" s="7"/>
      <c r="YU165" s="7"/>
      <c r="YV165" s="7"/>
      <c r="YW165" s="7"/>
      <c r="YX165" s="7"/>
      <c r="YY165" s="7"/>
      <c r="YZ165" s="7"/>
      <c r="ZA165" s="7"/>
      <c r="ZB165" s="7"/>
      <c r="ZC165" s="7"/>
      <c r="ZD165" s="7"/>
      <c r="ZE165" s="7"/>
      <c r="ZF165" s="7"/>
      <c r="ZG165" s="7"/>
      <c r="ZH165" s="7"/>
      <c r="ZI165" s="7"/>
      <c r="ZJ165" s="7"/>
      <c r="ZK165" s="7"/>
      <c r="ZL165" s="7"/>
      <c r="ZM165" s="7"/>
      <c r="ZN165" s="7"/>
      <c r="ZO165" s="7"/>
      <c r="ZP165" s="7"/>
      <c r="ZQ165" s="7"/>
      <c r="ZR165" s="7"/>
      <c r="ZS165" s="7"/>
      <c r="ZT165" s="7"/>
      <c r="ZU165" s="7"/>
      <c r="ZV165" s="7"/>
      <c r="ZW165" s="7"/>
      <c r="ZX165" s="7"/>
      <c r="ZY165" s="7"/>
      <c r="ZZ165" s="7"/>
      <c r="AAA165" s="7"/>
      <c r="AAB165" s="7"/>
      <c r="AAC165" s="7"/>
      <c r="AAD165" s="7"/>
      <c r="AAE165" s="7"/>
      <c r="AAF165" s="7"/>
      <c r="AAG165" s="7"/>
      <c r="AAH165" s="7"/>
      <c r="AAI165" s="7"/>
      <c r="AAJ165" s="7"/>
      <c r="AAK165" s="7"/>
      <c r="AAL165" s="7"/>
      <c r="AAM165" s="7"/>
      <c r="AAN165" s="7"/>
      <c r="AAO165" s="7"/>
      <c r="AAP165" s="7"/>
      <c r="AAQ165" s="7"/>
      <c r="AAR165" s="7"/>
      <c r="AAS165" s="7"/>
      <c r="AAT165" s="7"/>
      <c r="AAU165" s="7"/>
      <c r="AAV165" s="7"/>
      <c r="AAW165" s="7"/>
      <c r="AAX165" s="7"/>
      <c r="AAY165" s="7"/>
      <c r="AAZ165" s="7"/>
      <c r="ABA165" s="7"/>
      <c r="ABB165" s="7"/>
      <c r="ABC165" s="7"/>
      <c r="ABD165" s="7"/>
      <c r="ABE165" s="7"/>
      <c r="ABF165" s="7"/>
      <c r="ABG165" s="7"/>
      <c r="ABH165" s="7"/>
      <c r="ABI165" s="7"/>
      <c r="ABJ165" s="7"/>
      <c r="ABK165" s="7"/>
      <c r="ABL165" s="7"/>
      <c r="ABM165" s="7"/>
      <c r="ABN165" s="7"/>
      <c r="ABO165" s="7"/>
      <c r="ABP165" s="7"/>
      <c r="ABQ165" s="7"/>
      <c r="ABR165" s="7"/>
      <c r="ABS165" s="7"/>
      <c r="ABT165" s="7"/>
      <c r="ABU165" s="7"/>
      <c r="ABV165" s="7"/>
      <c r="ABW165" s="7"/>
      <c r="ABX165" s="7"/>
      <c r="ABY165" s="7"/>
      <c r="ABZ165" s="7"/>
      <c r="ACA165" s="7"/>
      <c r="ACB165" s="7"/>
      <c r="ACC165" s="7"/>
      <c r="ACD165" s="7"/>
      <c r="ACE165" s="7"/>
      <c r="ACF165" s="7"/>
      <c r="ACG165" s="7"/>
      <c r="ACH165" s="7"/>
      <c r="ACI165" s="7"/>
      <c r="ACJ165" s="7"/>
      <c r="ACK165" s="7"/>
      <c r="ACL165" s="7"/>
      <c r="ACM165" s="7"/>
      <c r="ACN165" s="7"/>
      <c r="ACO165" s="7"/>
      <c r="ACP165" s="7"/>
      <c r="ACQ165" s="7"/>
      <c r="ACR165" s="7"/>
      <c r="ACS165" s="7"/>
      <c r="ACT165" s="7"/>
      <c r="ACU165" s="7"/>
      <c r="ACV165" s="7"/>
      <c r="ACW165" s="7"/>
      <c r="ACX165" s="7"/>
      <c r="ACY165" s="7"/>
      <c r="ACZ165" s="7"/>
      <c r="ADA165" s="7"/>
      <c r="ADB165" s="7"/>
      <c r="ADC165" s="7"/>
      <c r="ADD165" s="7"/>
      <c r="ADE165" s="7"/>
      <c r="ADF165" s="7"/>
      <c r="ADG165" s="7"/>
      <c r="ADH165" s="7"/>
      <c r="ADI165" s="7"/>
      <c r="ADJ165" s="7"/>
      <c r="ADK165" s="7"/>
      <c r="ADL165" s="7"/>
      <c r="ADM165" s="7"/>
      <c r="ADN165" s="7"/>
      <c r="ADO165" s="7"/>
      <c r="ADP165" s="7"/>
      <c r="ADQ165" s="7"/>
      <c r="ADR165" s="7"/>
      <c r="ADS165" s="7"/>
      <c r="ADT165" s="7"/>
      <c r="ADU165" s="7"/>
      <c r="ADV165" s="7"/>
      <c r="ADW165" s="7"/>
      <c r="ADX165" s="7"/>
      <c r="ADY165" s="7"/>
      <c r="ADZ165" s="7"/>
      <c r="AEA165" s="7"/>
      <c r="AEB165" s="7"/>
      <c r="AEC165" s="7"/>
      <c r="AED165" s="7"/>
      <c r="AEE165" s="7"/>
      <c r="AEF165" s="7"/>
      <c r="AEG165" s="7"/>
      <c r="AEH165" s="7"/>
      <c r="AEI165" s="7"/>
      <c r="AEJ165" s="7"/>
      <c r="AEK165" s="7"/>
      <c r="AEL165" s="7"/>
      <c r="AEM165" s="7"/>
      <c r="AEN165" s="7"/>
      <c r="AEO165" s="7"/>
      <c r="AEP165" s="7"/>
      <c r="AEQ165" s="7"/>
      <c r="AER165" s="7"/>
      <c r="AES165" s="7"/>
      <c r="AET165" s="7"/>
      <c r="AEU165" s="7"/>
      <c r="AEV165" s="7"/>
      <c r="AEW165" s="7"/>
      <c r="AEX165" s="7"/>
      <c r="AEY165" s="7"/>
      <c r="AEZ165" s="7"/>
      <c r="AFA165" s="7"/>
      <c r="AFB165" s="7"/>
      <c r="AFC165" s="7"/>
      <c r="AFD165" s="7"/>
      <c r="AFE165" s="7"/>
      <c r="AFF165" s="7"/>
      <c r="AFG165" s="7"/>
      <c r="AFH165" s="7"/>
      <c r="AFI165" s="7"/>
      <c r="AFJ165" s="7"/>
      <c r="AFK165" s="7"/>
      <c r="AFL165" s="7"/>
      <c r="AFM165" s="7"/>
      <c r="AFN165" s="7"/>
      <c r="AFO165" s="7"/>
      <c r="AFP165" s="7"/>
      <c r="AFQ165" s="7"/>
      <c r="AFR165" s="7"/>
      <c r="AFS165" s="7"/>
      <c r="AFT165" s="7"/>
      <c r="AFU165" s="7"/>
      <c r="AFV165" s="7"/>
      <c r="AFW165" s="7"/>
      <c r="AFX165" s="7"/>
      <c r="AFY165" s="7"/>
      <c r="AFZ165" s="7"/>
      <c r="AGA165" s="7"/>
      <c r="AGB165" s="7"/>
      <c r="AGC165" s="7"/>
      <c r="AGD165" s="7"/>
      <c r="AGE165" s="7"/>
      <c r="AGF165" s="7"/>
      <c r="AGG165" s="7"/>
      <c r="AGH165" s="7"/>
      <c r="AGI165" s="7"/>
      <c r="AGJ165" s="7"/>
      <c r="AGK165" s="7"/>
      <c r="AGL165" s="7"/>
      <c r="AGM165" s="7"/>
      <c r="AGN165" s="7"/>
      <c r="AGO165" s="7"/>
      <c r="AGP165" s="7"/>
      <c r="AGQ165" s="7"/>
      <c r="AGR165" s="7"/>
      <c r="AGS165" s="7"/>
      <c r="AGT165" s="7"/>
      <c r="AGU165" s="7"/>
      <c r="AGV165" s="7"/>
      <c r="AGW165" s="7"/>
      <c r="AGX165" s="7"/>
      <c r="AGY165" s="7"/>
      <c r="AGZ165" s="7"/>
      <c r="AHA165" s="7"/>
      <c r="AHB165" s="7"/>
      <c r="AHC165" s="7"/>
      <c r="AHD165" s="7"/>
      <c r="AHE165" s="7"/>
      <c r="AHF165" s="7"/>
      <c r="AHG165" s="7"/>
      <c r="AHH165" s="7"/>
      <c r="AHI165" s="7"/>
      <c r="AHJ165" s="7"/>
      <c r="AHK165" s="7"/>
      <c r="AHL165" s="7"/>
      <c r="AHM165" s="7"/>
      <c r="AHN165" s="7"/>
      <c r="AHO165" s="7"/>
      <c r="AHP165" s="7"/>
      <c r="AHQ165" s="7"/>
      <c r="AHR165" s="7"/>
      <c r="AHS165" s="7"/>
      <c r="AHT165" s="7"/>
      <c r="AHU165" s="7"/>
      <c r="AHV165" s="7"/>
      <c r="AHW165" s="7"/>
      <c r="AHX165" s="7"/>
      <c r="AHY165" s="7"/>
      <c r="AHZ165" s="7"/>
      <c r="AIA165" s="7"/>
      <c r="AIB165" s="7"/>
      <c r="AIC165" s="7"/>
      <c r="AID165" s="7"/>
      <c r="AIE165" s="7"/>
      <c r="AIF165" s="7"/>
      <c r="AIG165" s="7"/>
      <c r="AIH165" s="7"/>
      <c r="AII165" s="7"/>
      <c r="AIJ165" s="7"/>
      <c r="AIK165" s="7"/>
      <c r="AIL165" s="7"/>
      <c r="AIM165" s="7"/>
      <c r="AIN165" s="7"/>
      <c r="AIO165" s="7"/>
      <c r="AIP165" s="7"/>
      <c r="AIQ165" s="7"/>
      <c r="AIR165" s="7"/>
      <c r="AIS165" s="7"/>
      <c r="AIT165" s="7"/>
      <c r="AIU165" s="7"/>
      <c r="AIV165" s="7"/>
      <c r="AIW165" s="7"/>
      <c r="AIX165" s="7"/>
      <c r="AIY165" s="7"/>
      <c r="AIZ165" s="7"/>
      <c r="AJA165" s="7"/>
      <c r="AJB165" s="7"/>
      <c r="AJC165" s="7"/>
      <c r="AJD165" s="7"/>
      <c r="AJE165" s="7"/>
      <c r="AJF165" s="7"/>
      <c r="AJG165" s="7"/>
      <c r="AJH165" s="7"/>
      <c r="AJI165" s="7"/>
      <c r="AJJ165" s="7"/>
      <c r="AJK165" s="7"/>
      <c r="AJL165" s="7"/>
      <c r="AJM165" s="7"/>
      <c r="AJN165" s="7"/>
      <c r="AJO165" s="7"/>
      <c r="AJP165" s="7"/>
      <c r="AJQ165" s="7"/>
      <c r="AJR165" s="7"/>
      <c r="AJS165" s="7"/>
      <c r="AJT165" s="7"/>
      <c r="AJU165" s="7"/>
      <c r="AJV165" s="7"/>
      <c r="AJW165" s="7"/>
      <c r="AJX165" s="7"/>
      <c r="AJY165" s="7"/>
      <c r="AJZ165" s="7"/>
      <c r="AKA165" s="7"/>
      <c r="AKB165" s="7"/>
      <c r="AKC165" s="7"/>
      <c r="AKD165" s="7"/>
      <c r="AKE165" s="7"/>
      <c r="AKF165" s="7"/>
      <c r="AKG165" s="7"/>
      <c r="AKH165" s="7"/>
      <c r="AKI165" s="7"/>
      <c r="AKJ165" s="7"/>
      <c r="AKK165" s="7"/>
      <c r="AKL165" s="7"/>
      <c r="AKM165" s="7"/>
      <c r="AKN165" s="7"/>
      <c r="AKO165" s="7"/>
      <c r="AKP165" s="7"/>
      <c r="AKQ165" s="7"/>
      <c r="AKR165" s="7"/>
      <c r="AKS165" s="7"/>
      <c r="AKT165" s="7"/>
      <c r="AKU165" s="7"/>
      <c r="AKV165" s="7"/>
      <c r="AKW165" s="7"/>
      <c r="AKX165" s="7"/>
      <c r="AKY165" s="7"/>
      <c r="AKZ165" s="7"/>
      <c r="ALA165" s="7"/>
      <c r="ALB165" s="7"/>
      <c r="ALC165" s="7"/>
      <c r="ALD165" s="7"/>
      <c r="ALE165" s="7"/>
      <c r="ALF165" s="7"/>
      <c r="ALG165" s="7"/>
      <c r="ALH165" s="7"/>
      <c r="ALI165" s="7"/>
      <c r="ALJ165" s="7"/>
      <c r="ALK165" s="7"/>
      <c r="ALL165" s="7"/>
      <c r="ALM165" s="7"/>
      <c r="ALN165" s="7"/>
      <c r="ALO165" s="7"/>
      <c r="ALP165" s="7"/>
      <c r="ALQ165" s="7"/>
      <c r="ALR165" s="7"/>
      <c r="ALS165" s="7"/>
      <c r="ALT165" s="7"/>
      <c r="ALU165" s="7"/>
      <c r="ALV165" s="7"/>
      <c r="ALW165" s="7"/>
      <c r="ALX165" s="7"/>
      <c r="ALY165" s="7"/>
      <c r="ALZ165" s="7"/>
      <c r="AMA165" s="7"/>
      <c r="AMB165" s="7"/>
      <c r="AMC165" s="7"/>
      <c r="AMD165" s="7"/>
      <c r="AME165" s="7"/>
      <c r="AMF165" s="7"/>
      <c r="AMG165" s="7"/>
      <c r="AMH165" s="7"/>
      <c r="AMI165" s="7"/>
      <c r="AMJ165" s="7"/>
      <c r="AMK165" s="7"/>
      <c r="AML165" s="7"/>
      <c r="AMM165" s="7"/>
      <c r="AMN165" s="7"/>
      <c r="AMO165" s="7"/>
      <c r="AMP165" s="7"/>
      <c r="AMQ165" s="7"/>
      <c r="AMR165" s="7"/>
      <c r="AMS165" s="7"/>
      <c r="AMT165" s="7"/>
      <c r="AMU165" s="7"/>
      <c r="AMV165" s="7"/>
      <c r="AMW165" s="7"/>
      <c r="AMX165" s="7"/>
      <c r="AMY165" s="7"/>
      <c r="AMZ165" s="7"/>
      <c r="ANA165" s="7"/>
      <c r="ANB165" s="7"/>
      <c r="ANC165" s="7"/>
      <c r="AND165" s="7"/>
      <c r="ANE165" s="7"/>
      <c r="ANF165" s="7"/>
      <c r="ANG165" s="7"/>
      <c r="ANH165" s="7"/>
      <c r="ANI165" s="7"/>
      <c r="ANJ165" s="7"/>
      <c r="ANK165" s="7"/>
      <c r="ANL165" s="7"/>
      <c r="ANM165" s="7"/>
      <c r="ANN165" s="7"/>
      <c r="ANO165" s="7"/>
      <c r="ANP165" s="7"/>
      <c r="ANQ165" s="7"/>
      <c r="ANR165" s="7"/>
      <c r="ANS165" s="7"/>
      <c r="ANT165" s="7"/>
      <c r="ANU165" s="7"/>
      <c r="ANV165" s="7"/>
      <c r="ANW165" s="7"/>
      <c r="ANX165" s="7"/>
      <c r="ANY165" s="7"/>
      <c r="ANZ165" s="7"/>
      <c r="AOA165" s="7"/>
      <c r="AOB165" s="7"/>
      <c r="AOC165" s="7"/>
      <c r="AOD165" s="7"/>
      <c r="AOE165" s="7"/>
      <c r="AOF165" s="7"/>
      <c r="AOG165" s="7"/>
      <c r="AOH165" s="7"/>
      <c r="AOI165" s="7"/>
      <c r="AOJ165" s="7"/>
      <c r="AOK165" s="7"/>
      <c r="AOL165" s="7"/>
      <c r="AOM165" s="7"/>
      <c r="AON165" s="7"/>
      <c r="AOO165" s="7"/>
      <c r="AOP165" s="7"/>
      <c r="AOQ165" s="7"/>
      <c r="AOR165" s="7"/>
      <c r="AOS165" s="7"/>
      <c r="AOT165" s="7"/>
      <c r="AOU165" s="7"/>
      <c r="AOV165" s="7"/>
      <c r="AOW165" s="7"/>
      <c r="AOX165" s="7"/>
      <c r="AOY165" s="7"/>
      <c r="AOZ165" s="7"/>
      <c r="APA165" s="7"/>
      <c r="APB165" s="7"/>
      <c r="APC165" s="7"/>
      <c r="APD165" s="7"/>
      <c r="APE165" s="7"/>
      <c r="APF165" s="7"/>
      <c r="APG165" s="7"/>
      <c r="APH165" s="7"/>
      <c r="API165" s="7"/>
      <c r="APJ165" s="7"/>
      <c r="APK165" s="7"/>
      <c r="APL165" s="7"/>
      <c r="APM165" s="7"/>
      <c r="APN165" s="7"/>
      <c r="APO165" s="7"/>
      <c r="APP165" s="7"/>
      <c r="APQ165" s="7"/>
      <c r="APR165" s="7"/>
      <c r="APS165" s="7"/>
      <c r="APT165" s="7"/>
      <c r="APU165" s="7"/>
      <c r="APV165" s="7"/>
      <c r="APW165" s="7"/>
      <c r="APX165" s="7"/>
      <c r="APY165" s="7"/>
      <c r="APZ165" s="7"/>
      <c r="AQA165" s="7"/>
      <c r="AQB165" s="7"/>
      <c r="AQC165" s="7"/>
      <c r="AQD165" s="7"/>
      <c r="AQE165" s="7"/>
      <c r="AQF165" s="7"/>
      <c r="AQG165" s="7"/>
      <c r="AQH165" s="7"/>
      <c r="AQI165" s="7"/>
      <c r="AQJ165" s="7"/>
      <c r="AQK165" s="7"/>
      <c r="AQL165" s="7"/>
      <c r="AQM165" s="7"/>
      <c r="AQN165" s="7"/>
      <c r="AQO165" s="7"/>
      <c r="AQP165" s="7"/>
      <c r="AQQ165" s="7"/>
      <c r="AQR165" s="7"/>
      <c r="AQS165" s="7"/>
      <c r="AQT165" s="7"/>
      <c r="AQU165" s="7"/>
      <c r="AQV165" s="7"/>
      <c r="AQW165" s="7"/>
      <c r="AQX165" s="7"/>
      <c r="AQY165" s="7"/>
      <c r="AQZ165" s="7"/>
      <c r="ARA165" s="7"/>
      <c r="ARB165" s="7"/>
      <c r="ARC165" s="7"/>
      <c r="ARD165" s="7"/>
      <c r="ARE165" s="7"/>
      <c r="ARF165" s="7"/>
      <c r="ARG165" s="7"/>
      <c r="ARH165" s="7"/>
      <c r="ARI165" s="7"/>
      <c r="ARJ165" s="7"/>
      <c r="ARK165" s="7"/>
      <c r="ARL165" s="7"/>
      <c r="ARM165" s="7"/>
      <c r="ARN165" s="7"/>
      <c r="ARO165" s="7"/>
      <c r="ARP165" s="7"/>
      <c r="ARQ165" s="7"/>
      <c r="ARR165" s="7"/>
      <c r="ARS165" s="7"/>
      <c r="ART165" s="7"/>
      <c r="ARU165" s="7"/>
      <c r="ARV165" s="7"/>
      <c r="ARW165" s="7"/>
      <c r="ARX165" s="7"/>
      <c r="ARY165" s="7"/>
      <c r="ARZ165" s="7"/>
      <c r="ASA165" s="7"/>
      <c r="ASB165" s="7"/>
      <c r="ASC165" s="7"/>
      <c r="ASD165" s="7"/>
      <c r="ASE165" s="7"/>
      <c r="ASF165" s="7"/>
      <c r="ASG165" s="7"/>
      <c r="ASH165" s="7"/>
      <c r="ASI165" s="7"/>
      <c r="ASJ165" s="7"/>
      <c r="ASK165" s="7"/>
      <c r="ASL165" s="7"/>
      <c r="ASM165" s="7"/>
      <c r="ASN165" s="7"/>
      <c r="ASO165" s="7"/>
      <c r="ASP165" s="7"/>
      <c r="ASQ165" s="7"/>
      <c r="ASR165" s="7"/>
      <c r="ASS165" s="7"/>
      <c r="AST165" s="7"/>
      <c r="ASU165" s="7"/>
      <c r="ASV165" s="7"/>
      <c r="ASW165" s="7"/>
      <c r="ASX165" s="7"/>
      <c r="ASY165" s="7"/>
      <c r="ASZ165" s="7"/>
      <c r="ATA165" s="7"/>
      <c r="ATB165" s="7"/>
      <c r="ATC165" s="7"/>
      <c r="ATD165" s="7"/>
      <c r="ATE165" s="7"/>
      <c r="ATF165" s="7"/>
      <c r="ATG165" s="7"/>
      <c r="ATH165" s="7"/>
      <c r="ATI165" s="7"/>
      <c r="ATJ165" s="7"/>
      <c r="ATK165" s="7"/>
      <c r="ATL165" s="7"/>
      <c r="ATM165" s="7"/>
      <c r="ATN165" s="7"/>
      <c r="ATO165" s="7"/>
      <c r="ATP165" s="7"/>
      <c r="ATQ165" s="7"/>
      <c r="ATR165" s="7"/>
      <c r="ATS165" s="7"/>
      <c r="ATT165" s="7"/>
      <c r="ATU165" s="7"/>
      <c r="ATV165" s="7"/>
      <c r="ATW165" s="7"/>
      <c r="ATX165" s="7"/>
      <c r="ATY165" s="7"/>
      <c r="ATZ165" s="7"/>
      <c r="AUA165" s="7"/>
      <c r="AUB165" s="7"/>
      <c r="AUC165" s="7"/>
      <c r="AUD165" s="7"/>
      <c r="AUE165" s="7"/>
      <c r="AUF165" s="7"/>
      <c r="AUG165" s="7"/>
      <c r="AUH165" s="7"/>
      <c r="AUI165" s="7"/>
      <c r="AUJ165" s="7"/>
      <c r="AUK165" s="7"/>
      <c r="AUL165" s="7"/>
      <c r="AUM165" s="7"/>
      <c r="AUN165" s="7"/>
      <c r="AUO165" s="7"/>
      <c r="AUP165" s="7"/>
      <c r="AUQ165" s="7"/>
      <c r="AUR165" s="7"/>
      <c r="AUS165" s="7"/>
      <c r="AUT165" s="7"/>
      <c r="AUU165" s="7"/>
      <c r="AUV165" s="7"/>
      <c r="AUW165" s="7"/>
      <c r="AUX165" s="7"/>
      <c r="AUY165" s="7"/>
      <c r="AUZ165" s="7"/>
      <c r="AVA165" s="7"/>
      <c r="AVB165" s="7"/>
      <c r="AVC165" s="7"/>
      <c r="AVD165" s="7"/>
      <c r="AVE165" s="7"/>
      <c r="AVF165" s="7"/>
      <c r="AVG165" s="7"/>
      <c r="AVH165" s="7"/>
      <c r="AVI165" s="7"/>
      <c r="AVJ165" s="7"/>
      <c r="AVK165" s="7"/>
      <c r="AVL165" s="7"/>
      <c r="AVM165" s="7"/>
      <c r="AVN165" s="7"/>
      <c r="AVO165" s="7"/>
      <c r="AVP165" s="7"/>
      <c r="AVQ165" s="7"/>
      <c r="AVR165" s="7"/>
      <c r="AVS165" s="7"/>
      <c r="AVT165" s="7"/>
      <c r="AVU165" s="7"/>
      <c r="AVV165" s="7"/>
      <c r="AVW165" s="7"/>
      <c r="AVX165" s="7"/>
      <c r="AVY165" s="7"/>
      <c r="AVZ165" s="7"/>
      <c r="AWA165" s="7"/>
      <c r="AWB165" s="7"/>
      <c r="AWC165" s="7"/>
      <c r="AWD165" s="7"/>
      <c r="AWE165" s="7"/>
      <c r="AWF165" s="7"/>
      <c r="AWG165" s="7"/>
      <c r="AWH165" s="7"/>
      <c r="AWI165" s="7"/>
      <c r="AWJ165" s="7"/>
      <c r="AWK165" s="7"/>
      <c r="AWL165" s="7"/>
      <c r="AWM165" s="7"/>
      <c r="AWN165" s="7"/>
      <c r="AWO165" s="7"/>
      <c r="AWP165" s="7"/>
      <c r="AWQ165" s="7"/>
      <c r="AWR165" s="7"/>
      <c r="AWS165" s="7"/>
      <c r="AWT165" s="7"/>
      <c r="AWU165" s="7"/>
      <c r="AWV165" s="7"/>
      <c r="AWW165" s="7"/>
      <c r="AWX165" s="7"/>
      <c r="AWY165" s="7"/>
      <c r="AWZ165" s="7"/>
      <c r="AXA165" s="7"/>
      <c r="AXB165" s="7"/>
      <c r="AXC165" s="7"/>
      <c r="AXD165" s="7"/>
      <c r="AXE165" s="7"/>
      <c r="AXF165" s="7"/>
      <c r="AXG165" s="7"/>
      <c r="AXH165" s="7"/>
      <c r="AXI165" s="7"/>
      <c r="AXJ165" s="7"/>
      <c r="AXK165" s="7"/>
      <c r="AXL165" s="7"/>
      <c r="AXM165" s="7"/>
      <c r="AXN165" s="7"/>
      <c r="AXO165" s="7"/>
      <c r="AXP165" s="7"/>
      <c r="AXQ165" s="7"/>
      <c r="AXR165" s="7"/>
      <c r="AXS165" s="7"/>
      <c r="AXT165" s="7"/>
      <c r="AXU165" s="7"/>
      <c r="AXV165" s="7"/>
      <c r="AXW165" s="7"/>
      <c r="AXX165" s="7"/>
      <c r="AXY165" s="7"/>
      <c r="AXZ165" s="7"/>
      <c r="AYA165" s="7"/>
      <c r="AYB165" s="7"/>
      <c r="AYC165" s="7"/>
      <c r="AYD165" s="7"/>
      <c r="AYE165" s="7"/>
      <c r="AYF165" s="7"/>
      <c r="AYG165" s="7"/>
      <c r="AYH165" s="7"/>
      <c r="AYI165" s="7"/>
      <c r="AYJ165" s="7"/>
      <c r="AYK165" s="7"/>
      <c r="AYL165" s="7"/>
      <c r="AYM165" s="7"/>
      <c r="AYN165" s="7"/>
      <c r="AYO165" s="7"/>
      <c r="AYP165" s="7"/>
      <c r="AYQ165" s="7"/>
      <c r="AYR165" s="7"/>
      <c r="AYS165" s="7"/>
      <c r="AYT165" s="7"/>
      <c r="AYU165" s="7"/>
      <c r="AYV165" s="7"/>
      <c r="AYW165" s="7"/>
      <c r="AYX165" s="7"/>
      <c r="AYY165" s="7"/>
      <c r="AYZ165" s="7"/>
      <c r="AZA165" s="7"/>
      <c r="AZB165" s="7"/>
      <c r="AZC165" s="7"/>
      <c r="AZD165" s="7"/>
      <c r="AZE165" s="7"/>
      <c r="AZF165" s="7"/>
      <c r="AZG165" s="7"/>
      <c r="AZH165" s="7"/>
      <c r="AZI165" s="7"/>
      <c r="AZJ165" s="7"/>
      <c r="AZK165" s="7"/>
      <c r="AZL165" s="7"/>
      <c r="AZM165" s="7"/>
      <c r="AZN165" s="7"/>
      <c r="AZO165" s="7"/>
      <c r="AZP165" s="7"/>
      <c r="AZQ165" s="7"/>
      <c r="AZR165" s="7"/>
      <c r="AZS165" s="7"/>
      <c r="AZT165" s="7"/>
      <c r="AZU165" s="7"/>
      <c r="AZV165" s="7"/>
      <c r="AZW165" s="7"/>
      <c r="AZX165" s="7"/>
      <c r="AZY165" s="7"/>
      <c r="AZZ165" s="7"/>
      <c r="BAA165" s="7"/>
      <c r="BAB165" s="7"/>
      <c r="BAC165" s="7"/>
      <c r="BAD165" s="7"/>
      <c r="BAE165" s="7"/>
      <c r="BAF165" s="7"/>
      <c r="BAG165" s="7"/>
      <c r="BAH165" s="7"/>
      <c r="BAI165" s="7"/>
      <c r="BAJ165" s="7"/>
      <c r="BAK165" s="7"/>
      <c r="BAL165" s="7"/>
      <c r="BAM165" s="7"/>
      <c r="BAN165" s="7"/>
      <c r="BAO165" s="7"/>
      <c r="BAP165" s="7"/>
      <c r="BAQ165" s="7"/>
      <c r="BAR165" s="7"/>
      <c r="BAS165" s="7"/>
      <c r="BAT165" s="7"/>
      <c r="BAU165" s="7"/>
      <c r="BAV165" s="7"/>
      <c r="BAW165" s="7"/>
      <c r="BAX165" s="7"/>
      <c r="BAY165" s="7"/>
      <c r="BAZ165" s="7"/>
      <c r="BBA165" s="7"/>
      <c r="BBB165" s="7"/>
      <c r="BBC165" s="7"/>
      <c r="BBD165" s="7"/>
      <c r="BBE165" s="7"/>
      <c r="BBF165" s="7"/>
      <c r="BBG165" s="7"/>
      <c r="BBH165" s="7"/>
      <c r="BBI165" s="7"/>
      <c r="BBJ165" s="7"/>
      <c r="BBK165" s="7"/>
      <c r="BBL165" s="7"/>
      <c r="BBM165" s="7"/>
      <c r="BBN165" s="7"/>
      <c r="BBO165" s="7"/>
      <c r="BBP165" s="7"/>
      <c r="BBQ165" s="7"/>
      <c r="BBR165" s="7"/>
      <c r="BBS165" s="7"/>
      <c r="BBT165" s="7"/>
      <c r="BBU165" s="7"/>
      <c r="BBV165" s="7"/>
      <c r="BBW165" s="7"/>
      <c r="BBX165" s="7"/>
      <c r="BBY165" s="7"/>
      <c r="BBZ165" s="7"/>
      <c r="BCA165" s="7"/>
      <c r="BCB165" s="7"/>
      <c r="BCC165" s="7"/>
      <c r="BCD165" s="7"/>
      <c r="BCE165" s="7"/>
      <c r="BCF165" s="7"/>
      <c r="BCG165" s="7"/>
      <c r="BCH165" s="7"/>
      <c r="BCI165" s="7"/>
      <c r="BCJ165" s="7"/>
      <c r="BCK165" s="7"/>
      <c r="BCL165" s="7"/>
      <c r="BCM165" s="7"/>
      <c r="BCN165" s="7"/>
      <c r="BCO165" s="7"/>
      <c r="BCP165" s="7"/>
      <c r="BCQ165" s="7"/>
      <c r="BCR165" s="7"/>
      <c r="BCS165" s="7"/>
      <c r="BCT165" s="7"/>
      <c r="BCU165" s="7"/>
      <c r="BCV165" s="7"/>
      <c r="BCW165" s="7"/>
      <c r="BCX165" s="7"/>
      <c r="BCY165" s="7"/>
      <c r="BCZ165" s="7"/>
      <c r="BDA165" s="7"/>
      <c r="BDB165" s="7"/>
      <c r="BDC165" s="7"/>
      <c r="BDD165" s="7"/>
      <c r="BDE165" s="7"/>
      <c r="BDF165" s="7"/>
      <c r="BDG165" s="7"/>
      <c r="BDH165" s="7"/>
      <c r="BDI165" s="7"/>
      <c r="BDJ165" s="7"/>
      <c r="BDK165" s="7"/>
      <c r="BDL165" s="7"/>
      <c r="BDM165" s="7"/>
      <c r="BDN165" s="7"/>
      <c r="BDO165" s="7"/>
      <c r="BDP165" s="7"/>
      <c r="BDQ165" s="7"/>
      <c r="BDR165" s="7"/>
      <c r="BDS165" s="7"/>
      <c r="BDT165" s="7"/>
      <c r="BDU165" s="7"/>
      <c r="BDV165" s="7"/>
      <c r="BDW165" s="7"/>
      <c r="BDX165" s="7"/>
      <c r="BDY165" s="7"/>
      <c r="BDZ165" s="7"/>
      <c r="BEA165" s="7"/>
      <c r="BEB165" s="7"/>
      <c r="BEC165" s="7"/>
      <c r="BED165" s="7"/>
      <c r="BEE165" s="7"/>
      <c r="BEF165" s="7"/>
      <c r="BEG165" s="7"/>
      <c r="BEH165" s="7"/>
      <c r="BEI165" s="7"/>
      <c r="BEJ165" s="7"/>
      <c r="BEK165" s="7"/>
      <c r="BEL165" s="7"/>
      <c r="BEM165" s="7"/>
      <c r="BEN165" s="7"/>
      <c r="BEO165" s="7"/>
      <c r="BEP165" s="7"/>
      <c r="BEQ165" s="7"/>
      <c r="BER165" s="7"/>
      <c r="BES165" s="7"/>
      <c r="BET165" s="7"/>
      <c r="BEU165" s="7"/>
      <c r="BEV165" s="7"/>
      <c r="BEW165" s="7"/>
      <c r="BEX165" s="7"/>
      <c r="BEY165" s="7"/>
      <c r="BEZ165" s="7"/>
      <c r="BFA165" s="7"/>
      <c r="BFB165" s="7"/>
      <c r="BFC165" s="7"/>
      <c r="BFD165" s="7"/>
      <c r="BFE165" s="7"/>
      <c r="BFF165" s="7"/>
      <c r="BFG165" s="7"/>
      <c r="BFH165" s="7"/>
      <c r="BFI165" s="7"/>
      <c r="BFJ165" s="7"/>
      <c r="BFK165" s="7"/>
      <c r="BFL165" s="7"/>
      <c r="BFM165" s="7"/>
      <c r="BFN165" s="7"/>
      <c r="BFO165" s="7"/>
      <c r="BFP165" s="7"/>
      <c r="BFQ165" s="7"/>
      <c r="BFR165" s="7"/>
      <c r="BFS165" s="7"/>
      <c r="BFT165" s="7"/>
      <c r="BFU165" s="7"/>
      <c r="BFV165" s="7"/>
      <c r="BFW165" s="7"/>
      <c r="BFX165" s="7"/>
      <c r="BFY165" s="7"/>
      <c r="BFZ165" s="7"/>
      <c r="BGA165" s="7"/>
      <c r="BGB165" s="7"/>
      <c r="BGC165" s="7"/>
      <c r="BGD165" s="7"/>
      <c r="BGE165" s="7"/>
      <c r="BGF165" s="7"/>
      <c r="BGG165" s="7"/>
      <c r="BGH165" s="7"/>
      <c r="BGI165" s="7"/>
      <c r="BGJ165" s="7"/>
      <c r="BGK165" s="7"/>
      <c r="BGL165" s="7"/>
      <c r="BGM165" s="7"/>
      <c r="BGN165" s="7"/>
      <c r="BGO165" s="7"/>
      <c r="BGP165" s="7"/>
      <c r="BGQ165" s="7"/>
      <c r="BGR165" s="7"/>
      <c r="BGS165" s="7"/>
      <c r="BGT165" s="7"/>
      <c r="BGU165" s="7"/>
      <c r="BGV165" s="7"/>
      <c r="BGW165" s="7"/>
      <c r="BGX165" s="7"/>
      <c r="BGY165" s="7"/>
      <c r="BGZ165" s="7"/>
      <c r="BHA165" s="7"/>
      <c r="BHB165" s="7"/>
      <c r="BHC165" s="7"/>
      <c r="BHD165" s="7"/>
      <c r="BHE165" s="7"/>
      <c r="BHF165" s="7"/>
      <c r="BHG165" s="7"/>
      <c r="BHH165" s="7"/>
      <c r="BHI165" s="7"/>
      <c r="BHJ165" s="7"/>
      <c r="BHK165" s="7"/>
      <c r="BHL165" s="7"/>
      <c r="BHM165" s="7"/>
      <c r="BHN165" s="7"/>
      <c r="BHO165" s="7"/>
      <c r="BHP165" s="7"/>
      <c r="BHQ165" s="7"/>
      <c r="BHR165" s="7"/>
      <c r="BHS165" s="7"/>
      <c r="BHT165" s="7"/>
      <c r="BHU165" s="7"/>
      <c r="BHV165" s="7"/>
      <c r="BHW165" s="7"/>
      <c r="BHX165" s="7"/>
      <c r="BHY165" s="7"/>
      <c r="BHZ165" s="7"/>
      <c r="BIA165" s="7"/>
      <c r="BIB165" s="7"/>
      <c r="BIC165" s="7"/>
      <c r="BID165" s="7"/>
      <c r="BIE165" s="7"/>
      <c r="BIF165" s="7"/>
      <c r="BIG165" s="7"/>
      <c r="BIH165" s="7"/>
      <c r="BII165" s="7"/>
      <c r="BIJ165" s="7"/>
      <c r="BIK165" s="7"/>
      <c r="BIL165" s="7"/>
      <c r="BIM165" s="7"/>
      <c r="BIN165" s="7"/>
      <c r="BIO165" s="7"/>
      <c r="BIP165" s="7"/>
      <c r="BIQ165" s="7"/>
      <c r="BIR165" s="7"/>
      <c r="BIS165" s="7"/>
      <c r="BIT165" s="7"/>
      <c r="BIU165" s="7"/>
      <c r="BIV165" s="7"/>
      <c r="BIW165" s="7"/>
      <c r="BIX165" s="7"/>
      <c r="BIY165" s="7"/>
      <c r="BIZ165" s="7"/>
      <c r="BJA165" s="7"/>
      <c r="BJB165" s="7"/>
      <c r="BJC165" s="7"/>
      <c r="BJD165" s="7"/>
      <c r="BJE165" s="7"/>
      <c r="BJF165" s="7"/>
      <c r="BJG165" s="7"/>
      <c r="BJH165" s="7"/>
      <c r="BJI165" s="7"/>
      <c r="BJJ165" s="7"/>
      <c r="BJK165" s="7"/>
      <c r="BJL165" s="7"/>
      <c r="BJM165" s="7"/>
      <c r="BJN165" s="7"/>
      <c r="BJO165" s="7"/>
      <c r="BJP165" s="7"/>
      <c r="BJQ165" s="7"/>
      <c r="BJR165" s="7"/>
      <c r="BJS165" s="7"/>
      <c r="BJT165" s="7"/>
      <c r="BJU165" s="7"/>
      <c r="BJV165" s="7"/>
      <c r="BJW165" s="7"/>
      <c r="BJX165" s="7"/>
      <c r="BJY165" s="7"/>
      <c r="BJZ165" s="7"/>
      <c r="BKA165" s="7"/>
      <c r="BKB165" s="7"/>
      <c r="BKC165" s="7"/>
      <c r="BKD165" s="7"/>
      <c r="BKE165" s="7"/>
      <c r="BKF165" s="7"/>
      <c r="BKG165" s="7"/>
      <c r="BKH165" s="7"/>
      <c r="BKI165" s="7"/>
      <c r="BKJ165" s="7"/>
      <c r="BKK165" s="7"/>
      <c r="BKL165" s="7"/>
      <c r="BKM165" s="7"/>
      <c r="BKN165" s="7"/>
      <c r="BKO165" s="7"/>
      <c r="BKP165" s="7"/>
      <c r="BKQ165" s="7"/>
      <c r="BKR165" s="7"/>
      <c r="BKS165" s="7"/>
      <c r="BKT165" s="7"/>
      <c r="BKU165" s="7"/>
      <c r="BKV165" s="7"/>
      <c r="BKW165" s="7"/>
      <c r="BKX165" s="7"/>
      <c r="BKY165" s="7"/>
      <c r="BKZ165" s="7"/>
      <c r="BLA165" s="7"/>
      <c r="BLB165" s="7"/>
      <c r="BLC165" s="7"/>
      <c r="BLD165" s="7"/>
      <c r="BLE165" s="7"/>
      <c r="BLF165" s="7"/>
      <c r="BLG165" s="7"/>
      <c r="BLH165" s="7"/>
      <c r="BLI165" s="7"/>
      <c r="BLJ165" s="7"/>
      <c r="BLK165" s="7"/>
      <c r="BLL165" s="7"/>
      <c r="BLM165" s="7"/>
      <c r="BLN165" s="7"/>
      <c r="BLO165" s="7"/>
      <c r="BLP165" s="7"/>
      <c r="BLQ165" s="7"/>
      <c r="BLR165" s="7"/>
      <c r="BLS165" s="7"/>
      <c r="BLT165" s="7"/>
      <c r="BLU165" s="7"/>
      <c r="BLV165" s="7"/>
      <c r="BLW165" s="7"/>
      <c r="BLX165" s="7"/>
      <c r="BLY165" s="7"/>
      <c r="BLZ165" s="7"/>
      <c r="BMA165" s="7"/>
      <c r="BMB165" s="7"/>
      <c r="BMC165" s="7"/>
      <c r="BMD165" s="7"/>
      <c r="BME165" s="7"/>
      <c r="BMF165" s="7"/>
      <c r="BMG165" s="7"/>
      <c r="BMH165" s="7"/>
      <c r="BMI165" s="7"/>
      <c r="BMJ165" s="7"/>
      <c r="BMK165" s="7"/>
      <c r="BML165" s="7"/>
      <c r="BMM165" s="7"/>
      <c r="BMN165" s="7"/>
      <c r="BMO165" s="7"/>
      <c r="BMP165" s="7"/>
      <c r="BMQ165" s="7"/>
      <c r="BMR165" s="7"/>
      <c r="BMS165" s="7"/>
      <c r="BMT165" s="7"/>
      <c r="BMU165" s="7"/>
      <c r="BMV165" s="7"/>
      <c r="BMW165" s="7"/>
      <c r="BMX165" s="7"/>
      <c r="BMY165" s="7"/>
      <c r="BMZ165" s="7"/>
      <c r="BNA165" s="7"/>
      <c r="BNB165" s="7"/>
      <c r="BNC165" s="7"/>
      <c r="BND165" s="7"/>
      <c r="BNE165" s="7"/>
      <c r="BNF165" s="7"/>
      <c r="BNG165" s="7"/>
      <c r="BNH165" s="7"/>
      <c r="BNI165" s="7"/>
      <c r="BNJ165" s="7"/>
      <c r="BNK165" s="7"/>
      <c r="BNL165" s="7"/>
      <c r="BNM165" s="7"/>
      <c r="BNN165" s="7"/>
      <c r="BNO165" s="7"/>
      <c r="BNP165" s="7"/>
      <c r="BNQ165" s="7"/>
      <c r="BNR165" s="7"/>
      <c r="BNS165" s="7"/>
      <c r="BNT165" s="7"/>
      <c r="BNU165" s="7"/>
      <c r="BNV165" s="7"/>
      <c r="BNW165" s="7"/>
      <c r="BNX165" s="7"/>
      <c r="BNY165" s="7"/>
      <c r="BNZ165" s="7"/>
      <c r="BOA165" s="7"/>
      <c r="BOB165" s="7"/>
      <c r="BOC165" s="7"/>
      <c r="BOD165" s="7"/>
      <c r="BOE165" s="7"/>
      <c r="BOF165" s="7"/>
      <c r="BOG165" s="7"/>
      <c r="BOH165" s="7"/>
      <c r="BOI165" s="7"/>
      <c r="BOJ165" s="7"/>
      <c r="BOK165" s="7"/>
      <c r="BOL165" s="7"/>
      <c r="BOM165" s="7"/>
      <c r="BON165" s="7"/>
      <c r="BOO165" s="7"/>
      <c r="BOP165" s="7"/>
      <c r="BOQ165" s="7"/>
      <c r="BOR165" s="7"/>
      <c r="BOS165" s="7"/>
      <c r="BOT165" s="7"/>
      <c r="BOU165" s="7"/>
      <c r="BOV165" s="7"/>
      <c r="BOW165" s="7"/>
      <c r="BOX165" s="7"/>
      <c r="BOY165" s="7"/>
      <c r="BOZ165" s="7"/>
      <c r="BPA165" s="7"/>
      <c r="BPB165" s="7"/>
      <c r="BPC165" s="7"/>
      <c r="BPD165" s="7"/>
      <c r="BPE165" s="7"/>
      <c r="BPF165" s="7"/>
      <c r="BPG165" s="7"/>
      <c r="BPH165" s="7"/>
      <c r="BPI165" s="7"/>
      <c r="BPJ165" s="7"/>
      <c r="BPK165" s="7"/>
      <c r="BPL165" s="7"/>
      <c r="BPM165" s="7"/>
      <c r="BPN165" s="7"/>
      <c r="BPO165" s="7"/>
      <c r="BPP165" s="7"/>
      <c r="BPQ165" s="7"/>
      <c r="BPR165" s="7"/>
      <c r="BPS165" s="7"/>
      <c r="BPT165" s="7"/>
      <c r="BPU165" s="7"/>
      <c r="BPV165" s="7"/>
      <c r="BPW165" s="7"/>
      <c r="BPX165" s="7"/>
      <c r="BPY165" s="7"/>
      <c r="BPZ165" s="7"/>
      <c r="BQA165" s="7"/>
      <c r="BQB165" s="7"/>
      <c r="BQC165" s="7"/>
      <c r="BQD165" s="7"/>
      <c r="BQE165" s="7"/>
      <c r="BQF165" s="7"/>
      <c r="BQG165" s="7"/>
      <c r="BQH165" s="7"/>
      <c r="BQI165" s="7"/>
      <c r="BQJ165" s="7"/>
      <c r="BQK165" s="7"/>
      <c r="BQL165" s="7"/>
      <c r="BQM165" s="7"/>
      <c r="BQN165" s="7"/>
      <c r="BQO165" s="7"/>
      <c r="BQP165" s="7"/>
      <c r="BQQ165" s="7"/>
      <c r="BQR165" s="7"/>
      <c r="BQS165" s="7"/>
      <c r="BQT165" s="7"/>
      <c r="BQU165" s="7"/>
      <c r="BQV165" s="7"/>
      <c r="BQW165" s="7"/>
      <c r="BQX165" s="7"/>
      <c r="BQY165" s="7"/>
      <c r="BQZ165" s="7"/>
      <c r="BRA165" s="7"/>
      <c r="BRB165" s="7"/>
      <c r="BRC165" s="7"/>
      <c r="BRD165" s="7"/>
      <c r="BRE165" s="7"/>
      <c r="BRF165" s="7"/>
      <c r="BRG165" s="7"/>
      <c r="BRH165" s="7"/>
      <c r="BRI165" s="7"/>
      <c r="BRJ165" s="7"/>
      <c r="BRK165" s="7"/>
      <c r="BRL165" s="7"/>
      <c r="BRM165" s="7"/>
      <c r="BRN165" s="7"/>
      <c r="BRO165" s="7"/>
      <c r="BRP165" s="7"/>
      <c r="BRQ165" s="7"/>
      <c r="BRR165" s="7"/>
      <c r="BRS165" s="7"/>
      <c r="BRT165" s="7"/>
      <c r="BRU165" s="7"/>
      <c r="BRV165" s="7"/>
      <c r="BRW165" s="7"/>
      <c r="BRX165" s="7"/>
      <c r="BRY165" s="7"/>
      <c r="BRZ165" s="7"/>
      <c r="BSA165" s="7"/>
      <c r="BSB165" s="7"/>
      <c r="BSC165" s="7"/>
      <c r="BSD165" s="7"/>
      <c r="BSE165" s="7"/>
      <c r="BSF165" s="7"/>
      <c r="BSG165" s="7"/>
      <c r="BSH165" s="7"/>
      <c r="BSI165" s="7"/>
      <c r="BSJ165" s="7"/>
      <c r="BSK165" s="7"/>
      <c r="BSL165" s="7"/>
      <c r="BSM165" s="7"/>
      <c r="BSN165" s="7"/>
      <c r="BSO165" s="7"/>
      <c r="BSP165" s="7"/>
      <c r="BSQ165" s="7"/>
      <c r="BSR165" s="7"/>
      <c r="BSS165" s="7"/>
      <c r="BST165" s="7"/>
      <c r="BSU165" s="7"/>
      <c r="BSV165" s="7"/>
      <c r="BSW165" s="7"/>
      <c r="BSX165" s="7"/>
      <c r="BSY165" s="7"/>
      <c r="BSZ165" s="7"/>
      <c r="BTA165" s="7"/>
      <c r="BTB165" s="7"/>
      <c r="BTC165" s="7"/>
      <c r="BTD165" s="7"/>
      <c r="BTE165" s="7"/>
      <c r="BTF165" s="7"/>
      <c r="BTG165" s="7"/>
      <c r="BTH165" s="7"/>
      <c r="BTI165" s="7"/>
      <c r="BTJ165" s="7"/>
      <c r="BTK165" s="7"/>
      <c r="BTL165" s="7"/>
      <c r="BTM165" s="7"/>
      <c r="BTN165" s="7"/>
      <c r="BTO165" s="7"/>
      <c r="BTP165" s="7"/>
      <c r="BTQ165" s="7"/>
      <c r="BTR165" s="7"/>
      <c r="BTS165" s="7"/>
      <c r="BTT165" s="7"/>
      <c r="BTU165" s="7"/>
      <c r="BTV165" s="7"/>
      <c r="BTW165" s="7"/>
      <c r="BTX165" s="7"/>
      <c r="BTY165" s="7"/>
      <c r="BTZ165" s="7"/>
      <c r="BUA165" s="7"/>
      <c r="BUB165" s="7"/>
      <c r="BUC165" s="7"/>
      <c r="BUD165" s="7"/>
      <c r="BUE165" s="7"/>
      <c r="BUF165" s="7"/>
      <c r="BUG165" s="7"/>
      <c r="BUH165" s="7"/>
      <c r="BUI165" s="7"/>
      <c r="BUJ165" s="7"/>
      <c r="BUK165" s="7"/>
      <c r="BUL165" s="7"/>
      <c r="BUM165" s="7"/>
      <c r="BUN165" s="7"/>
      <c r="BUO165" s="7"/>
      <c r="BUP165" s="7"/>
      <c r="BUQ165" s="7"/>
      <c r="BUR165" s="7"/>
      <c r="BUS165" s="7"/>
      <c r="BUT165" s="7"/>
      <c r="BUU165" s="7"/>
      <c r="BUV165" s="7"/>
      <c r="BUW165" s="7"/>
      <c r="BUX165" s="7"/>
      <c r="BUY165" s="7"/>
      <c r="BUZ165" s="7"/>
      <c r="BVA165" s="7"/>
      <c r="BVB165" s="7"/>
      <c r="BVC165" s="7"/>
      <c r="BVD165" s="7"/>
      <c r="BVE165" s="7"/>
      <c r="BVF165" s="7"/>
      <c r="BVG165" s="7"/>
      <c r="BVH165" s="7"/>
      <c r="BVI165" s="7"/>
      <c r="BVJ165" s="7"/>
      <c r="BVK165" s="7"/>
      <c r="BVL165" s="7"/>
      <c r="BVM165" s="7"/>
      <c r="BVN165" s="7"/>
      <c r="BVO165" s="7"/>
      <c r="BVP165" s="7"/>
      <c r="BVQ165" s="7"/>
      <c r="BVR165" s="7"/>
      <c r="BVS165" s="7"/>
      <c r="BVT165" s="7"/>
      <c r="BVU165" s="7"/>
      <c r="BVV165" s="7"/>
      <c r="BVW165" s="7"/>
      <c r="BVX165" s="7"/>
      <c r="BVY165" s="7"/>
      <c r="BVZ165" s="7"/>
      <c r="BWA165" s="7"/>
      <c r="BWB165" s="7"/>
      <c r="BWC165" s="7"/>
      <c r="BWD165" s="7"/>
      <c r="BWE165" s="7"/>
      <c r="BWF165" s="7"/>
      <c r="BWG165" s="7"/>
      <c r="BWH165" s="7"/>
      <c r="BWI165" s="7"/>
      <c r="BWJ165" s="7"/>
      <c r="BWK165" s="7"/>
      <c r="BWL165" s="7"/>
      <c r="BWM165" s="7"/>
      <c r="BWN165" s="7"/>
      <c r="BWO165" s="7"/>
      <c r="BWP165" s="7"/>
      <c r="BWQ165" s="7"/>
      <c r="BWR165" s="7"/>
      <c r="BWS165" s="7"/>
      <c r="BWT165" s="7"/>
      <c r="BWU165" s="7"/>
      <c r="BWV165" s="7"/>
      <c r="BWW165" s="7"/>
      <c r="BWX165" s="7"/>
      <c r="BWY165" s="7"/>
      <c r="BWZ165" s="7"/>
      <c r="BXA165" s="7"/>
      <c r="BXB165" s="7"/>
      <c r="BXC165" s="7"/>
      <c r="BXD165" s="7"/>
      <c r="BXE165" s="7"/>
      <c r="BXF165" s="7"/>
      <c r="BXG165" s="7"/>
      <c r="BXH165" s="7"/>
      <c r="BXI165" s="7"/>
      <c r="BXJ165" s="7"/>
      <c r="BXK165" s="7"/>
      <c r="BXL165" s="7"/>
      <c r="BXM165" s="7"/>
      <c r="BXN165" s="7"/>
      <c r="BXO165" s="7"/>
      <c r="BXP165" s="7"/>
      <c r="BXQ165" s="7"/>
      <c r="BXR165" s="7"/>
      <c r="BXS165" s="7"/>
      <c r="BXT165" s="7"/>
      <c r="BXU165" s="7"/>
      <c r="BXV165" s="7"/>
      <c r="BXW165" s="7"/>
      <c r="BXX165" s="7"/>
      <c r="BXY165" s="7"/>
      <c r="BXZ165" s="7"/>
      <c r="BYA165" s="7"/>
      <c r="BYB165" s="7"/>
      <c r="BYC165" s="7"/>
      <c r="BYD165" s="7"/>
      <c r="BYE165" s="7"/>
      <c r="BYF165" s="7"/>
      <c r="BYG165" s="7"/>
      <c r="BYH165" s="7"/>
      <c r="BYI165" s="7"/>
      <c r="BYJ165" s="7"/>
      <c r="BYK165" s="7"/>
      <c r="BYL165" s="7"/>
      <c r="BYM165" s="7"/>
      <c r="BYN165" s="7"/>
      <c r="BYO165" s="7"/>
      <c r="BYP165" s="7"/>
      <c r="BYQ165" s="7"/>
      <c r="BYR165" s="7"/>
      <c r="BYS165" s="7"/>
      <c r="BYT165" s="7"/>
      <c r="BYU165" s="7"/>
      <c r="BYV165" s="7"/>
      <c r="BYW165" s="7"/>
      <c r="BYX165" s="7"/>
      <c r="BYY165" s="7"/>
      <c r="BYZ165" s="7"/>
      <c r="BZA165" s="7"/>
      <c r="BZB165" s="7"/>
      <c r="BZC165" s="7"/>
      <c r="BZD165" s="7"/>
      <c r="BZE165" s="7"/>
      <c r="BZF165" s="7"/>
      <c r="BZG165" s="7"/>
      <c r="BZH165" s="7"/>
      <c r="BZI165" s="7"/>
      <c r="BZJ165" s="7"/>
      <c r="BZK165" s="7"/>
      <c r="BZL165" s="7"/>
      <c r="BZM165" s="7"/>
      <c r="BZN165" s="7"/>
      <c r="BZO165" s="7"/>
      <c r="BZP165" s="7"/>
      <c r="BZQ165" s="7"/>
      <c r="BZR165" s="7"/>
      <c r="BZS165" s="7"/>
      <c r="BZT165" s="7"/>
      <c r="BZU165" s="7"/>
      <c r="BZV165" s="7"/>
      <c r="BZW165" s="7"/>
      <c r="BZX165" s="7"/>
      <c r="BZY165" s="7"/>
      <c r="BZZ165" s="7"/>
      <c r="CAA165" s="7"/>
      <c r="CAB165" s="7"/>
      <c r="CAC165" s="7"/>
      <c r="CAD165" s="7"/>
      <c r="CAE165" s="7"/>
      <c r="CAF165" s="7"/>
      <c r="CAG165" s="7"/>
      <c r="CAH165" s="7"/>
      <c r="CAI165" s="7"/>
      <c r="CAJ165" s="7"/>
      <c r="CAK165" s="7"/>
      <c r="CAL165" s="7"/>
      <c r="CAM165" s="7"/>
      <c r="CAN165" s="7"/>
      <c r="CAO165" s="7"/>
      <c r="CAP165" s="7"/>
      <c r="CAQ165" s="7"/>
      <c r="CAR165" s="7"/>
      <c r="CAS165" s="7"/>
      <c r="CAT165" s="7"/>
      <c r="CAU165" s="7"/>
      <c r="CAV165" s="7"/>
      <c r="CAW165" s="7"/>
      <c r="CAX165" s="7"/>
      <c r="CAY165" s="7"/>
      <c r="CAZ165" s="7"/>
      <c r="CBA165" s="7"/>
      <c r="CBB165" s="7"/>
      <c r="CBC165" s="7"/>
      <c r="CBD165" s="7"/>
      <c r="CBE165" s="7"/>
      <c r="CBF165" s="7"/>
      <c r="CBG165" s="7"/>
      <c r="CBH165" s="7"/>
      <c r="CBI165" s="7"/>
      <c r="CBJ165" s="7"/>
      <c r="CBK165" s="7"/>
      <c r="CBL165" s="7"/>
      <c r="CBM165" s="7"/>
      <c r="CBN165" s="7"/>
      <c r="CBO165" s="7"/>
      <c r="CBP165" s="7"/>
      <c r="CBQ165" s="7"/>
      <c r="CBR165" s="7"/>
      <c r="CBS165" s="7"/>
      <c r="CBT165" s="7"/>
      <c r="CBU165" s="7"/>
      <c r="CBV165" s="7"/>
      <c r="CBW165" s="7"/>
      <c r="CBX165" s="7"/>
      <c r="CBY165" s="7"/>
      <c r="CBZ165" s="7"/>
      <c r="CCA165" s="7"/>
      <c r="CCB165" s="7"/>
      <c r="CCC165" s="7"/>
      <c r="CCD165" s="7"/>
      <c r="CCE165" s="7"/>
      <c r="CCF165" s="7"/>
      <c r="CCG165" s="7"/>
      <c r="CCH165" s="7"/>
      <c r="CCI165" s="7"/>
      <c r="CCJ165" s="7"/>
      <c r="CCK165" s="7"/>
      <c r="CCL165" s="7"/>
      <c r="CCM165" s="7"/>
      <c r="CCN165" s="7"/>
      <c r="CCO165" s="7"/>
      <c r="CCP165" s="7"/>
      <c r="CCQ165" s="7"/>
      <c r="CCR165" s="7"/>
      <c r="CCS165" s="7"/>
      <c r="CCT165" s="7"/>
      <c r="CCU165" s="7"/>
      <c r="CCV165" s="7"/>
      <c r="CCW165" s="7"/>
      <c r="CCX165" s="7"/>
      <c r="CCY165" s="7"/>
      <c r="CCZ165" s="7"/>
      <c r="CDA165" s="7"/>
      <c r="CDB165" s="7"/>
      <c r="CDC165" s="7"/>
      <c r="CDD165" s="7"/>
      <c r="CDE165" s="7"/>
      <c r="CDF165" s="7"/>
      <c r="CDG165" s="7"/>
      <c r="CDH165" s="7"/>
      <c r="CDI165" s="7"/>
      <c r="CDJ165" s="7"/>
      <c r="CDK165" s="7"/>
      <c r="CDL165" s="7"/>
      <c r="CDM165" s="7"/>
      <c r="CDN165" s="7"/>
      <c r="CDO165" s="7"/>
      <c r="CDP165" s="7"/>
      <c r="CDQ165" s="7"/>
      <c r="CDR165" s="7"/>
      <c r="CDS165" s="7"/>
      <c r="CDT165" s="7"/>
      <c r="CDU165" s="7"/>
      <c r="CDV165" s="7"/>
      <c r="CDW165" s="7"/>
      <c r="CDX165" s="7"/>
      <c r="CDY165" s="7"/>
      <c r="CDZ165" s="7"/>
      <c r="CEA165" s="7"/>
      <c r="CEB165" s="7"/>
      <c r="CEC165" s="7"/>
      <c r="CED165" s="7"/>
      <c r="CEE165" s="7"/>
      <c r="CEF165" s="7"/>
      <c r="CEG165" s="7"/>
      <c r="CEH165" s="7"/>
      <c r="CEI165" s="7"/>
      <c r="CEJ165" s="7"/>
      <c r="CEK165" s="7"/>
      <c r="CEL165" s="7"/>
      <c r="CEM165" s="7"/>
      <c r="CEN165" s="7"/>
      <c r="CEO165" s="7"/>
      <c r="CEP165" s="7"/>
      <c r="CEQ165" s="7"/>
      <c r="CER165" s="7"/>
      <c r="CES165" s="7"/>
      <c r="CET165" s="7"/>
      <c r="CEU165" s="7"/>
      <c r="CEV165" s="7"/>
      <c r="CEW165" s="7"/>
      <c r="CEX165" s="7"/>
      <c r="CEY165" s="7"/>
      <c r="CEZ165" s="7"/>
      <c r="CFA165" s="7"/>
      <c r="CFB165" s="7"/>
      <c r="CFC165" s="7"/>
      <c r="CFD165" s="7"/>
      <c r="CFE165" s="7"/>
      <c r="CFF165" s="7"/>
      <c r="CFG165" s="7"/>
      <c r="CFH165" s="7"/>
      <c r="CFI165" s="7"/>
      <c r="CFJ165" s="7"/>
      <c r="CFK165" s="7"/>
      <c r="CFL165" s="7"/>
      <c r="CFM165" s="7"/>
      <c r="CFN165" s="7"/>
      <c r="CFO165" s="7"/>
      <c r="CFP165" s="7"/>
      <c r="CFQ165" s="7"/>
      <c r="CFR165" s="7"/>
      <c r="CFS165" s="7"/>
      <c r="CFT165" s="7"/>
      <c r="CFU165" s="7"/>
      <c r="CFV165" s="7"/>
      <c r="CFW165" s="7"/>
      <c r="CFX165" s="7"/>
      <c r="CFY165" s="7"/>
      <c r="CFZ165" s="7"/>
      <c r="CGA165" s="7"/>
      <c r="CGB165" s="7"/>
      <c r="CGC165" s="7"/>
      <c r="CGD165" s="7"/>
      <c r="CGE165" s="7"/>
      <c r="CGF165" s="7"/>
      <c r="CGG165" s="7"/>
      <c r="CGH165" s="7"/>
      <c r="CGI165" s="7"/>
      <c r="CGJ165" s="7"/>
      <c r="CGK165" s="7"/>
      <c r="CGL165" s="7"/>
      <c r="CGM165" s="7"/>
      <c r="CGN165" s="7"/>
      <c r="CGO165" s="7"/>
      <c r="CGP165" s="7"/>
      <c r="CGQ165" s="7"/>
      <c r="CGR165" s="7"/>
      <c r="CGS165" s="7"/>
      <c r="CGT165" s="7"/>
      <c r="CGU165" s="7"/>
      <c r="CGV165" s="7"/>
      <c r="CGW165" s="7"/>
      <c r="CGX165" s="7"/>
      <c r="CGY165" s="7"/>
      <c r="CGZ165" s="7"/>
      <c r="CHA165" s="7"/>
      <c r="CHB165" s="7"/>
      <c r="CHC165" s="7"/>
      <c r="CHD165" s="7"/>
      <c r="CHE165" s="7"/>
      <c r="CHF165" s="7"/>
      <c r="CHG165" s="7"/>
      <c r="CHH165" s="7"/>
      <c r="CHI165" s="7"/>
      <c r="CHJ165" s="7"/>
      <c r="CHK165" s="7"/>
      <c r="CHL165" s="7"/>
      <c r="CHM165" s="7"/>
      <c r="CHN165" s="7"/>
      <c r="CHO165" s="7"/>
      <c r="CHP165" s="7"/>
      <c r="CHQ165" s="7"/>
      <c r="CHR165" s="7"/>
      <c r="CHS165" s="7"/>
      <c r="CHT165" s="7"/>
      <c r="CHU165" s="7"/>
      <c r="CHV165" s="7"/>
      <c r="CHW165" s="7"/>
      <c r="CHX165" s="7"/>
      <c r="CHY165" s="7"/>
      <c r="CHZ165" s="7"/>
      <c r="CIA165" s="7"/>
      <c r="CIB165" s="7"/>
      <c r="CIC165" s="7"/>
      <c r="CID165" s="7"/>
      <c r="CIE165" s="7"/>
      <c r="CIF165" s="7"/>
      <c r="CIG165" s="7"/>
      <c r="CIH165" s="7"/>
      <c r="CII165" s="7"/>
      <c r="CIJ165" s="7"/>
      <c r="CIK165" s="7"/>
      <c r="CIL165" s="7"/>
      <c r="CIM165" s="7"/>
      <c r="CIN165" s="7"/>
      <c r="CIO165" s="7"/>
      <c r="CIP165" s="7"/>
      <c r="CIQ165" s="7"/>
      <c r="CIR165" s="7"/>
      <c r="CIS165" s="7"/>
      <c r="CIT165" s="7"/>
      <c r="CIU165" s="7"/>
      <c r="CIV165" s="7"/>
      <c r="CIW165" s="7"/>
      <c r="CIX165" s="7"/>
      <c r="CIY165" s="7"/>
      <c r="CIZ165" s="7"/>
      <c r="CJA165" s="7"/>
      <c r="CJB165" s="7"/>
      <c r="CJC165" s="7"/>
      <c r="CJD165" s="7"/>
      <c r="CJE165" s="7"/>
      <c r="CJF165" s="7"/>
      <c r="CJG165" s="7"/>
      <c r="CJH165" s="7"/>
      <c r="CJI165" s="7"/>
      <c r="CJJ165" s="7"/>
      <c r="CJK165" s="7"/>
      <c r="CJL165" s="7"/>
      <c r="CJM165" s="7"/>
      <c r="CJN165" s="7"/>
      <c r="CJO165" s="7"/>
      <c r="CJP165" s="7"/>
      <c r="CJQ165" s="7"/>
      <c r="CJR165" s="7"/>
      <c r="CJS165" s="7"/>
      <c r="CJT165" s="7"/>
      <c r="CJU165" s="7"/>
      <c r="CJV165" s="7"/>
      <c r="CJW165" s="7"/>
      <c r="CJX165" s="7"/>
      <c r="CJY165" s="7"/>
      <c r="CJZ165" s="7"/>
      <c r="CKA165" s="7"/>
      <c r="CKB165" s="7"/>
      <c r="CKC165" s="7"/>
      <c r="CKD165" s="7"/>
      <c r="CKE165" s="7"/>
      <c r="CKF165" s="7"/>
      <c r="CKG165" s="7"/>
      <c r="CKH165" s="7"/>
      <c r="CKI165" s="7"/>
      <c r="CKJ165" s="7"/>
      <c r="CKK165" s="7"/>
      <c r="CKL165" s="7"/>
      <c r="CKM165" s="7"/>
      <c r="CKN165" s="7"/>
      <c r="CKO165" s="7"/>
      <c r="CKP165" s="7"/>
      <c r="CKQ165" s="7"/>
      <c r="CKR165" s="7"/>
      <c r="CKS165" s="7"/>
      <c r="CKT165" s="7"/>
      <c r="CKU165" s="7"/>
      <c r="CKV165" s="7"/>
      <c r="CKW165" s="7"/>
      <c r="CKX165" s="7"/>
      <c r="CKY165" s="7"/>
      <c r="CKZ165" s="7"/>
      <c r="CLA165" s="7"/>
      <c r="CLB165" s="7"/>
      <c r="CLC165" s="7"/>
      <c r="CLD165" s="7"/>
      <c r="CLE165" s="7"/>
      <c r="CLF165" s="7"/>
      <c r="CLG165" s="7"/>
      <c r="CLH165" s="7"/>
      <c r="CLI165" s="7"/>
      <c r="CLJ165" s="7"/>
      <c r="CLK165" s="7"/>
      <c r="CLL165" s="7"/>
      <c r="CLM165" s="7"/>
      <c r="CLN165" s="7"/>
      <c r="CLO165" s="7"/>
      <c r="CLP165" s="7"/>
      <c r="CLQ165" s="7"/>
      <c r="CLR165" s="7"/>
      <c r="CLS165" s="7"/>
      <c r="CLT165" s="7"/>
      <c r="CLU165" s="7"/>
      <c r="CLV165" s="7"/>
      <c r="CLW165" s="7"/>
      <c r="CLX165" s="7"/>
      <c r="CLY165" s="7"/>
      <c r="CLZ165" s="7"/>
      <c r="CMA165" s="7"/>
      <c r="CMB165" s="7"/>
      <c r="CMC165" s="7"/>
      <c r="CMD165" s="7"/>
      <c r="CME165" s="7"/>
      <c r="CMF165" s="7"/>
      <c r="CMG165" s="7"/>
      <c r="CMH165" s="7"/>
      <c r="CMI165" s="7"/>
      <c r="CMJ165" s="7"/>
      <c r="CMK165" s="7"/>
      <c r="CML165" s="7"/>
      <c r="CMM165" s="7"/>
      <c r="CMN165" s="7"/>
      <c r="CMO165" s="7"/>
      <c r="CMP165" s="7"/>
      <c r="CMQ165" s="7"/>
      <c r="CMR165" s="7"/>
      <c r="CMS165" s="7"/>
      <c r="CMT165" s="7"/>
      <c r="CMU165" s="7"/>
      <c r="CMV165" s="7"/>
      <c r="CMW165" s="7"/>
      <c r="CMX165" s="7"/>
      <c r="CMY165" s="7"/>
      <c r="CMZ165" s="7"/>
      <c r="CNA165" s="7"/>
      <c r="CNB165" s="7"/>
      <c r="CNC165" s="7"/>
      <c r="CND165" s="7"/>
      <c r="CNE165" s="7"/>
      <c r="CNF165" s="7"/>
      <c r="CNG165" s="7"/>
      <c r="CNH165" s="7"/>
      <c r="CNI165" s="7"/>
      <c r="CNJ165" s="7"/>
      <c r="CNK165" s="7"/>
      <c r="CNL165" s="7"/>
      <c r="CNM165" s="7"/>
      <c r="CNN165" s="7"/>
      <c r="CNO165" s="7"/>
      <c r="CNP165" s="7"/>
      <c r="CNQ165" s="7"/>
      <c r="CNR165" s="7"/>
      <c r="CNS165" s="7"/>
      <c r="CNT165" s="7"/>
      <c r="CNU165" s="7"/>
      <c r="CNV165" s="7"/>
      <c r="CNW165" s="7"/>
      <c r="CNX165" s="7"/>
      <c r="CNY165" s="7"/>
      <c r="CNZ165" s="7"/>
      <c r="COA165" s="7"/>
      <c r="COB165" s="7"/>
      <c r="COC165" s="7"/>
      <c r="COD165" s="7"/>
      <c r="COE165" s="7"/>
      <c r="COF165" s="7"/>
      <c r="COG165" s="7"/>
      <c r="COH165" s="7"/>
      <c r="COI165" s="7"/>
      <c r="COJ165" s="7"/>
      <c r="COK165" s="7"/>
      <c r="COL165" s="7"/>
      <c r="COM165" s="7"/>
      <c r="CON165" s="7"/>
      <c r="COO165" s="7"/>
      <c r="COP165" s="7"/>
      <c r="COQ165" s="7"/>
      <c r="COR165" s="7"/>
      <c r="COS165" s="7"/>
      <c r="COT165" s="7"/>
      <c r="COU165" s="7"/>
      <c r="COV165" s="7"/>
      <c r="COW165" s="7"/>
      <c r="COX165" s="7"/>
      <c r="COY165" s="7"/>
      <c r="COZ165" s="7"/>
      <c r="CPA165" s="7"/>
      <c r="CPB165" s="7"/>
      <c r="CPC165" s="7"/>
      <c r="CPD165" s="7"/>
      <c r="CPE165" s="7"/>
      <c r="CPF165" s="7"/>
      <c r="CPG165" s="7"/>
      <c r="CPH165" s="7"/>
      <c r="CPI165" s="7"/>
      <c r="CPJ165" s="7"/>
      <c r="CPK165" s="7"/>
      <c r="CPL165" s="7"/>
      <c r="CPM165" s="7"/>
      <c r="CPN165" s="7"/>
      <c r="CPO165" s="7"/>
      <c r="CPP165" s="7"/>
      <c r="CPQ165" s="7"/>
      <c r="CPR165" s="7"/>
      <c r="CPS165" s="7"/>
      <c r="CPT165" s="7"/>
      <c r="CPU165" s="7"/>
      <c r="CPV165" s="7"/>
      <c r="CPW165" s="7"/>
      <c r="CPX165" s="7"/>
      <c r="CPY165" s="7"/>
      <c r="CPZ165" s="7"/>
      <c r="CQA165" s="7"/>
      <c r="CQB165" s="7"/>
      <c r="CQC165" s="7"/>
      <c r="CQD165" s="7"/>
      <c r="CQE165" s="7"/>
      <c r="CQF165" s="7"/>
      <c r="CQG165" s="7"/>
      <c r="CQH165" s="7"/>
      <c r="CQI165" s="7"/>
      <c r="CQJ165" s="7"/>
      <c r="CQK165" s="7"/>
      <c r="CQL165" s="7"/>
      <c r="CQM165" s="7"/>
      <c r="CQN165" s="7"/>
      <c r="CQO165" s="7"/>
      <c r="CQP165" s="7"/>
      <c r="CQQ165" s="7"/>
      <c r="CQR165" s="7"/>
      <c r="CQS165" s="7"/>
      <c r="CQT165" s="7"/>
      <c r="CQU165" s="7"/>
      <c r="CQV165" s="7"/>
      <c r="CQW165" s="7"/>
      <c r="CQX165" s="7"/>
      <c r="CQY165" s="7"/>
      <c r="CQZ165" s="7"/>
      <c r="CRA165" s="7"/>
      <c r="CRB165" s="7"/>
      <c r="CRC165" s="7"/>
      <c r="CRD165" s="7"/>
      <c r="CRE165" s="7"/>
      <c r="CRF165" s="7"/>
      <c r="CRG165" s="7"/>
      <c r="CRH165" s="7"/>
      <c r="CRI165" s="7"/>
      <c r="CRJ165" s="7"/>
      <c r="CRK165" s="7"/>
      <c r="CRL165" s="7"/>
      <c r="CRM165" s="7"/>
      <c r="CRN165" s="7"/>
      <c r="CRO165" s="7"/>
      <c r="CRP165" s="7"/>
      <c r="CRQ165" s="7"/>
      <c r="CRR165" s="7"/>
      <c r="CRS165" s="7"/>
      <c r="CRT165" s="7"/>
      <c r="CRU165" s="7"/>
      <c r="CRV165" s="7"/>
      <c r="CRW165" s="7"/>
      <c r="CRX165" s="7"/>
      <c r="CRY165" s="7"/>
      <c r="CRZ165" s="7"/>
      <c r="CSA165" s="7"/>
      <c r="CSB165" s="7"/>
      <c r="CSC165" s="7"/>
      <c r="CSD165" s="7"/>
      <c r="CSE165" s="7"/>
      <c r="CSF165" s="7"/>
      <c r="CSG165" s="7"/>
      <c r="CSH165" s="7"/>
      <c r="CSI165" s="7"/>
      <c r="CSJ165" s="7"/>
      <c r="CSK165" s="7"/>
      <c r="CSL165" s="7"/>
      <c r="CSM165" s="7"/>
      <c r="CSN165" s="7"/>
      <c r="CSO165" s="7"/>
      <c r="CSP165" s="7"/>
      <c r="CSQ165" s="7"/>
      <c r="CSR165" s="7"/>
      <c r="CSS165" s="7"/>
      <c r="CST165" s="7"/>
      <c r="CSU165" s="7"/>
      <c r="CSV165" s="7"/>
      <c r="CSW165" s="7"/>
      <c r="CSX165" s="7"/>
      <c r="CSY165" s="7"/>
      <c r="CSZ165" s="7"/>
      <c r="CTA165" s="7"/>
      <c r="CTB165" s="7"/>
      <c r="CTC165" s="7"/>
      <c r="CTD165" s="7"/>
      <c r="CTE165" s="7"/>
      <c r="CTF165" s="7"/>
      <c r="CTG165" s="7"/>
      <c r="CTH165" s="7"/>
      <c r="CTI165" s="7"/>
      <c r="CTJ165" s="7"/>
      <c r="CTK165" s="7"/>
      <c r="CTL165" s="7"/>
      <c r="CTM165" s="7"/>
      <c r="CTN165" s="7"/>
      <c r="CTO165" s="7"/>
      <c r="CTP165" s="7"/>
      <c r="CTQ165" s="7"/>
      <c r="CTR165" s="7"/>
      <c r="CTS165" s="7"/>
      <c r="CTT165" s="7"/>
      <c r="CTU165" s="7"/>
      <c r="CTV165" s="7"/>
      <c r="CTW165" s="7"/>
      <c r="CTX165" s="7"/>
      <c r="CTY165" s="7"/>
      <c r="CTZ165" s="7"/>
      <c r="CUA165" s="7"/>
      <c r="CUB165" s="7"/>
      <c r="CUC165" s="7"/>
      <c r="CUD165" s="7"/>
      <c r="CUE165" s="7"/>
      <c r="CUF165" s="7"/>
      <c r="CUG165" s="7"/>
      <c r="CUH165" s="7"/>
      <c r="CUI165" s="7"/>
      <c r="CUJ165" s="7"/>
      <c r="CUK165" s="7"/>
      <c r="CUL165" s="7"/>
      <c r="CUM165" s="7"/>
      <c r="CUN165" s="7"/>
      <c r="CUO165" s="7"/>
      <c r="CUP165" s="7"/>
      <c r="CUQ165" s="7"/>
      <c r="CUR165" s="7"/>
      <c r="CUS165" s="7"/>
      <c r="CUT165" s="7"/>
      <c r="CUU165" s="7"/>
      <c r="CUV165" s="7"/>
      <c r="CUW165" s="7"/>
      <c r="CUX165" s="7"/>
      <c r="CUY165" s="7"/>
      <c r="CUZ165" s="7"/>
      <c r="CVA165" s="7"/>
      <c r="CVB165" s="7"/>
      <c r="CVC165" s="7"/>
      <c r="CVD165" s="7"/>
      <c r="CVE165" s="7"/>
      <c r="CVF165" s="7"/>
      <c r="CVG165" s="7"/>
      <c r="CVH165" s="7"/>
      <c r="CVI165" s="7"/>
      <c r="CVJ165" s="7"/>
      <c r="CVK165" s="7"/>
      <c r="CVL165" s="7"/>
      <c r="CVM165" s="7"/>
      <c r="CVN165" s="7"/>
      <c r="CVO165" s="7"/>
      <c r="CVP165" s="7"/>
      <c r="CVQ165" s="7"/>
      <c r="CVR165" s="7"/>
      <c r="CVS165" s="7"/>
      <c r="CVT165" s="7"/>
      <c r="CVU165" s="7"/>
      <c r="CVV165" s="7"/>
      <c r="CVW165" s="7"/>
      <c r="CVX165" s="7"/>
      <c r="CVY165" s="7"/>
      <c r="CVZ165" s="7"/>
      <c r="CWA165" s="7"/>
      <c r="CWB165" s="7"/>
      <c r="CWC165" s="7"/>
      <c r="CWD165" s="7"/>
      <c r="CWE165" s="7"/>
      <c r="CWF165" s="7"/>
      <c r="CWG165" s="7"/>
      <c r="CWH165" s="7"/>
      <c r="CWI165" s="7"/>
      <c r="CWJ165" s="7"/>
      <c r="CWK165" s="7"/>
      <c r="CWL165" s="7"/>
      <c r="CWM165" s="7"/>
      <c r="CWN165" s="7"/>
      <c r="CWO165" s="7"/>
      <c r="CWP165" s="7"/>
      <c r="CWQ165" s="7"/>
      <c r="CWR165" s="7"/>
      <c r="CWS165" s="7"/>
      <c r="CWT165" s="7"/>
      <c r="CWU165" s="7"/>
      <c r="CWV165" s="7"/>
      <c r="CWW165" s="7"/>
      <c r="CWX165" s="7"/>
      <c r="CWY165" s="7"/>
      <c r="CWZ165" s="7"/>
      <c r="CXA165" s="7"/>
      <c r="CXB165" s="7"/>
      <c r="CXC165" s="7"/>
      <c r="CXD165" s="7"/>
      <c r="CXE165" s="7"/>
      <c r="CXF165" s="7"/>
      <c r="CXG165" s="7"/>
      <c r="CXH165" s="7"/>
      <c r="CXI165" s="7"/>
      <c r="CXJ165" s="7"/>
      <c r="CXK165" s="7"/>
      <c r="CXL165" s="7"/>
      <c r="CXM165" s="7"/>
      <c r="CXN165" s="7"/>
      <c r="CXO165" s="7"/>
      <c r="CXP165" s="7"/>
      <c r="CXQ165" s="7"/>
      <c r="CXR165" s="7"/>
      <c r="CXS165" s="7"/>
      <c r="CXT165" s="7"/>
      <c r="CXU165" s="7"/>
      <c r="CXV165" s="7"/>
      <c r="CXW165" s="7"/>
      <c r="CXX165" s="7"/>
      <c r="CXY165" s="7"/>
      <c r="CXZ165" s="7"/>
      <c r="CYA165" s="7"/>
      <c r="CYB165" s="7"/>
      <c r="CYC165" s="7"/>
      <c r="CYD165" s="7"/>
      <c r="CYE165" s="7"/>
      <c r="CYF165" s="7"/>
      <c r="CYG165" s="7"/>
      <c r="CYH165" s="7"/>
      <c r="CYI165" s="7"/>
      <c r="CYJ165" s="7"/>
      <c r="CYK165" s="7"/>
      <c r="CYL165" s="7"/>
      <c r="CYM165" s="7"/>
      <c r="CYN165" s="7"/>
      <c r="CYO165" s="7"/>
      <c r="CYP165" s="7"/>
      <c r="CYQ165" s="7"/>
      <c r="CYR165" s="7"/>
      <c r="CYS165" s="7"/>
      <c r="CYT165" s="7"/>
      <c r="CYU165" s="7"/>
      <c r="CYV165" s="7"/>
      <c r="CYW165" s="7"/>
      <c r="CYX165" s="7"/>
      <c r="CYY165" s="7"/>
      <c r="CYZ165" s="7"/>
      <c r="CZA165" s="7"/>
      <c r="CZB165" s="7"/>
      <c r="CZC165" s="7"/>
      <c r="CZD165" s="7"/>
      <c r="CZE165" s="7"/>
      <c r="CZF165" s="7"/>
      <c r="CZG165" s="7"/>
      <c r="CZH165" s="7"/>
      <c r="CZI165" s="7"/>
      <c r="CZJ165" s="7"/>
      <c r="CZK165" s="7"/>
      <c r="CZL165" s="7"/>
      <c r="CZM165" s="7"/>
      <c r="CZN165" s="7"/>
      <c r="CZO165" s="7"/>
      <c r="CZP165" s="7"/>
      <c r="CZQ165" s="7"/>
      <c r="CZR165" s="7"/>
      <c r="CZS165" s="7"/>
      <c r="CZT165" s="7"/>
      <c r="CZU165" s="7"/>
      <c r="CZV165" s="7"/>
      <c r="CZW165" s="7"/>
      <c r="CZX165" s="7"/>
      <c r="CZY165" s="7"/>
      <c r="CZZ165" s="7"/>
      <c r="DAA165" s="7"/>
      <c r="DAB165" s="7"/>
      <c r="DAC165" s="7"/>
      <c r="DAD165" s="7"/>
      <c r="DAE165" s="7"/>
      <c r="DAF165" s="7"/>
      <c r="DAG165" s="7"/>
      <c r="DAH165" s="7"/>
      <c r="DAI165" s="7"/>
      <c r="DAJ165" s="7"/>
      <c r="DAK165" s="7"/>
      <c r="DAL165" s="7"/>
      <c r="DAM165" s="7"/>
      <c r="DAN165" s="7"/>
      <c r="DAO165" s="7"/>
      <c r="DAP165" s="7"/>
      <c r="DAQ165" s="7"/>
      <c r="DAR165" s="7"/>
      <c r="DAS165" s="7"/>
      <c r="DAT165" s="7"/>
      <c r="DAU165" s="7"/>
      <c r="DAV165" s="7"/>
      <c r="DAW165" s="7"/>
      <c r="DAX165" s="7"/>
      <c r="DAY165" s="7"/>
      <c r="DAZ165" s="7"/>
      <c r="DBA165" s="7"/>
      <c r="DBB165" s="7"/>
      <c r="DBC165" s="7"/>
      <c r="DBD165" s="7"/>
      <c r="DBE165" s="7"/>
      <c r="DBF165" s="7"/>
      <c r="DBG165" s="7"/>
      <c r="DBH165" s="7"/>
      <c r="DBI165" s="7"/>
      <c r="DBJ165" s="7"/>
      <c r="DBK165" s="7"/>
      <c r="DBL165" s="7"/>
      <c r="DBM165" s="7"/>
      <c r="DBN165" s="7"/>
      <c r="DBO165" s="7"/>
      <c r="DBP165" s="7"/>
      <c r="DBQ165" s="7"/>
      <c r="DBR165" s="7"/>
      <c r="DBS165" s="7"/>
      <c r="DBT165" s="7"/>
      <c r="DBU165" s="7"/>
      <c r="DBV165" s="7"/>
      <c r="DBW165" s="7"/>
      <c r="DBX165" s="7"/>
      <c r="DBY165" s="7"/>
      <c r="DBZ165" s="7"/>
      <c r="DCA165" s="7"/>
      <c r="DCB165" s="7"/>
      <c r="DCC165" s="7"/>
      <c r="DCD165" s="7"/>
      <c r="DCE165" s="7"/>
      <c r="DCF165" s="7"/>
      <c r="DCG165" s="7"/>
      <c r="DCH165" s="7"/>
      <c r="DCI165" s="7"/>
      <c r="DCJ165" s="7"/>
      <c r="DCK165" s="7"/>
      <c r="DCL165" s="7"/>
      <c r="DCM165" s="7"/>
      <c r="DCN165" s="7"/>
      <c r="DCO165" s="7"/>
      <c r="DCP165" s="7"/>
      <c r="DCQ165" s="7"/>
      <c r="DCR165" s="7"/>
      <c r="DCS165" s="7"/>
      <c r="DCT165" s="7"/>
      <c r="DCU165" s="7"/>
      <c r="DCV165" s="7"/>
      <c r="DCW165" s="7"/>
      <c r="DCX165" s="7"/>
      <c r="DCY165" s="7"/>
      <c r="DCZ165" s="7"/>
      <c r="DDA165" s="7"/>
      <c r="DDB165" s="7"/>
      <c r="DDC165" s="7"/>
      <c r="DDD165" s="7"/>
      <c r="DDE165" s="7"/>
      <c r="DDF165" s="7"/>
      <c r="DDG165" s="7"/>
      <c r="DDH165" s="7"/>
      <c r="DDI165" s="7"/>
      <c r="DDJ165" s="7"/>
      <c r="DDK165" s="7"/>
      <c r="DDL165" s="7"/>
      <c r="DDM165" s="7"/>
      <c r="DDN165" s="7"/>
      <c r="DDO165" s="7"/>
      <c r="DDP165" s="7"/>
      <c r="DDQ165" s="7"/>
      <c r="DDR165" s="7"/>
      <c r="DDS165" s="7"/>
      <c r="DDT165" s="7"/>
      <c r="DDU165" s="7"/>
      <c r="DDV165" s="7"/>
      <c r="DDW165" s="7"/>
      <c r="DDX165" s="7"/>
      <c r="DDY165" s="7"/>
      <c r="DDZ165" s="7"/>
      <c r="DEA165" s="7"/>
      <c r="DEB165" s="7"/>
      <c r="DEC165" s="7"/>
      <c r="DED165" s="7"/>
      <c r="DEE165" s="7"/>
      <c r="DEF165" s="7"/>
      <c r="DEG165" s="7"/>
      <c r="DEH165" s="7"/>
      <c r="DEI165" s="7"/>
      <c r="DEJ165" s="7"/>
      <c r="DEK165" s="7"/>
      <c r="DEL165" s="7"/>
      <c r="DEM165" s="7"/>
      <c r="DEN165" s="7"/>
      <c r="DEO165" s="7"/>
      <c r="DEP165" s="7"/>
      <c r="DEQ165" s="7"/>
      <c r="DER165" s="7"/>
      <c r="DES165" s="7"/>
      <c r="DET165" s="7"/>
      <c r="DEU165" s="7"/>
      <c r="DEV165" s="7"/>
      <c r="DEW165" s="7"/>
      <c r="DEX165" s="7"/>
      <c r="DEY165" s="7"/>
      <c r="DEZ165" s="7"/>
      <c r="DFA165" s="7"/>
      <c r="DFB165" s="7"/>
      <c r="DFC165" s="7"/>
      <c r="DFD165" s="7"/>
      <c r="DFE165" s="7"/>
      <c r="DFF165" s="7"/>
      <c r="DFG165" s="7"/>
      <c r="DFH165" s="7"/>
      <c r="DFI165" s="7"/>
      <c r="DFJ165" s="7"/>
      <c r="DFK165" s="7"/>
      <c r="DFL165" s="7"/>
      <c r="DFM165" s="7"/>
      <c r="DFN165" s="7"/>
      <c r="DFO165" s="7"/>
      <c r="DFP165" s="7"/>
      <c r="DFQ165" s="7"/>
      <c r="DFR165" s="7"/>
      <c r="DFS165" s="7"/>
      <c r="DFT165" s="7"/>
      <c r="DFU165" s="7"/>
      <c r="DFV165" s="7"/>
      <c r="DFW165" s="7"/>
      <c r="DFX165" s="7"/>
      <c r="DFY165" s="7"/>
      <c r="DFZ165" s="7"/>
      <c r="DGA165" s="7"/>
      <c r="DGB165" s="7"/>
      <c r="DGC165" s="7"/>
      <c r="DGD165" s="7"/>
      <c r="DGE165" s="7"/>
      <c r="DGF165" s="7"/>
      <c r="DGG165" s="7"/>
      <c r="DGH165" s="7"/>
      <c r="DGI165" s="7"/>
      <c r="DGJ165" s="7"/>
      <c r="DGK165" s="7"/>
      <c r="DGL165" s="7"/>
      <c r="DGM165" s="7"/>
      <c r="DGN165" s="7"/>
      <c r="DGO165" s="7"/>
      <c r="DGP165" s="7"/>
      <c r="DGQ165" s="7"/>
      <c r="DGR165" s="7"/>
      <c r="DGS165" s="7"/>
      <c r="DGT165" s="7"/>
      <c r="DGU165" s="7"/>
      <c r="DGV165" s="7"/>
      <c r="DGW165" s="7"/>
      <c r="DGX165" s="7"/>
      <c r="DGY165" s="7"/>
      <c r="DGZ165" s="7"/>
      <c r="DHA165" s="7"/>
      <c r="DHB165" s="7"/>
      <c r="DHC165" s="7"/>
      <c r="DHD165" s="7"/>
      <c r="DHE165" s="7"/>
      <c r="DHF165" s="7"/>
      <c r="DHG165" s="7"/>
      <c r="DHH165" s="7"/>
      <c r="DHI165" s="7"/>
      <c r="DHJ165" s="7"/>
      <c r="DHK165" s="7"/>
      <c r="DHL165" s="7"/>
      <c r="DHM165" s="7"/>
      <c r="DHN165" s="7"/>
      <c r="DHO165" s="7"/>
      <c r="DHP165" s="7"/>
      <c r="DHQ165" s="7"/>
      <c r="DHR165" s="7"/>
      <c r="DHS165" s="7"/>
      <c r="DHT165" s="7"/>
      <c r="DHU165" s="7"/>
      <c r="DHV165" s="7"/>
      <c r="DHW165" s="7"/>
      <c r="DHX165" s="7"/>
      <c r="DHY165" s="7"/>
      <c r="DHZ165" s="7"/>
      <c r="DIA165" s="7"/>
      <c r="DIB165" s="7"/>
      <c r="DIC165" s="7"/>
      <c r="DID165" s="7"/>
      <c r="DIE165" s="7"/>
      <c r="DIF165" s="7"/>
      <c r="DIG165" s="7"/>
      <c r="DIH165" s="7"/>
      <c r="DII165" s="7"/>
      <c r="DIJ165" s="7"/>
      <c r="DIK165" s="7"/>
      <c r="DIL165" s="7"/>
      <c r="DIM165" s="7"/>
      <c r="DIN165" s="7"/>
      <c r="DIO165" s="7"/>
      <c r="DIP165" s="7"/>
      <c r="DIQ165" s="7"/>
      <c r="DIR165" s="7"/>
      <c r="DIS165" s="7"/>
      <c r="DIT165" s="7"/>
      <c r="DIU165" s="7"/>
      <c r="DIV165" s="7"/>
      <c r="DIW165" s="7"/>
      <c r="DIX165" s="7"/>
      <c r="DIY165" s="7"/>
      <c r="DIZ165" s="7"/>
      <c r="DJA165" s="7"/>
      <c r="DJB165" s="7"/>
      <c r="DJC165" s="7"/>
      <c r="DJD165" s="7"/>
      <c r="DJE165" s="7"/>
      <c r="DJF165" s="7"/>
      <c r="DJG165" s="7"/>
      <c r="DJH165" s="7"/>
      <c r="DJI165" s="7"/>
      <c r="DJJ165" s="7"/>
      <c r="DJK165" s="7"/>
      <c r="DJL165" s="7"/>
      <c r="DJM165" s="7"/>
      <c r="DJN165" s="7"/>
      <c r="DJO165" s="7"/>
      <c r="DJP165" s="7"/>
      <c r="DJQ165" s="7"/>
      <c r="DJR165" s="7"/>
      <c r="DJS165" s="7"/>
      <c r="DJT165" s="7"/>
      <c r="DJU165" s="7"/>
      <c r="DJV165" s="7"/>
      <c r="DJW165" s="7"/>
      <c r="DJX165" s="7"/>
      <c r="DJY165" s="7"/>
      <c r="DJZ165" s="7"/>
      <c r="DKA165" s="7"/>
      <c r="DKB165" s="7"/>
      <c r="DKC165" s="7"/>
      <c r="DKD165" s="7"/>
      <c r="DKE165" s="7"/>
      <c r="DKF165" s="7"/>
      <c r="DKG165" s="7"/>
      <c r="DKH165" s="7"/>
      <c r="DKI165" s="7"/>
      <c r="DKJ165" s="7"/>
      <c r="DKK165" s="7"/>
      <c r="DKL165" s="7"/>
      <c r="DKM165" s="7"/>
      <c r="DKN165" s="7"/>
      <c r="DKO165" s="7"/>
      <c r="DKP165" s="7"/>
      <c r="DKQ165" s="7"/>
      <c r="DKR165" s="7"/>
      <c r="DKS165" s="7"/>
      <c r="DKT165" s="7"/>
      <c r="DKU165" s="7"/>
      <c r="DKV165" s="7"/>
      <c r="DKW165" s="7"/>
      <c r="DKX165" s="7"/>
      <c r="DKY165" s="7"/>
      <c r="DKZ165" s="7"/>
      <c r="DLA165" s="7"/>
      <c r="DLB165" s="7"/>
      <c r="DLC165" s="7"/>
      <c r="DLD165" s="7"/>
      <c r="DLE165" s="7"/>
      <c r="DLF165" s="7"/>
      <c r="DLG165" s="7"/>
      <c r="DLH165" s="7"/>
      <c r="DLI165" s="7"/>
      <c r="DLJ165" s="7"/>
      <c r="DLK165" s="7"/>
      <c r="DLL165" s="7"/>
      <c r="DLM165" s="7"/>
      <c r="DLN165" s="7"/>
      <c r="DLO165" s="7"/>
      <c r="DLP165" s="7"/>
      <c r="DLQ165" s="7"/>
      <c r="DLR165" s="7"/>
      <c r="DLS165" s="7"/>
      <c r="DLT165" s="7"/>
      <c r="DLU165" s="7"/>
      <c r="DLV165" s="7"/>
      <c r="DLW165" s="7"/>
      <c r="DLX165" s="7"/>
      <c r="DLY165" s="7"/>
      <c r="DLZ165" s="7"/>
      <c r="DMA165" s="7"/>
      <c r="DMB165" s="7"/>
      <c r="DMC165" s="7"/>
      <c r="DMD165" s="7"/>
      <c r="DME165" s="7"/>
      <c r="DMF165" s="7"/>
      <c r="DMG165" s="7"/>
      <c r="DMH165" s="7"/>
      <c r="DMI165" s="7"/>
      <c r="DMJ165" s="7"/>
      <c r="DMK165" s="7"/>
      <c r="DML165" s="7"/>
      <c r="DMM165" s="7"/>
      <c r="DMN165" s="7"/>
      <c r="DMO165" s="7"/>
      <c r="DMP165" s="7"/>
      <c r="DMQ165" s="7"/>
      <c r="DMR165" s="7"/>
      <c r="DMS165" s="7"/>
      <c r="DMT165" s="7"/>
      <c r="DMU165" s="7"/>
      <c r="DMV165" s="7"/>
      <c r="DMW165" s="7"/>
      <c r="DMX165" s="7"/>
      <c r="DMY165" s="7"/>
      <c r="DMZ165" s="7"/>
      <c r="DNA165" s="7"/>
      <c r="DNB165" s="7"/>
      <c r="DNC165" s="7"/>
      <c r="DND165" s="7"/>
      <c r="DNE165" s="7"/>
      <c r="DNF165" s="7"/>
      <c r="DNG165" s="7"/>
      <c r="DNH165" s="7"/>
      <c r="DNI165" s="7"/>
      <c r="DNJ165" s="7"/>
      <c r="DNK165" s="7"/>
      <c r="DNL165" s="7"/>
      <c r="DNM165" s="7"/>
      <c r="DNN165" s="7"/>
      <c r="DNO165" s="7"/>
      <c r="DNP165" s="7"/>
      <c r="DNQ165" s="7"/>
      <c r="DNR165" s="7"/>
      <c r="DNS165" s="7"/>
      <c r="DNT165" s="7"/>
      <c r="DNU165" s="7"/>
      <c r="DNV165" s="7"/>
      <c r="DNW165" s="7"/>
      <c r="DNX165" s="7"/>
      <c r="DNY165" s="7"/>
      <c r="DNZ165" s="7"/>
      <c r="DOA165" s="7"/>
      <c r="DOB165" s="7"/>
      <c r="DOC165" s="7"/>
      <c r="DOD165" s="7"/>
      <c r="DOE165" s="7"/>
      <c r="DOF165" s="7"/>
      <c r="DOG165" s="7"/>
      <c r="DOH165" s="7"/>
      <c r="DOI165" s="7"/>
      <c r="DOJ165" s="7"/>
      <c r="DOK165" s="7"/>
      <c r="DOL165" s="7"/>
      <c r="DOM165" s="7"/>
      <c r="DON165" s="7"/>
      <c r="DOO165" s="7"/>
      <c r="DOP165" s="7"/>
      <c r="DOQ165" s="7"/>
      <c r="DOR165" s="7"/>
      <c r="DOS165" s="7"/>
      <c r="DOT165" s="7"/>
      <c r="DOU165" s="7"/>
      <c r="DOV165" s="7"/>
      <c r="DOW165" s="7"/>
      <c r="DOX165" s="7"/>
      <c r="DOY165" s="7"/>
      <c r="DOZ165" s="7"/>
      <c r="DPA165" s="7"/>
      <c r="DPB165" s="7"/>
      <c r="DPC165" s="7"/>
      <c r="DPD165" s="7"/>
      <c r="DPE165" s="7"/>
      <c r="DPF165" s="7"/>
      <c r="DPG165" s="7"/>
      <c r="DPH165" s="7"/>
      <c r="DPI165" s="7"/>
      <c r="DPJ165" s="7"/>
      <c r="DPK165" s="7"/>
      <c r="DPL165" s="7"/>
      <c r="DPM165" s="7"/>
      <c r="DPN165" s="7"/>
      <c r="DPO165" s="7"/>
      <c r="DPP165" s="7"/>
      <c r="DPQ165" s="7"/>
      <c r="DPR165" s="7"/>
      <c r="DPS165" s="7"/>
      <c r="DPT165" s="7"/>
      <c r="DPU165" s="7"/>
      <c r="DPV165" s="7"/>
      <c r="DPW165" s="7"/>
      <c r="DPX165" s="7"/>
      <c r="DPY165" s="7"/>
      <c r="DPZ165" s="7"/>
      <c r="DQA165" s="7"/>
      <c r="DQB165" s="7"/>
      <c r="DQC165" s="7"/>
      <c r="DQD165" s="7"/>
      <c r="DQE165" s="7"/>
      <c r="DQF165" s="7"/>
      <c r="DQG165" s="7"/>
      <c r="DQH165" s="7"/>
      <c r="DQI165" s="7"/>
      <c r="DQJ165" s="7"/>
      <c r="DQK165" s="7"/>
      <c r="DQL165" s="7"/>
      <c r="DQM165" s="7"/>
      <c r="DQN165" s="7"/>
      <c r="DQO165" s="7"/>
      <c r="DQP165" s="7"/>
      <c r="DQQ165" s="7"/>
      <c r="DQR165" s="7"/>
      <c r="DQS165" s="7"/>
      <c r="DQT165" s="7"/>
      <c r="DQU165" s="7"/>
      <c r="DQV165" s="7"/>
      <c r="DQW165" s="7"/>
      <c r="DQX165" s="7"/>
      <c r="DQY165" s="7"/>
      <c r="DQZ165" s="7"/>
      <c r="DRA165" s="7"/>
      <c r="DRB165" s="7"/>
      <c r="DRC165" s="7"/>
      <c r="DRD165" s="7"/>
      <c r="DRE165" s="7"/>
      <c r="DRF165" s="7"/>
      <c r="DRG165" s="7"/>
      <c r="DRH165" s="7"/>
      <c r="DRI165" s="7"/>
      <c r="DRJ165" s="7"/>
      <c r="DRK165" s="7"/>
      <c r="DRL165" s="7"/>
      <c r="DRM165" s="7"/>
      <c r="DRN165" s="7"/>
      <c r="DRO165" s="7"/>
      <c r="DRP165" s="7"/>
      <c r="DRQ165" s="7"/>
      <c r="DRR165" s="7"/>
      <c r="DRS165" s="7"/>
      <c r="DRT165" s="7"/>
      <c r="DRU165" s="7"/>
      <c r="DRV165" s="7"/>
      <c r="DRW165" s="7"/>
      <c r="DRX165" s="7"/>
      <c r="DRY165" s="7"/>
      <c r="DRZ165" s="7"/>
      <c r="DSA165" s="7"/>
      <c r="DSB165" s="7"/>
      <c r="DSC165" s="7"/>
      <c r="DSD165" s="7"/>
      <c r="DSE165" s="7"/>
      <c r="DSF165" s="7"/>
      <c r="DSG165" s="7"/>
      <c r="DSH165" s="7"/>
      <c r="DSI165" s="7"/>
      <c r="DSJ165" s="7"/>
      <c r="DSK165" s="7"/>
      <c r="DSL165" s="7"/>
      <c r="DSM165" s="7"/>
      <c r="DSN165" s="7"/>
      <c r="DSO165" s="7"/>
      <c r="DSP165" s="7"/>
      <c r="DSQ165" s="7"/>
      <c r="DSR165" s="7"/>
      <c r="DSS165" s="7"/>
      <c r="DST165" s="7"/>
      <c r="DSU165" s="7"/>
      <c r="DSV165" s="7"/>
      <c r="DSW165" s="7"/>
      <c r="DSX165" s="7"/>
      <c r="DSY165" s="7"/>
      <c r="DSZ165" s="7"/>
      <c r="DTA165" s="7"/>
      <c r="DTB165" s="7"/>
      <c r="DTC165" s="7"/>
      <c r="DTD165" s="7"/>
      <c r="DTE165" s="7"/>
      <c r="DTF165" s="7"/>
      <c r="DTG165" s="7"/>
      <c r="DTH165" s="7"/>
      <c r="DTI165" s="7"/>
      <c r="DTJ165" s="7"/>
      <c r="DTK165" s="7"/>
      <c r="DTL165" s="7"/>
      <c r="DTM165" s="7"/>
      <c r="DTN165" s="7"/>
      <c r="DTO165" s="7"/>
      <c r="DTP165" s="7"/>
      <c r="DTQ165" s="7"/>
      <c r="DTR165" s="7"/>
      <c r="DTS165" s="7"/>
      <c r="DTT165" s="7"/>
      <c r="DTU165" s="7"/>
      <c r="DTV165" s="7"/>
      <c r="DTW165" s="7"/>
      <c r="DTX165" s="7"/>
      <c r="DTY165" s="7"/>
      <c r="DTZ165" s="7"/>
      <c r="DUA165" s="7"/>
      <c r="DUB165" s="7"/>
      <c r="DUC165" s="7"/>
      <c r="DUD165" s="7"/>
      <c r="DUE165" s="7"/>
      <c r="DUF165" s="7"/>
      <c r="DUG165" s="7"/>
      <c r="DUH165" s="7"/>
      <c r="DUI165" s="7"/>
      <c r="DUJ165" s="7"/>
      <c r="DUK165" s="7"/>
      <c r="DUL165" s="7"/>
      <c r="DUM165" s="7"/>
      <c r="DUN165" s="7"/>
      <c r="DUO165" s="7"/>
      <c r="DUP165" s="7"/>
      <c r="DUQ165" s="7"/>
      <c r="DUR165" s="7"/>
      <c r="DUS165" s="7"/>
      <c r="DUT165" s="7"/>
      <c r="DUU165" s="7"/>
      <c r="DUV165" s="7"/>
      <c r="DUW165" s="7"/>
      <c r="DUX165" s="7"/>
      <c r="DUY165" s="7"/>
      <c r="DUZ165" s="7"/>
      <c r="DVA165" s="7"/>
      <c r="DVB165" s="7"/>
      <c r="DVC165" s="7"/>
      <c r="DVD165" s="7"/>
      <c r="DVE165" s="7"/>
      <c r="DVF165" s="7"/>
      <c r="DVG165" s="7"/>
      <c r="DVH165" s="7"/>
      <c r="DVI165" s="7"/>
      <c r="DVJ165" s="7"/>
      <c r="DVK165" s="7"/>
      <c r="DVL165" s="7"/>
      <c r="DVM165" s="7"/>
      <c r="DVN165" s="7"/>
      <c r="DVO165" s="7"/>
      <c r="DVP165" s="7"/>
      <c r="DVQ165" s="7"/>
      <c r="DVR165" s="7"/>
      <c r="DVS165" s="7"/>
      <c r="DVT165" s="7"/>
      <c r="DVU165" s="7"/>
      <c r="DVV165" s="7"/>
      <c r="DVW165" s="7"/>
      <c r="DVX165" s="7"/>
      <c r="DVY165" s="7"/>
      <c r="DVZ165" s="7"/>
      <c r="DWA165" s="7"/>
      <c r="DWB165" s="7"/>
      <c r="DWC165" s="7"/>
      <c r="DWD165" s="7"/>
      <c r="DWE165" s="7"/>
      <c r="DWF165" s="7"/>
      <c r="DWG165" s="7"/>
      <c r="DWH165" s="7"/>
      <c r="DWI165" s="7"/>
      <c r="DWJ165" s="7"/>
      <c r="DWK165" s="7"/>
      <c r="DWL165" s="7"/>
      <c r="DWM165" s="7"/>
      <c r="DWN165" s="7"/>
      <c r="DWO165" s="7"/>
      <c r="DWP165" s="7"/>
      <c r="DWQ165" s="7"/>
      <c r="DWR165" s="7"/>
      <c r="DWS165" s="7"/>
      <c r="DWT165" s="7"/>
      <c r="DWU165" s="7"/>
      <c r="DWV165" s="7"/>
      <c r="DWW165" s="7"/>
      <c r="DWX165" s="7"/>
      <c r="DWY165" s="7"/>
      <c r="DWZ165" s="7"/>
      <c r="DXA165" s="7"/>
      <c r="DXB165" s="7"/>
      <c r="DXC165" s="7"/>
      <c r="DXD165" s="7"/>
      <c r="DXE165" s="7"/>
      <c r="DXF165" s="7"/>
      <c r="DXG165" s="7"/>
      <c r="DXH165" s="7"/>
      <c r="DXI165" s="7"/>
      <c r="DXJ165" s="7"/>
      <c r="DXK165" s="7"/>
      <c r="DXL165" s="7"/>
      <c r="DXM165" s="7"/>
      <c r="DXN165" s="7"/>
      <c r="DXO165" s="7"/>
      <c r="DXP165" s="7"/>
      <c r="DXQ165" s="7"/>
      <c r="DXR165" s="7"/>
      <c r="DXS165" s="7"/>
      <c r="DXT165" s="7"/>
      <c r="DXU165" s="7"/>
      <c r="DXV165" s="7"/>
      <c r="DXW165" s="7"/>
      <c r="DXX165" s="7"/>
      <c r="DXY165" s="7"/>
      <c r="DXZ165" s="7"/>
      <c r="DYA165" s="7"/>
      <c r="DYB165" s="7"/>
      <c r="DYC165" s="7"/>
      <c r="DYD165" s="7"/>
      <c r="DYE165" s="7"/>
      <c r="DYF165" s="7"/>
      <c r="DYG165" s="7"/>
      <c r="DYH165" s="7"/>
      <c r="DYI165" s="7"/>
      <c r="DYJ165" s="7"/>
      <c r="DYK165" s="7"/>
      <c r="DYL165" s="7"/>
      <c r="DYM165" s="7"/>
      <c r="DYN165" s="7"/>
      <c r="DYO165" s="7"/>
      <c r="DYP165" s="7"/>
      <c r="DYQ165" s="7"/>
      <c r="DYR165" s="7"/>
      <c r="DYS165" s="7"/>
      <c r="DYT165" s="7"/>
      <c r="DYU165" s="7"/>
      <c r="DYV165" s="7"/>
      <c r="DYW165" s="7"/>
      <c r="DYX165" s="7"/>
      <c r="DYY165" s="7"/>
      <c r="DYZ165" s="7"/>
      <c r="DZA165" s="7"/>
      <c r="DZB165" s="7"/>
      <c r="DZC165" s="7"/>
      <c r="DZD165" s="7"/>
      <c r="DZE165" s="7"/>
      <c r="DZF165" s="7"/>
      <c r="DZG165" s="7"/>
      <c r="DZH165" s="7"/>
      <c r="DZI165" s="7"/>
      <c r="DZJ165" s="7"/>
      <c r="DZK165" s="7"/>
      <c r="DZL165" s="7"/>
      <c r="DZM165" s="7"/>
      <c r="DZN165" s="7"/>
      <c r="DZO165" s="7"/>
      <c r="DZP165" s="7"/>
      <c r="DZQ165" s="7"/>
      <c r="DZR165" s="7"/>
      <c r="DZS165" s="7"/>
      <c r="DZT165" s="7"/>
      <c r="DZU165" s="7"/>
      <c r="DZV165" s="7"/>
      <c r="DZW165" s="7"/>
      <c r="DZX165" s="7"/>
      <c r="DZY165" s="7"/>
      <c r="DZZ165" s="7"/>
      <c r="EAA165" s="7"/>
      <c r="EAB165" s="7"/>
      <c r="EAC165" s="7"/>
      <c r="EAD165" s="7"/>
      <c r="EAE165" s="7"/>
      <c r="EAF165" s="7"/>
      <c r="EAG165" s="7"/>
      <c r="EAH165" s="7"/>
      <c r="EAI165" s="7"/>
      <c r="EAJ165" s="7"/>
      <c r="EAK165" s="7"/>
      <c r="EAL165" s="7"/>
      <c r="EAM165" s="7"/>
      <c r="EAN165" s="7"/>
      <c r="EAO165" s="7"/>
      <c r="EAP165" s="7"/>
      <c r="EAQ165" s="7"/>
      <c r="EAR165" s="7"/>
      <c r="EAS165" s="7"/>
      <c r="EAT165" s="7"/>
      <c r="EAU165" s="7"/>
      <c r="EAV165" s="7"/>
      <c r="EAW165" s="7"/>
      <c r="EAX165" s="7"/>
      <c r="EAY165" s="7"/>
      <c r="EAZ165" s="7"/>
      <c r="EBA165" s="7"/>
      <c r="EBB165" s="7"/>
      <c r="EBC165" s="7"/>
      <c r="EBD165" s="7"/>
      <c r="EBE165" s="7"/>
      <c r="EBF165" s="7"/>
      <c r="EBG165" s="7"/>
      <c r="EBH165" s="7"/>
      <c r="EBI165" s="7"/>
      <c r="EBJ165" s="7"/>
      <c r="EBK165" s="7"/>
      <c r="EBL165" s="7"/>
      <c r="EBM165" s="7"/>
      <c r="EBN165" s="7"/>
      <c r="EBO165" s="7"/>
      <c r="EBP165" s="7"/>
      <c r="EBQ165" s="7"/>
      <c r="EBR165" s="7"/>
      <c r="EBS165" s="7"/>
      <c r="EBT165" s="7"/>
      <c r="EBU165" s="7"/>
      <c r="EBV165" s="7"/>
      <c r="EBW165" s="7"/>
      <c r="EBX165" s="7"/>
      <c r="EBY165" s="7"/>
      <c r="EBZ165" s="7"/>
      <c r="ECA165" s="7"/>
      <c r="ECB165" s="7"/>
      <c r="ECC165" s="7"/>
      <c r="ECD165" s="7"/>
      <c r="ECE165" s="7"/>
      <c r="ECF165" s="7"/>
      <c r="ECG165" s="7"/>
      <c r="ECH165" s="7"/>
      <c r="ECI165" s="7"/>
      <c r="ECJ165" s="7"/>
      <c r="ECK165" s="7"/>
      <c r="ECL165" s="7"/>
      <c r="ECM165" s="7"/>
      <c r="ECN165" s="7"/>
      <c r="ECO165" s="7"/>
      <c r="ECP165" s="7"/>
      <c r="ECQ165" s="7"/>
      <c r="ECR165" s="7"/>
      <c r="ECS165" s="7"/>
      <c r="ECT165" s="7"/>
      <c r="ECU165" s="7"/>
      <c r="ECV165" s="7"/>
      <c r="ECW165" s="7"/>
      <c r="ECX165" s="7"/>
      <c r="ECY165" s="7"/>
      <c r="ECZ165" s="7"/>
      <c r="EDA165" s="7"/>
      <c r="EDB165" s="7"/>
      <c r="EDC165" s="7"/>
      <c r="EDD165" s="7"/>
      <c r="EDE165" s="7"/>
      <c r="EDF165" s="7"/>
      <c r="EDG165" s="7"/>
      <c r="EDH165" s="7"/>
      <c r="EDI165" s="7"/>
      <c r="EDJ165" s="7"/>
      <c r="EDK165" s="7"/>
      <c r="EDL165" s="7"/>
      <c r="EDM165" s="7"/>
      <c r="EDN165" s="7"/>
      <c r="EDO165" s="7"/>
      <c r="EDP165" s="7"/>
      <c r="EDQ165" s="7"/>
      <c r="EDR165" s="7"/>
      <c r="EDS165" s="7"/>
      <c r="EDT165" s="7"/>
      <c r="EDU165" s="7"/>
      <c r="EDV165" s="7"/>
      <c r="EDW165" s="7"/>
      <c r="EDX165" s="7"/>
      <c r="EDY165" s="7"/>
      <c r="EDZ165" s="7"/>
      <c r="EEA165" s="7"/>
      <c r="EEB165" s="7"/>
      <c r="EEC165" s="7"/>
      <c r="EED165" s="7"/>
      <c r="EEE165" s="7"/>
      <c r="EEF165" s="7"/>
      <c r="EEG165" s="7"/>
      <c r="EEH165" s="7"/>
      <c r="EEI165" s="7"/>
      <c r="EEJ165" s="7"/>
      <c r="EEK165" s="7"/>
      <c r="EEL165" s="7"/>
      <c r="EEM165" s="7"/>
      <c r="EEN165" s="7"/>
      <c r="EEO165" s="7"/>
      <c r="EEP165" s="7"/>
      <c r="EEQ165" s="7"/>
      <c r="EER165" s="7"/>
      <c r="EES165" s="7"/>
      <c r="EET165" s="7"/>
      <c r="EEU165" s="7"/>
      <c r="EEV165" s="7"/>
      <c r="EEW165" s="7"/>
      <c r="EEX165" s="7"/>
      <c r="EEY165" s="7"/>
      <c r="EEZ165" s="7"/>
      <c r="EFA165" s="7"/>
      <c r="EFB165" s="7"/>
      <c r="EFC165" s="7"/>
      <c r="EFD165" s="7"/>
      <c r="EFE165" s="7"/>
      <c r="EFF165" s="7"/>
      <c r="EFG165" s="7"/>
      <c r="EFH165" s="7"/>
      <c r="EFI165" s="7"/>
      <c r="EFJ165" s="7"/>
      <c r="EFK165" s="7"/>
      <c r="EFL165" s="7"/>
      <c r="EFM165" s="7"/>
      <c r="EFN165" s="7"/>
      <c r="EFO165" s="7"/>
      <c r="EFP165" s="7"/>
      <c r="EFQ165" s="7"/>
      <c r="EFR165" s="7"/>
      <c r="EFS165" s="7"/>
      <c r="EFT165" s="7"/>
      <c r="EFU165" s="7"/>
      <c r="EFV165" s="7"/>
      <c r="EFW165" s="7"/>
      <c r="EFX165" s="7"/>
      <c r="EFY165" s="7"/>
      <c r="EFZ165" s="7"/>
      <c r="EGA165" s="7"/>
      <c r="EGB165" s="7"/>
      <c r="EGC165" s="7"/>
      <c r="EGD165" s="7"/>
      <c r="EGE165" s="7"/>
      <c r="EGF165" s="7"/>
      <c r="EGG165" s="7"/>
      <c r="EGH165" s="7"/>
      <c r="EGI165" s="7"/>
      <c r="EGJ165" s="7"/>
      <c r="EGK165" s="7"/>
      <c r="EGL165" s="7"/>
      <c r="EGM165" s="7"/>
      <c r="EGN165" s="7"/>
      <c r="EGO165" s="7"/>
      <c r="EGP165" s="7"/>
      <c r="EGQ165" s="7"/>
      <c r="EGR165" s="7"/>
      <c r="EGS165" s="7"/>
      <c r="EGT165" s="7"/>
      <c r="EGU165" s="7"/>
      <c r="EGV165" s="7"/>
      <c r="EGW165" s="7"/>
      <c r="EGX165" s="7"/>
      <c r="EGY165" s="7"/>
      <c r="EGZ165" s="7"/>
      <c r="EHA165" s="7"/>
      <c r="EHB165" s="7"/>
      <c r="EHC165" s="7"/>
      <c r="EHD165" s="7"/>
      <c r="EHE165" s="7"/>
      <c r="EHF165" s="7"/>
      <c r="EHG165" s="7"/>
      <c r="EHH165" s="7"/>
      <c r="EHI165" s="7"/>
      <c r="EHJ165" s="7"/>
      <c r="EHK165" s="7"/>
      <c r="EHL165" s="7"/>
      <c r="EHM165" s="7"/>
      <c r="EHN165" s="7"/>
      <c r="EHO165" s="7"/>
      <c r="EHP165" s="7"/>
      <c r="EHQ165" s="7"/>
      <c r="EHR165" s="7"/>
      <c r="EHS165" s="7"/>
      <c r="EHT165" s="7"/>
      <c r="EHU165" s="7"/>
      <c r="EHV165" s="7"/>
      <c r="EHW165" s="7"/>
      <c r="EHX165" s="7"/>
      <c r="EHY165" s="7"/>
      <c r="EHZ165" s="7"/>
      <c r="EIA165" s="7"/>
      <c r="EIB165" s="7"/>
      <c r="EIC165" s="7"/>
      <c r="EID165" s="7"/>
      <c r="EIE165" s="7"/>
      <c r="EIF165" s="7"/>
      <c r="EIG165" s="7"/>
      <c r="EIH165" s="7"/>
      <c r="EII165" s="7"/>
      <c r="EIJ165" s="7"/>
      <c r="EIK165" s="7"/>
      <c r="EIL165" s="7"/>
      <c r="EIM165" s="7"/>
      <c r="EIN165" s="7"/>
      <c r="EIO165" s="7"/>
      <c r="EIP165" s="7"/>
      <c r="EIQ165" s="7"/>
      <c r="EIR165" s="7"/>
      <c r="EIS165" s="7"/>
      <c r="EIT165" s="7"/>
      <c r="EIU165" s="7"/>
      <c r="EIV165" s="7"/>
      <c r="EIW165" s="7"/>
      <c r="EIX165" s="7"/>
      <c r="EIY165" s="7"/>
      <c r="EIZ165" s="7"/>
      <c r="EJA165" s="7"/>
      <c r="EJB165" s="7"/>
      <c r="EJC165" s="7"/>
      <c r="EJD165" s="7"/>
      <c r="EJE165" s="7"/>
      <c r="EJF165" s="7"/>
      <c r="EJG165" s="7"/>
      <c r="EJH165" s="7"/>
      <c r="EJI165" s="7"/>
      <c r="EJJ165" s="7"/>
      <c r="EJK165" s="7"/>
      <c r="EJL165" s="7"/>
      <c r="EJM165" s="7"/>
      <c r="EJN165" s="7"/>
      <c r="EJO165" s="7"/>
      <c r="EJP165" s="7"/>
      <c r="EJQ165" s="7"/>
      <c r="EJR165" s="7"/>
      <c r="EJS165" s="7"/>
      <c r="EJT165" s="7"/>
      <c r="EJU165" s="7"/>
      <c r="EJV165" s="7"/>
      <c r="EJW165" s="7"/>
      <c r="EJX165" s="7"/>
      <c r="EJY165" s="7"/>
      <c r="EJZ165" s="7"/>
      <c r="EKA165" s="7"/>
      <c r="EKB165" s="7"/>
      <c r="EKC165" s="7"/>
      <c r="EKD165" s="7"/>
      <c r="EKE165" s="7"/>
      <c r="EKF165" s="7"/>
      <c r="EKG165" s="7"/>
      <c r="EKH165" s="7"/>
      <c r="EKI165" s="7"/>
      <c r="EKJ165" s="7"/>
      <c r="EKK165" s="7"/>
      <c r="EKL165" s="7"/>
      <c r="EKM165" s="7"/>
      <c r="EKN165" s="7"/>
      <c r="EKO165" s="7"/>
      <c r="EKP165" s="7"/>
      <c r="EKQ165" s="7"/>
      <c r="EKR165" s="7"/>
      <c r="EKS165" s="7"/>
      <c r="EKT165" s="7"/>
      <c r="EKU165" s="7"/>
      <c r="EKV165" s="7"/>
      <c r="EKW165" s="7"/>
      <c r="EKX165" s="7"/>
      <c r="EKY165" s="7"/>
      <c r="EKZ165" s="7"/>
      <c r="ELA165" s="7"/>
      <c r="ELB165" s="7"/>
      <c r="ELC165" s="7"/>
      <c r="ELD165" s="7"/>
      <c r="ELE165" s="7"/>
      <c r="ELF165" s="7"/>
      <c r="ELG165" s="7"/>
      <c r="ELH165" s="7"/>
      <c r="ELI165" s="7"/>
      <c r="ELJ165" s="7"/>
      <c r="ELK165" s="7"/>
      <c r="ELL165" s="7"/>
      <c r="ELM165" s="7"/>
      <c r="ELN165" s="7"/>
      <c r="ELO165" s="7"/>
      <c r="ELP165" s="7"/>
      <c r="ELQ165" s="7"/>
      <c r="ELR165" s="7"/>
      <c r="ELS165" s="7"/>
      <c r="ELT165" s="7"/>
      <c r="ELU165" s="7"/>
      <c r="ELV165" s="7"/>
      <c r="ELW165" s="7"/>
      <c r="ELX165" s="7"/>
      <c r="ELY165" s="7"/>
      <c r="ELZ165" s="7"/>
      <c r="EMA165" s="7"/>
      <c r="EMB165" s="7"/>
      <c r="EMC165" s="7"/>
      <c r="EMD165" s="7"/>
      <c r="EME165" s="7"/>
      <c r="EMF165" s="7"/>
      <c r="EMG165" s="7"/>
      <c r="EMH165" s="7"/>
      <c r="EMI165" s="7"/>
      <c r="EMJ165" s="7"/>
      <c r="EMK165" s="7"/>
      <c r="EML165" s="7"/>
      <c r="EMM165" s="7"/>
      <c r="EMN165" s="7"/>
      <c r="EMO165" s="7"/>
      <c r="EMP165" s="7"/>
      <c r="EMQ165" s="7"/>
      <c r="EMR165" s="7"/>
      <c r="EMS165" s="7"/>
      <c r="EMT165" s="7"/>
      <c r="EMU165" s="7"/>
      <c r="EMV165" s="7"/>
      <c r="EMW165" s="7"/>
      <c r="EMX165" s="7"/>
      <c r="EMY165" s="7"/>
      <c r="EMZ165" s="7"/>
      <c r="ENA165" s="7"/>
      <c r="ENB165" s="7"/>
      <c r="ENC165" s="7"/>
      <c r="END165" s="7"/>
      <c r="ENE165" s="7"/>
      <c r="ENF165" s="7"/>
      <c r="ENG165" s="7"/>
      <c r="ENH165" s="7"/>
      <c r="ENI165" s="7"/>
      <c r="ENJ165" s="7"/>
      <c r="ENK165" s="7"/>
      <c r="ENL165" s="7"/>
      <c r="ENM165" s="7"/>
      <c r="ENN165" s="7"/>
      <c r="ENO165" s="7"/>
      <c r="ENP165" s="7"/>
      <c r="ENQ165" s="7"/>
      <c r="ENR165" s="7"/>
      <c r="ENS165" s="7"/>
      <c r="ENT165" s="7"/>
      <c r="ENU165" s="7"/>
      <c r="ENV165" s="7"/>
      <c r="ENW165" s="7"/>
      <c r="ENX165" s="7"/>
      <c r="ENY165" s="7"/>
      <c r="ENZ165" s="7"/>
      <c r="EOA165" s="7"/>
      <c r="EOB165" s="7"/>
      <c r="EOC165" s="7"/>
      <c r="EOD165" s="7"/>
      <c r="EOE165" s="7"/>
      <c r="EOF165" s="7"/>
      <c r="EOG165" s="7"/>
      <c r="EOH165" s="7"/>
      <c r="EOI165" s="7"/>
      <c r="EOJ165" s="7"/>
      <c r="EOK165" s="7"/>
      <c r="EOL165" s="7"/>
      <c r="EOM165" s="7"/>
      <c r="EON165" s="7"/>
      <c r="EOO165" s="7"/>
      <c r="EOP165" s="7"/>
      <c r="EOQ165" s="7"/>
      <c r="EOR165" s="7"/>
      <c r="EOS165" s="7"/>
      <c r="EOT165" s="7"/>
      <c r="EOU165" s="7"/>
      <c r="EOV165" s="7"/>
      <c r="EOW165" s="7"/>
      <c r="EOX165" s="7"/>
      <c r="EOY165" s="7"/>
      <c r="EOZ165" s="7"/>
      <c r="EPA165" s="7"/>
      <c r="EPB165" s="7"/>
      <c r="EPC165" s="7"/>
      <c r="EPD165" s="7"/>
      <c r="EPE165" s="7"/>
      <c r="EPF165" s="7"/>
      <c r="EPG165" s="7"/>
      <c r="EPH165" s="7"/>
      <c r="EPI165" s="7"/>
      <c r="EPJ165" s="7"/>
      <c r="EPK165" s="7"/>
      <c r="EPL165" s="7"/>
      <c r="EPM165" s="7"/>
      <c r="EPN165" s="7"/>
      <c r="EPO165" s="7"/>
      <c r="EPP165" s="7"/>
      <c r="EPQ165" s="7"/>
      <c r="EPR165" s="7"/>
      <c r="EPS165" s="7"/>
      <c r="EPT165" s="7"/>
      <c r="EPU165" s="7"/>
      <c r="EPV165" s="7"/>
      <c r="EPW165" s="7"/>
      <c r="EPX165" s="7"/>
      <c r="EPY165" s="7"/>
      <c r="EPZ165" s="7"/>
      <c r="EQA165" s="7"/>
      <c r="EQB165" s="7"/>
      <c r="EQC165" s="7"/>
      <c r="EQD165" s="7"/>
      <c r="EQE165" s="7"/>
      <c r="EQF165" s="7"/>
      <c r="EQG165" s="7"/>
      <c r="EQH165" s="7"/>
      <c r="EQI165" s="7"/>
      <c r="EQJ165" s="7"/>
      <c r="EQK165" s="7"/>
      <c r="EQL165" s="7"/>
      <c r="EQM165" s="7"/>
      <c r="EQN165" s="7"/>
      <c r="EQO165" s="7"/>
      <c r="EQP165" s="7"/>
      <c r="EQQ165" s="7"/>
      <c r="EQR165" s="7"/>
      <c r="EQS165" s="7"/>
      <c r="EQT165" s="7"/>
      <c r="EQU165" s="7"/>
      <c r="EQV165" s="7"/>
      <c r="EQW165" s="7"/>
      <c r="EQX165" s="7"/>
      <c r="EQY165" s="7"/>
      <c r="EQZ165" s="7"/>
      <c r="ERA165" s="7"/>
      <c r="ERB165" s="7"/>
      <c r="ERC165" s="7"/>
      <c r="ERD165" s="7"/>
      <c r="ERE165" s="7"/>
      <c r="ERF165" s="7"/>
      <c r="ERG165" s="7"/>
      <c r="ERH165" s="7"/>
      <c r="ERI165" s="7"/>
      <c r="ERJ165" s="7"/>
      <c r="ERK165" s="7"/>
      <c r="ERL165" s="7"/>
      <c r="ERM165" s="7"/>
      <c r="ERN165" s="7"/>
      <c r="ERO165" s="7"/>
      <c r="ERP165" s="7"/>
      <c r="ERQ165" s="7"/>
      <c r="ERR165" s="7"/>
      <c r="ERS165" s="7"/>
      <c r="ERT165" s="7"/>
      <c r="ERU165" s="7"/>
      <c r="ERV165" s="7"/>
      <c r="ERW165" s="7"/>
      <c r="ERX165" s="7"/>
      <c r="ERY165" s="7"/>
      <c r="ERZ165" s="7"/>
      <c r="ESA165" s="7"/>
      <c r="ESB165" s="7"/>
      <c r="ESC165" s="7"/>
      <c r="ESD165" s="7"/>
      <c r="ESE165" s="7"/>
      <c r="ESF165" s="7"/>
      <c r="ESG165" s="7"/>
      <c r="ESH165" s="7"/>
      <c r="ESI165" s="7"/>
      <c r="ESJ165" s="7"/>
      <c r="ESK165" s="7"/>
      <c r="ESL165" s="7"/>
      <c r="ESM165" s="7"/>
      <c r="ESN165" s="7"/>
      <c r="ESO165" s="7"/>
      <c r="ESP165" s="7"/>
      <c r="ESQ165" s="7"/>
      <c r="ESR165" s="7"/>
      <c r="ESS165" s="7"/>
      <c r="EST165" s="7"/>
      <c r="ESU165" s="7"/>
      <c r="ESV165" s="7"/>
      <c r="ESW165" s="7"/>
      <c r="ESX165" s="7"/>
      <c r="ESY165" s="7"/>
      <c r="ESZ165" s="7"/>
      <c r="ETA165" s="7"/>
      <c r="ETB165" s="7"/>
      <c r="ETC165" s="7"/>
      <c r="ETD165" s="7"/>
      <c r="ETE165" s="7"/>
      <c r="ETF165" s="7"/>
      <c r="ETG165" s="7"/>
      <c r="ETH165" s="7"/>
      <c r="ETI165" s="7"/>
      <c r="ETJ165" s="7"/>
      <c r="ETK165" s="7"/>
      <c r="ETL165" s="7"/>
      <c r="ETM165" s="7"/>
      <c r="ETN165" s="7"/>
      <c r="ETO165" s="7"/>
      <c r="ETP165" s="7"/>
      <c r="ETQ165" s="7"/>
      <c r="ETR165" s="7"/>
      <c r="ETS165" s="7"/>
      <c r="ETT165" s="7"/>
      <c r="ETU165" s="7"/>
      <c r="ETV165" s="7"/>
      <c r="ETW165" s="7"/>
      <c r="ETX165" s="7"/>
      <c r="ETY165" s="7"/>
      <c r="ETZ165" s="7"/>
      <c r="EUA165" s="7"/>
      <c r="EUB165" s="7"/>
      <c r="EUC165" s="7"/>
      <c r="EUD165" s="7"/>
      <c r="EUE165" s="7"/>
      <c r="EUF165" s="7"/>
      <c r="EUG165" s="7"/>
      <c r="EUH165" s="7"/>
      <c r="EUI165" s="7"/>
      <c r="EUJ165" s="7"/>
      <c r="EUK165" s="7"/>
      <c r="EUL165" s="7"/>
      <c r="EUM165" s="7"/>
      <c r="EUN165" s="7"/>
      <c r="EUO165" s="7"/>
      <c r="EUP165" s="7"/>
      <c r="EUQ165" s="7"/>
      <c r="EUR165" s="7"/>
      <c r="EUS165" s="7"/>
      <c r="EUT165" s="7"/>
      <c r="EUU165" s="7"/>
      <c r="EUV165" s="7"/>
      <c r="EUW165" s="7"/>
      <c r="EUX165" s="7"/>
      <c r="EUY165" s="7"/>
      <c r="EUZ165" s="7"/>
      <c r="EVA165" s="7"/>
      <c r="EVB165" s="7"/>
      <c r="EVC165" s="7"/>
      <c r="EVD165" s="7"/>
      <c r="EVE165" s="7"/>
      <c r="EVF165" s="7"/>
      <c r="EVG165" s="7"/>
      <c r="EVH165" s="7"/>
      <c r="EVI165" s="7"/>
      <c r="EVJ165" s="7"/>
      <c r="EVK165" s="7"/>
      <c r="EVL165" s="7"/>
      <c r="EVM165" s="7"/>
      <c r="EVN165" s="7"/>
      <c r="EVO165" s="7"/>
      <c r="EVP165" s="7"/>
      <c r="EVQ165" s="7"/>
      <c r="EVR165" s="7"/>
      <c r="EVS165" s="7"/>
      <c r="EVT165" s="7"/>
      <c r="EVU165" s="7"/>
      <c r="EVV165" s="7"/>
      <c r="EVW165" s="7"/>
      <c r="EVX165" s="7"/>
      <c r="EVY165" s="7"/>
      <c r="EVZ165" s="7"/>
      <c r="EWA165" s="7"/>
      <c r="EWB165" s="7"/>
      <c r="EWC165" s="7"/>
      <c r="EWD165" s="7"/>
      <c r="EWE165" s="7"/>
      <c r="EWF165" s="7"/>
      <c r="EWG165" s="7"/>
      <c r="EWH165" s="7"/>
      <c r="EWI165" s="7"/>
      <c r="EWJ165" s="7"/>
      <c r="EWK165" s="7"/>
      <c r="EWL165" s="7"/>
      <c r="EWM165" s="7"/>
      <c r="EWN165" s="7"/>
      <c r="EWO165" s="7"/>
      <c r="EWP165" s="7"/>
      <c r="EWQ165" s="7"/>
      <c r="EWR165" s="7"/>
      <c r="EWS165" s="7"/>
      <c r="EWT165" s="7"/>
      <c r="EWU165" s="7"/>
      <c r="EWV165" s="7"/>
      <c r="EWW165" s="7"/>
      <c r="EWX165" s="7"/>
      <c r="EWY165" s="7"/>
      <c r="EWZ165" s="7"/>
      <c r="EXA165" s="7"/>
      <c r="EXB165" s="7"/>
      <c r="EXC165" s="7"/>
      <c r="EXD165" s="7"/>
      <c r="EXE165" s="7"/>
      <c r="EXF165" s="7"/>
      <c r="EXG165" s="7"/>
      <c r="EXH165" s="7"/>
      <c r="EXI165" s="7"/>
      <c r="EXJ165" s="7"/>
      <c r="EXK165" s="7"/>
      <c r="EXL165" s="7"/>
      <c r="EXM165" s="7"/>
      <c r="EXN165" s="7"/>
      <c r="EXO165" s="7"/>
      <c r="EXP165" s="7"/>
      <c r="EXQ165" s="7"/>
      <c r="EXR165" s="7"/>
      <c r="EXS165" s="7"/>
      <c r="EXT165" s="7"/>
      <c r="EXU165" s="7"/>
      <c r="EXV165" s="7"/>
      <c r="EXW165" s="7"/>
      <c r="EXX165" s="7"/>
      <c r="EXY165" s="7"/>
      <c r="EXZ165" s="7"/>
      <c r="EYA165" s="7"/>
      <c r="EYB165" s="7"/>
      <c r="EYC165" s="7"/>
      <c r="EYD165" s="7"/>
      <c r="EYE165" s="7"/>
      <c r="EYF165" s="7"/>
      <c r="EYG165" s="7"/>
      <c r="EYH165" s="7"/>
      <c r="EYI165" s="7"/>
      <c r="EYJ165" s="7"/>
      <c r="EYK165" s="7"/>
      <c r="EYL165" s="7"/>
      <c r="EYM165" s="7"/>
      <c r="EYN165" s="7"/>
      <c r="EYO165" s="7"/>
      <c r="EYP165" s="7"/>
      <c r="EYQ165" s="7"/>
      <c r="EYR165" s="7"/>
      <c r="EYS165" s="7"/>
      <c r="EYT165" s="7"/>
      <c r="EYU165" s="7"/>
      <c r="EYV165" s="7"/>
      <c r="EYW165" s="7"/>
      <c r="EYX165" s="7"/>
      <c r="EYY165" s="7"/>
      <c r="EYZ165" s="7"/>
      <c r="EZA165" s="7"/>
      <c r="EZB165" s="7"/>
      <c r="EZC165" s="7"/>
      <c r="EZD165" s="7"/>
      <c r="EZE165" s="7"/>
      <c r="EZF165" s="7"/>
      <c r="EZG165" s="7"/>
      <c r="EZH165" s="7"/>
      <c r="EZI165" s="7"/>
      <c r="EZJ165" s="7"/>
      <c r="EZK165" s="7"/>
      <c r="EZL165" s="7"/>
      <c r="EZM165" s="7"/>
      <c r="EZN165" s="7"/>
      <c r="EZO165" s="7"/>
      <c r="EZP165" s="7"/>
      <c r="EZQ165" s="7"/>
      <c r="EZR165" s="7"/>
      <c r="EZS165" s="7"/>
      <c r="EZT165" s="7"/>
      <c r="EZU165" s="7"/>
      <c r="EZV165" s="7"/>
      <c r="EZW165" s="7"/>
      <c r="EZX165" s="7"/>
      <c r="EZY165" s="7"/>
      <c r="EZZ165" s="7"/>
      <c r="FAA165" s="7"/>
      <c r="FAB165" s="7"/>
      <c r="FAC165" s="7"/>
      <c r="FAD165" s="7"/>
      <c r="FAE165" s="7"/>
      <c r="FAF165" s="7"/>
      <c r="FAG165" s="7"/>
      <c r="FAH165" s="7"/>
      <c r="FAI165" s="7"/>
      <c r="FAJ165" s="7"/>
      <c r="FAK165" s="7"/>
      <c r="FAL165" s="7"/>
      <c r="FAM165" s="7"/>
      <c r="FAN165" s="7"/>
      <c r="FAO165" s="7"/>
      <c r="FAP165" s="7"/>
      <c r="FAQ165" s="7"/>
      <c r="FAR165" s="7"/>
      <c r="FAS165" s="7"/>
      <c r="FAT165" s="7"/>
      <c r="FAU165" s="7"/>
      <c r="FAV165" s="7"/>
      <c r="FAW165" s="7"/>
      <c r="FAX165" s="7"/>
      <c r="FAY165" s="7"/>
      <c r="FAZ165" s="7"/>
      <c r="FBA165" s="7"/>
      <c r="FBB165" s="7"/>
      <c r="FBC165" s="7"/>
      <c r="FBD165" s="7"/>
      <c r="FBE165" s="7"/>
      <c r="FBF165" s="7"/>
      <c r="FBG165" s="7"/>
      <c r="FBH165" s="7"/>
      <c r="FBI165" s="7"/>
      <c r="FBJ165" s="7"/>
      <c r="FBK165" s="7"/>
      <c r="FBL165" s="7"/>
      <c r="FBM165" s="7"/>
      <c r="FBN165" s="7"/>
      <c r="FBO165" s="7"/>
      <c r="FBP165" s="7"/>
      <c r="FBQ165" s="7"/>
      <c r="FBR165" s="7"/>
      <c r="FBS165" s="7"/>
      <c r="FBT165" s="7"/>
      <c r="FBU165" s="7"/>
      <c r="FBV165" s="7"/>
      <c r="FBW165" s="7"/>
      <c r="FBX165" s="7"/>
      <c r="FBY165" s="7"/>
      <c r="FBZ165" s="7"/>
      <c r="FCA165" s="7"/>
      <c r="FCB165" s="7"/>
      <c r="FCC165" s="7"/>
      <c r="FCD165" s="7"/>
      <c r="FCE165" s="7"/>
      <c r="FCF165" s="7"/>
      <c r="FCG165" s="7"/>
      <c r="FCH165" s="7"/>
      <c r="FCI165" s="7"/>
      <c r="FCJ165" s="7"/>
      <c r="FCK165" s="7"/>
      <c r="FCL165" s="7"/>
      <c r="FCM165" s="7"/>
      <c r="FCN165" s="7"/>
      <c r="FCO165" s="7"/>
      <c r="FCP165" s="7"/>
      <c r="FCQ165" s="7"/>
      <c r="FCR165" s="7"/>
      <c r="FCS165" s="7"/>
      <c r="FCT165" s="7"/>
      <c r="FCU165" s="7"/>
      <c r="FCV165" s="7"/>
      <c r="FCW165" s="7"/>
      <c r="FCX165" s="7"/>
      <c r="FCY165" s="7"/>
      <c r="FCZ165" s="7"/>
      <c r="FDA165" s="7"/>
      <c r="FDB165" s="7"/>
      <c r="FDC165" s="7"/>
      <c r="FDD165" s="7"/>
      <c r="FDE165" s="7"/>
      <c r="FDF165" s="7"/>
      <c r="FDG165" s="7"/>
      <c r="FDH165" s="7"/>
      <c r="FDI165" s="7"/>
      <c r="FDJ165" s="7"/>
      <c r="FDK165" s="7"/>
      <c r="FDL165" s="7"/>
      <c r="FDM165" s="7"/>
      <c r="FDN165" s="7"/>
      <c r="FDO165" s="7"/>
      <c r="FDP165" s="7"/>
      <c r="FDQ165" s="7"/>
      <c r="FDR165" s="7"/>
      <c r="FDS165" s="7"/>
      <c r="FDT165" s="7"/>
      <c r="FDU165" s="7"/>
      <c r="FDV165" s="7"/>
      <c r="FDW165" s="7"/>
      <c r="FDX165" s="7"/>
      <c r="FDY165" s="7"/>
      <c r="FDZ165" s="7"/>
      <c r="FEA165" s="7"/>
      <c r="FEB165" s="7"/>
      <c r="FEC165" s="7"/>
      <c r="FED165" s="7"/>
      <c r="FEE165" s="7"/>
      <c r="FEF165" s="7"/>
      <c r="FEG165" s="7"/>
      <c r="FEH165" s="7"/>
      <c r="FEI165" s="7"/>
      <c r="FEJ165" s="7"/>
      <c r="FEK165" s="7"/>
      <c r="FEL165" s="7"/>
      <c r="FEM165" s="7"/>
      <c r="FEN165" s="7"/>
      <c r="FEO165" s="7"/>
      <c r="FEP165" s="7"/>
      <c r="FEQ165" s="7"/>
      <c r="FER165" s="7"/>
      <c r="FES165" s="7"/>
      <c r="FET165" s="7"/>
      <c r="FEU165" s="7"/>
      <c r="FEV165" s="7"/>
      <c r="FEW165" s="7"/>
      <c r="FEX165" s="7"/>
      <c r="FEY165" s="7"/>
      <c r="FEZ165" s="7"/>
      <c r="FFA165" s="7"/>
      <c r="FFB165" s="7"/>
      <c r="FFC165" s="7"/>
      <c r="FFD165" s="7"/>
      <c r="FFE165" s="7"/>
      <c r="FFF165" s="7"/>
      <c r="FFG165" s="7"/>
      <c r="FFH165" s="7"/>
      <c r="FFI165" s="7"/>
      <c r="FFJ165" s="7"/>
      <c r="FFK165" s="7"/>
      <c r="FFL165" s="7"/>
      <c r="FFM165" s="7"/>
      <c r="FFN165" s="7"/>
      <c r="FFO165" s="7"/>
      <c r="FFP165" s="7"/>
      <c r="FFQ165" s="7"/>
      <c r="FFR165" s="7"/>
      <c r="FFS165" s="7"/>
      <c r="FFT165" s="7"/>
      <c r="FFU165" s="7"/>
      <c r="FFV165" s="7"/>
      <c r="FFW165" s="7"/>
      <c r="FFX165" s="7"/>
      <c r="FFY165" s="7"/>
      <c r="FFZ165" s="7"/>
      <c r="FGA165" s="7"/>
      <c r="FGB165" s="7"/>
      <c r="FGC165" s="7"/>
      <c r="FGD165" s="7"/>
      <c r="FGE165" s="7"/>
      <c r="FGF165" s="7"/>
      <c r="FGG165" s="7"/>
      <c r="FGH165" s="7"/>
      <c r="FGI165" s="7"/>
      <c r="FGJ165" s="7"/>
      <c r="FGK165" s="7"/>
      <c r="FGL165" s="7"/>
      <c r="FGM165" s="7"/>
      <c r="FGN165" s="7"/>
      <c r="FGO165" s="7"/>
      <c r="FGP165" s="7"/>
      <c r="FGQ165" s="7"/>
      <c r="FGR165" s="7"/>
      <c r="FGS165" s="7"/>
      <c r="FGT165" s="7"/>
      <c r="FGU165" s="7"/>
      <c r="FGV165" s="7"/>
      <c r="FGW165" s="7"/>
      <c r="FGX165" s="7"/>
      <c r="FGY165" s="7"/>
      <c r="FGZ165" s="7"/>
      <c r="FHA165" s="7"/>
      <c r="FHB165" s="7"/>
      <c r="FHC165" s="7"/>
      <c r="FHD165" s="7"/>
      <c r="FHE165" s="7"/>
      <c r="FHF165" s="7"/>
      <c r="FHG165" s="7"/>
      <c r="FHH165" s="7"/>
      <c r="FHI165" s="7"/>
      <c r="FHJ165" s="7"/>
      <c r="FHK165" s="7"/>
      <c r="FHL165" s="7"/>
      <c r="FHM165" s="7"/>
      <c r="FHN165" s="7"/>
      <c r="FHO165" s="7"/>
      <c r="FHP165" s="7"/>
      <c r="FHQ165" s="7"/>
      <c r="FHR165" s="7"/>
      <c r="FHS165" s="7"/>
      <c r="FHT165" s="7"/>
      <c r="FHU165" s="7"/>
      <c r="FHV165" s="7"/>
      <c r="FHW165" s="7"/>
      <c r="FHX165" s="7"/>
      <c r="FHY165" s="7"/>
      <c r="FHZ165" s="7"/>
      <c r="FIA165" s="7"/>
      <c r="FIB165" s="7"/>
      <c r="FIC165" s="7"/>
      <c r="FID165" s="7"/>
      <c r="FIE165" s="7"/>
      <c r="FIF165" s="7"/>
      <c r="FIG165" s="7"/>
      <c r="FIH165" s="7"/>
      <c r="FII165" s="7"/>
      <c r="FIJ165" s="7"/>
      <c r="FIK165" s="7"/>
      <c r="FIL165" s="7"/>
      <c r="FIM165" s="7"/>
      <c r="FIN165" s="7"/>
      <c r="FIO165" s="7"/>
      <c r="FIP165" s="7"/>
      <c r="FIQ165" s="7"/>
      <c r="FIR165" s="7"/>
      <c r="FIS165" s="7"/>
      <c r="FIT165" s="7"/>
      <c r="FIU165" s="7"/>
      <c r="FIV165" s="7"/>
      <c r="FIW165" s="7"/>
      <c r="FIX165" s="7"/>
      <c r="FIY165" s="7"/>
      <c r="FIZ165" s="7"/>
      <c r="FJA165" s="7"/>
      <c r="FJB165" s="7"/>
      <c r="FJC165" s="7"/>
      <c r="FJD165" s="7"/>
      <c r="FJE165" s="7"/>
      <c r="FJF165" s="7"/>
      <c r="FJG165" s="7"/>
      <c r="FJH165" s="7"/>
      <c r="FJI165" s="7"/>
      <c r="FJJ165" s="7"/>
      <c r="FJK165" s="7"/>
      <c r="FJL165" s="7"/>
      <c r="FJM165" s="7"/>
      <c r="FJN165" s="7"/>
      <c r="FJO165" s="7"/>
      <c r="FJP165" s="7"/>
      <c r="FJQ165" s="7"/>
      <c r="FJR165" s="7"/>
      <c r="FJS165" s="7"/>
      <c r="FJT165" s="7"/>
      <c r="FJU165" s="7"/>
      <c r="FJV165" s="7"/>
      <c r="FJW165" s="7"/>
      <c r="FJX165" s="7"/>
      <c r="FJY165" s="7"/>
      <c r="FJZ165" s="7"/>
      <c r="FKA165" s="7"/>
      <c r="FKB165" s="7"/>
      <c r="FKC165" s="7"/>
      <c r="FKD165" s="7"/>
      <c r="FKE165" s="7"/>
      <c r="FKF165" s="7"/>
      <c r="FKG165" s="7"/>
      <c r="FKH165" s="7"/>
      <c r="FKI165" s="7"/>
      <c r="FKJ165" s="7"/>
      <c r="FKK165" s="7"/>
      <c r="FKL165" s="7"/>
      <c r="FKM165" s="7"/>
      <c r="FKN165" s="7"/>
      <c r="FKO165" s="7"/>
      <c r="FKP165" s="7"/>
      <c r="FKQ165" s="7"/>
      <c r="FKR165" s="7"/>
      <c r="FKS165" s="7"/>
      <c r="FKT165" s="7"/>
      <c r="FKU165" s="7"/>
      <c r="FKV165" s="7"/>
      <c r="FKW165" s="7"/>
      <c r="FKX165" s="7"/>
      <c r="FKY165" s="7"/>
      <c r="FKZ165" s="7"/>
      <c r="FLA165" s="7"/>
      <c r="FLB165" s="7"/>
      <c r="FLC165" s="7"/>
      <c r="FLD165" s="7"/>
      <c r="FLE165" s="7"/>
      <c r="FLF165" s="7"/>
      <c r="FLG165" s="7"/>
      <c r="FLH165" s="7"/>
      <c r="FLI165" s="7"/>
      <c r="FLJ165" s="7"/>
      <c r="FLK165" s="7"/>
      <c r="FLL165" s="7"/>
      <c r="FLM165" s="7"/>
      <c r="FLN165" s="7"/>
      <c r="FLO165" s="7"/>
      <c r="FLP165" s="7"/>
      <c r="FLQ165" s="7"/>
      <c r="FLR165" s="7"/>
      <c r="FLS165" s="7"/>
      <c r="FLT165" s="7"/>
      <c r="FLU165" s="7"/>
      <c r="FLV165" s="7"/>
      <c r="FLW165" s="7"/>
      <c r="FLX165" s="7"/>
      <c r="FLY165" s="7"/>
      <c r="FLZ165" s="7"/>
      <c r="FMA165" s="7"/>
      <c r="FMB165" s="7"/>
      <c r="FMC165" s="7"/>
      <c r="FMD165" s="7"/>
      <c r="FME165" s="7"/>
      <c r="FMF165" s="7"/>
      <c r="FMG165" s="7"/>
      <c r="FMH165" s="7"/>
      <c r="FMI165" s="7"/>
      <c r="FMJ165" s="7"/>
      <c r="FMK165" s="7"/>
      <c r="FML165" s="7"/>
      <c r="FMM165" s="7"/>
      <c r="FMN165" s="7"/>
      <c r="FMO165" s="7"/>
      <c r="FMP165" s="7"/>
      <c r="FMQ165" s="7"/>
      <c r="FMR165" s="7"/>
      <c r="FMS165" s="7"/>
      <c r="FMT165" s="7"/>
      <c r="FMU165" s="7"/>
      <c r="FMV165" s="7"/>
      <c r="FMW165" s="7"/>
      <c r="FMX165" s="7"/>
      <c r="FMY165" s="7"/>
      <c r="FMZ165" s="7"/>
      <c r="FNA165" s="7"/>
      <c r="FNB165" s="7"/>
      <c r="FNC165" s="7"/>
      <c r="FND165" s="7"/>
      <c r="FNE165" s="7"/>
      <c r="FNF165" s="7"/>
      <c r="FNG165" s="7"/>
      <c r="FNH165" s="7"/>
      <c r="FNI165" s="7"/>
      <c r="FNJ165" s="7"/>
      <c r="FNK165" s="7"/>
      <c r="FNL165" s="7"/>
      <c r="FNM165" s="7"/>
      <c r="FNN165" s="7"/>
      <c r="FNO165" s="7"/>
      <c r="FNP165" s="7"/>
      <c r="FNQ165" s="7"/>
      <c r="FNR165" s="7"/>
      <c r="FNS165" s="7"/>
      <c r="FNT165" s="7"/>
      <c r="FNU165" s="7"/>
      <c r="FNV165" s="7"/>
      <c r="FNW165" s="7"/>
      <c r="FNX165" s="7"/>
      <c r="FNY165" s="7"/>
      <c r="FNZ165" s="7"/>
      <c r="FOA165" s="7"/>
      <c r="FOB165" s="7"/>
      <c r="FOC165" s="7"/>
      <c r="FOD165" s="7"/>
      <c r="FOE165" s="7"/>
      <c r="FOF165" s="7"/>
      <c r="FOG165" s="7"/>
      <c r="FOH165" s="7"/>
      <c r="FOI165" s="7"/>
      <c r="FOJ165" s="7"/>
      <c r="FOK165" s="7"/>
      <c r="FOL165" s="7"/>
      <c r="FOM165" s="7"/>
      <c r="FON165" s="7"/>
      <c r="FOO165" s="7"/>
      <c r="FOP165" s="7"/>
      <c r="FOQ165" s="7"/>
      <c r="FOR165" s="7"/>
      <c r="FOS165" s="7"/>
      <c r="FOT165" s="7"/>
      <c r="FOU165" s="7"/>
      <c r="FOV165" s="7"/>
      <c r="FOW165" s="7"/>
      <c r="FOX165" s="7"/>
      <c r="FOY165" s="7"/>
      <c r="FOZ165" s="7"/>
      <c r="FPA165" s="7"/>
      <c r="FPB165" s="7"/>
      <c r="FPC165" s="7"/>
      <c r="FPD165" s="7"/>
      <c r="FPE165" s="7"/>
      <c r="FPF165" s="7"/>
      <c r="FPG165" s="7"/>
      <c r="FPH165" s="7"/>
      <c r="FPI165" s="7"/>
      <c r="FPJ165" s="7"/>
      <c r="FPK165" s="7"/>
      <c r="FPL165" s="7"/>
      <c r="FPM165" s="7"/>
      <c r="FPN165" s="7"/>
      <c r="FPO165" s="7"/>
      <c r="FPP165" s="7"/>
      <c r="FPQ165" s="7"/>
      <c r="FPR165" s="7"/>
      <c r="FPS165" s="7"/>
      <c r="FPT165" s="7"/>
      <c r="FPU165" s="7"/>
      <c r="FPV165" s="7"/>
      <c r="FPW165" s="7"/>
      <c r="FPX165" s="7"/>
      <c r="FPY165" s="7"/>
      <c r="FPZ165" s="7"/>
      <c r="FQA165" s="7"/>
      <c r="FQB165" s="7"/>
      <c r="FQC165" s="7"/>
      <c r="FQD165" s="7"/>
      <c r="FQE165" s="7"/>
      <c r="FQF165" s="7"/>
      <c r="FQG165" s="7"/>
      <c r="FQH165" s="7"/>
      <c r="FQI165" s="7"/>
      <c r="FQJ165" s="7"/>
      <c r="FQK165" s="7"/>
      <c r="FQL165" s="7"/>
      <c r="FQM165" s="7"/>
      <c r="FQN165" s="7"/>
      <c r="FQO165" s="7"/>
      <c r="FQP165" s="7"/>
      <c r="FQQ165" s="7"/>
      <c r="FQR165" s="7"/>
      <c r="FQS165" s="7"/>
      <c r="FQT165" s="7"/>
      <c r="FQU165" s="7"/>
      <c r="FQV165" s="7"/>
      <c r="FQW165" s="7"/>
      <c r="FQX165" s="7"/>
      <c r="FQY165" s="7"/>
      <c r="FQZ165" s="7"/>
      <c r="FRA165" s="7"/>
      <c r="FRB165" s="7"/>
      <c r="FRC165" s="7"/>
      <c r="FRD165" s="7"/>
      <c r="FRE165" s="7"/>
      <c r="FRF165" s="7"/>
      <c r="FRG165" s="7"/>
      <c r="FRH165" s="7"/>
      <c r="FRI165" s="7"/>
      <c r="FRJ165" s="7"/>
      <c r="FRK165" s="7"/>
      <c r="FRL165" s="7"/>
      <c r="FRM165" s="7"/>
      <c r="FRN165" s="7"/>
      <c r="FRO165" s="7"/>
      <c r="FRP165" s="7"/>
      <c r="FRQ165" s="7"/>
      <c r="FRR165" s="7"/>
      <c r="FRS165" s="7"/>
      <c r="FRT165" s="7"/>
      <c r="FRU165" s="7"/>
      <c r="FRV165" s="7"/>
      <c r="FRW165" s="7"/>
      <c r="FRX165" s="7"/>
      <c r="FRY165" s="7"/>
      <c r="FRZ165" s="7"/>
      <c r="FSA165" s="7"/>
      <c r="FSB165" s="7"/>
      <c r="FSC165" s="7"/>
      <c r="FSD165" s="7"/>
      <c r="FSE165" s="7"/>
      <c r="FSF165" s="7"/>
      <c r="FSG165" s="7"/>
      <c r="FSH165" s="7"/>
      <c r="FSI165" s="7"/>
      <c r="FSJ165" s="7"/>
      <c r="FSK165" s="7"/>
      <c r="FSL165" s="7"/>
      <c r="FSM165" s="7"/>
      <c r="FSN165" s="7"/>
      <c r="FSO165" s="7"/>
      <c r="FSP165" s="7"/>
      <c r="FSQ165" s="7"/>
      <c r="FSR165" s="7"/>
      <c r="FSS165" s="7"/>
      <c r="FST165" s="7"/>
      <c r="FSU165" s="7"/>
      <c r="FSV165" s="7"/>
      <c r="FSW165" s="7"/>
      <c r="FSX165" s="7"/>
      <c r="FSY165" s="7"/>
      <c r="FSZ165" s="7"/>
      <c r="FTA165" s="7"/>
      <c r="FTB165" s="7"/>
      <c r="FTC165" s="7"/>
      <c r="FTD165" s="7"/>
      <c r="FTE165" s="7"/>
      <c r="FTF165" s="7"/>
      <c r="FTG165" s="7"/>
      <c r="FTH165" s="7"/>
      <c r="FTI165" s="7"/>
      <c r="FTJ165" s="7"/>
      <c r="FTK165" s="7"/>
      <c r="FTL165" s="7"/>
      <c r="FTM165" s="7"/>
      <c r="FTN165" s="7"/>
      <c r="FTO165" s="7"/>
      <c r="FTP165" s="7"/>
      <c r="FTQ165" s="7"/>
      <c r="FTR165" s="7"/>
      <c r="FTS165" s="7"/>
      <c r="FTT165" s="7"/>
      <c r="FTU165" s="7"/>
      <c r="FTV165" s="7"/>
      <c r="FTW165" s="7"/>
      <c r="FTX165" s="7"/>
      <c r="FTY165" s="7"/>
      <c r="FTZ165" s="7"/>
      <c r="FUA165" s="7"/>
      <c r="FUB165" s="7"/>
      <c r="FUC165" s="7"/>
      <c r="FUD165" s="7"/>
      <c r="FUE165" s="7"/>
      <c r="FUF165" s="7"/>
      <c r="FUG165" s="7"/>
      <c r="FUH165" s="7"/>
      <c r="FUI165" s="7"/>
      <c r="FUJ165" s="7"/>
      <c r="FUK165" s="7"/>
      <c r="FUL165" s="7"/>
      <c r="FUM165" s="7"/>
      <c r="FUN165" s="7"/>
      <c r="FUO165" s="7"/>
      <c r="FUP165" s="7"/>
      <c r="FUQ165" s="7"/>
      <c r="FUR165" s="7"/>
      <c r="FUS165" s="7"/>
      <c r="FUT165" s="7"/>
      <c r="FUU165" s="7"/>
      <c r="FUV165" s="7"/>
      <c r="FUW165" s="7"/>
      <c r="FUX165" s="7"/>
      <c r="FUY165" s="7"/>
      <c r="FUZ165" s="7"/>
      <c r="FVA165" s="7"/>
      <c r="FVB165" s="7"/>
      <c r="FVC165" s="7"/>
      <c r="FVD165" s="7"/>
      <c r="FVE165" s="7"/>
      <c r="FVF165" s="7"/>
      <c r="FVG165" s="7"/>
      <c r="FVH165" s="7"/>
      <c r="FVI165" s="7"/>
      <c r="FVJ165" s="7"/>
      <c r="FVK165" s="7"/>
      <c r="FVL165" s="7"/>
      <c r="FVM165" s="7"/>
      <c r="FVN165" s="7"/>
      <c r="FVO165" s="7"/>
      <c r="FVP165" s="7"/>
      <c r="FVQ165" s="7"/>
      <c r="FVR165" s="7"/>
      <c r="FVS165" s="7"/>
      <c r="FVT165" s="7"/>
      <c r="FVU165" s="7"/>
      <c r="FVV165" s="7"/>
      <c r="FVW165" s="7"/>
      <c r="FVX165" s="7"/>
      <c r="FVY165" s="7"/>
      <c r="FVZ165" s="7"/>
      <c r="FWA165" s="7"/>
      <c r="FWB165" s="7"/>
      <c r="FWC165" s="7"/>
      <c r="FWD165" s="7"/>
      <c r="FWE165" s="7"/>
      <c r="FWF165" s="7"/>
      <c r="FWG165" s="7"/>
      <c r="FWH165" s="7"/>
      <c r="FWI165" s="7"/>
      <c r="FWJ165" s="7"/>
      <c r="FWK165" s="7"/>
      <c r="FWL165" s="7"/>
      <c r="FWM165" s="7"/>
      <c r="FWN165" s="7"/>
      <c r="FWO165" s="7"/>
      <c r="FWP165" s="7"/>
      <c r="FWQ165" s="7"/>
      <c r="FWR165" s="7"/>
      <c r="FWS165" s="7"/>
      <c r="FWT165" s="7"/>
      <c r="FWU165" s="7"/>
      <c r="FWV165" s="7"/>
      <c r="FWW165" s="7"/>
      <c r="FWX165" s="7"/>
      <c r="FWY165" s="7"/>
      <c r="FWZ165" s="7"/>
      <c r="FXA165" s="7"/>
      <c r="FXB165" s="7"/>
      <c r="FXC165" s="7"/>
      <c r="FXD165" s="7"/>
      <c r="FXE165" s="7"/>
      <c r="FXF165" s="7"/>
      <c r="FXG165" s="7"/>
      <c r="FXH165" s="7"/>
      <c r="FXI165" s="7"/>
      <c r="FXJ165" s="7"/>
      <c r="FXK165" s="7"/>
      <c r="FXL165" s="7"/>
      <c r="FXM165" s="7"/>
      <c r="FXN165" s="7"/>
      <c r="FXO165" s="7"/>
      <c r="FXP165" s="7"/>
      <c r="FXQ165" s="7"/>
      <c r="FXR165" s="7"/>
      <c r="FXS165" s="7"/>
      <c r="FXT165" s="7"/>
      <c r="FXU165" s="7"/>
      <c r="FXV165" s="7"/>
      <c r="FXW165" s="7"/>
      <c r="FXX165" s="7"/>
      <c r="FXY165" s="7"/>
      <c r="FXZ165" s="7"/>
      <c r="FYA165" s="7"/>
      <c r="FYB165" s="7"/>
      <c r="FYC165" s="7"/>
      <c r="FYD165" s="7"/>
      <c r="FYE165" s="7"/>
      <c r="FYF165" s="7"/>
      <c r="FYG165" s="7"/>
      <c r="FYH165" s="7"/>
      <c r="FYI165" s="7"/>
      <c r="FYJ165" s="7"/>
      <c r="FYK165" s="7"/>
      <c r="FYL165" s="7"/>
      <c r="FYM165" s="7"/>
      <c r="FYN165" s="7"/>
      <c r="FYO165" s="7"/>
      <c r="FYP165" s="7"/>
      <c r="FYQ165" s="7"/>
      <c r="FYR165" s="7"/>
      <c r="FYS165" s="7"/>
      <c r="FYT165" s="7"/>
      <c r="FYU165" s="7"/>
      <c r="FYV165" s="7"/>
      <c r="FYW165" s="7"/>
      <c r="FYX165" s="7"/>
      <c r="FYY165" s="7"/>
      <c r="FYZ165" s="7"/>
      <c r="FZA165" s="7"/>
      <c r="FZB165" s="7"/>
      <c r="FZC165" s="7"/>
      <c r="FZD165" s="7"/>
      <c r="FZE165" s="7"/>
      <c r="FZF165" s="7"/>
      <c r="FZG165" s="7"/>
      <c r="FZH165" s="7"/>
      <c r="FZI165" s="7"/>
      <c r="FZJ165" s="7"/>
      <c r="FZK165" s="7"/>
      <c r="FZL165" s="7"/>
      <c r="FZM165" s="7"/>
      <c r="FZN165" s="7"/>
      <c r="FZO165" s="7"/>
      <c r="FZP165" s="7"/>
      <c r="FZQ165" s="7"/>
      <c r="FZR165" s="7"/>
      <c r="FZS165" s="7"/>
      <c r="FZT165" s="7"/>
      <c r="FZU165" s="7"/>
      <c r="FZV165" s="7"/>
      <c r="FZW165" s="7"/>
      <c r="FZX165" s="7"/>
      <c r="FZY165" s="7"/>
      <c r="FZZ165" s="7"/>
      <c r="GAA165" s="7"/>
      <c r="GAB165" s="7"/>
      <c r="GAC165" s="7"/>
      <c r="GAD165" s="7"/>
      <c r="GAE165" s="7"/>
      <c r="GAF165" s="7"/>
      <c r="GAG165" s="7"/>
      <c r="GAH165" s="7"/>
      <c r="GAI165" s="7"/>
      <c r="GAJ165" s="7"/>
      <c r="GAK165" s="7"/>
      <c r="GAL165" s="7"/>
      <c r="GAM165" s="7"/>
      <c r="GAN165" s="7"/>
      <c r="GAO165" s="7"/>
      <c r="GAP165" s="7"/>
      <c r="GAQ165" s="7"/>
      <c r="GAR165" s="7"/>
      <c r="GAS165" s="7"/>
      <c r="GAT165" s="7"/>
      <c r="GAU165" s="7"/>
      <c r="GAV165" s="7"/>
      <c r="GAW165" s="7"/>
      <c r="GAX165" s="7"/>
      <c r="GAY165" s="7"/>
      <c r="GAZ165" s="7"/>
      <c r="GBA165" s="7"/>
      <c r="GBB165" s="7"/>
      <c r="GBC165" s="7"/>
      <c r="GBD165" s="7"/>
      <c r="GBE165" s="7"/>
      <c r="GBF165" s="7"/>
      <c r="GBG165" s="7"/>
      <c r="GBH165" s="7"/>
      <c r="GBI165" s="7"/>
      <c r="GBJ165" s="7"/>
      <c r="GBK165" s="7"/>
      <c r="GBL165" s="7"/>
      <c r="GBM165" s="7"/>
      <c r="GBN165" s="7"/>
      <c r="GBO165" s="7"/>
      <c r="GBP165" s="7"/>
      <c r="GBQ165" s="7"/>
      <c r="GBR165" s="7"/>
      <c r="GBS165" s="7"/>
      <c r="GBT165" s="7"/>
      <c r="GBU165" s="7"/>
      <c r="GBV165" s="7"/>
      <c r="GBW165" s="7"/>
      <c r="GBX165" s="7"/>
      <c r="GBY165" s="7"/>
      <c r="GBZ165" s="7"/>
      <c r="GCA165" s="7"/>
      <c r="GCB165" s="7"/>
      <c r="GCC165" s="7"/>
      <c r="GCD165" s="7"/>
      <c r="GCE165" s="7"/>
      <c r="GCF165" s="7"/>
      <c r="GCG165" s="7"/>
      <c r="GCH165" s="7"/>
      <c r="GCI165" s="7"/>
      <c r="GCJ165" s="7"/>
      <c r="GCK165" s="7"/>
      <c r="GCL165" s="7"/>
      <c r="GCM165" s="7"/>
      <c r="GCN165" s="7"/>
      <c r="GCO165" s="7"/>
      <c r="GCP165" s="7"/>
      <c r="GCQ165" s="7"/>
      <c r="GCR165" s="7"/>
      <c r="GCS165" s="7"/>
      <c r="GCT165" s="7"/>
      <c r="GCU165" s="7"/>
      <c r="GCV165" s="7"/>
      <c r="GCW165" s="7"/>
      <c r="GCX165" s="7"/>
      <c r="GCY165" s="7"/>
      <c r="GCZ165" s="7"/>
      <c r="GDA165" s="7"/>
      <c r="GDB165" s="7"/>
      <c r="GDC165" s="7"/>
      <c r="GDD165" s="7"/>
      <c r="GDE165" s="7"/>
      <c r="GDF165" s="7"/>
      <c r="GDG165" s="7"/>
      <c r="GDH165" s="7"/>
      <c r="GDI165" s="7"/>
      <c r="GDJ165" s="7"/>
      <c r="GDK165" s="7"/>
      <c r="GDL165" s="7"/>
      <c r="GDM165" s="7"/>
      <c r="GDN165" s="7"/>
      <c r="GDO165" s="7"/>
      <c r="GDP165" s="7"/>
      <c r="GDQ165" s="7"/>
      <c r="GDR165" s="7"/>
      <c r="GDS165" s="7"/>
      <c r="GDT165" s="7"/>
      <c r="GDU165" s="7"/>
      <c r="GDV165" s="7"/>
      <c r="GDW165" s="7"/>
      <c r="GDX165" s="7"/>
      <c r="GDY165" s="7"/>
      <c r="GDZ165" s="7"/>
      <c r="GEA165" s="7"/>
      <c r="GEB165" s="7"/>
      <c r="GEC165" s="7"/>
      <c r="GED165" s="7"/>
      <c r="GEE165" s="7"/>
      <c r="GEF165" s="7"/>
      <c r="GEG165" s="7"/>
      <c r="GEH165" s="7"/>
      <c r="GEI165" s="7"/>
      <c r="GEJ165" s="7"/>
      <c r="GEK165" s="7"/>
      <c r="GEL165" s="7"/>
      <c r="GEM165" s="7"/>
      <c r="GEN165" s="7"/>
      <c r="GEO165" s="7"/>
      <c r="GEP165" s="7"/>
      <c r="GEQ165" s="7"/>
      <c r="GER165" s="7"/>
      <c r="GES165" s="7"/>
      <c r="GET165" s="7"/>
      <c r="GEU165" s="7"/>
      <c r="GEV165" s="7"/>
      <c r="GEW165" s="7"/>
      <c r="GEX165" s="7"/>
      <c r="GEY165" s="7"/>
      <c r="GEZ165" s="7"/>
      <c r="GFA165" s="7"/>
      <c r="GFB165" s="7"/>
      <c r="GFC165" s="7"/>
      <c r="GFD165" s="7"/>
      <c r="GFE165" s="7"/>
      <c r="GFF165" s="7"/>
      <c r="GFG165" s="7"/>
      <c r="GFH165" s="7"/>
      <c r="GFI165" s="7"/>
      <c r="GFJ165" s="7"/>
      <c r="GFK165" s="7"/>
      <c r="GFL165" s="7"/>
      <c r="GFM165" s="7"/>
      <c r="GFN165" s="7"/>
      <c r="GFO165" s="7"/>
      <c r="GFP165" s="7"/>
      <c r="GFQ165" s="7"/>
      <c r="GFR165" s="7"/>
      <c r="GFS165" s="7"/>
      <c r="GFT165" s="7"/>
      <c r="GFU165" s="7"/>
      <c r="GFV165" s="7"/>
      <c r="GFW165" s="7"/>
      <c r="GFX165" s="7"/>
      <c r="GFY165" s="7"/>
      <c r="GFZ165" s="7"/>
      <c r="GGA165" s="7"/>
      <c r="GGB165" s="7"/>
      <c r="GGC165" s="7"/>
      <c r="GGD165" s="7"/>
      <c r="GGE165" s="7"/>
      <c r="GGF165" s="7"/>
      <c r="GGG165" s="7"/>
      <c r="GGH165" s="7"/>
      <c r="GGI165" s="7"/>
      <c r="GGJ165" s="7"/>
      <c r="GGK165" s="7"/>
      <c r="GGL165" s="7"/>
      <c r="GGM165" s="7"/>
      <c r="GGN165" s="7"/>
      <c r="GGO165" s="7"/>
      <c r="GGP165" s="7"/>
      <c r="GGQ165" s="7"/>
      <c r="GGR165" s="7"/>
      <c r="GGS165" s="7"/>
      <c r="GGT165" s="7"/>
      <c r="GGU165" s="7"/>
      <c r="GGV165" s="7"/>
      <c r="GGW165" s="7"/>
      <c r="GGX165" s="7"/>
      <c r="GGY165" s="7"/>
      <c r="GGZ165" s="7"/>
      <c r="GHA165" s="7"/>
      <c r="GHB165" s="7"/>
      <c r="GHC165" s="7"/>
      <c r="GHD165" s="7"/>
      <c r="GHE165" s="7"/>
      <c r="GHF165" s="7"/>
      <c r="GHG165" s="7"/>
      <c r="GHH165" s="7"/>
      <c r="GHI165" s="7"/>
      <c r="GHJ165" s="7"/>
      <c r="GHK165" s="7"/>
      <c r="GHL165" s="7"/>
      <c r="GHM165" s="7"/>
      <c r="GHN165" s="7"/>
      <c r="GHO165" s="7"/>
      <c r="GHP165" s="7"/>
      <c r="GHQ165" s="7"/>
      <c r="GHR165" s="7"/>
      <c r="GHS165" s="7"/>
      <c r="GHT165" s="7"/>
      <c r="GHU165" s="7"/>
      <c r="GHV165" s="7"/>
      <c r="GHW165" s="7"/>
      <c r="GHX165" s="7"/>
      <c r="GHY165" s="7"/>
      <c r="GHZ165" s="7"/>
      <c r="GIA165" s="7"/>
      <c r="GIB165" s="7"/>
      <c r="GIC165" s="7"/>
      <c r="GID165" s="7"/>
      <c r="GIE165" s="7"/>
      <c r="GIF165" s="7"/>
      <c r="GIG165" s="7"/>
      <c r="GIH165" s="7"/>
      <c r="GII165" s="7"/>
      <c r="GIJ165" s="7"/>
      <c r="GIK165" s="7"/>
      <c r="GIL165" s="7"/>
      <c r="GIM165" s="7"/>
      <c r="GIN165" s="7"/>
      <c r="GIO165" s="7"/>
      <c r="GIP165" s="7"/>
      <c r="GIQ165" s="7"/>
      <c r="GIR165" s="7"/>
      <c r="GIS165" s="7"/>
      <c r="GIT165" s="7"/>
      <c r="GIU165" s="7"/>
      <c r="GIV165" s="7"/>
      <c r="GIW165" s="7"/>
      <c r="GIX165" s="7"/>
      <c r="GIY165" s="7"/>
      <c r="GIZ165" s="7"/>
      <c r="GJA165" s="7"/>
      <c r="GJB165" s="7"/>
      <c r="GJC165" s="7"/>
      <c r="GJD165" s="7"/>
      <c r="GJE165" s="7"/>
      <c r="GJF165" s="7"/>
      <c r="GJG165" s="7"/>
      <c r="GJH165" s="7"/>
      <c r="GJI165" s="7"/>
      <c r="GJJ165" s="7"/>
      <c r="GJK165" s="7"/>
      <c r="GJL165" s="7"/>
      <c r="GJM165" s="7"/>
      <c r="GJN165" s="7"/>
      <c r="GJO165" s="7"/>
      <c r="GJP165" s="7"/>
      <c r="GJQ165" s="7"/>
      <c r="GJR165" s="7"/>
      <c r="GJS165" s="7"/>
      <c r="GJT165" s="7"/>
      <c r="GJU165" s="7"/>
      <c r="GJV165" s="7"/>
      <c r="GJW165" s="7"/>
      <c r="GJX165" s="7"/>
      <c r="GJY165" s="7"/>
      <c r="GJZ165" s="7"/>
      <c r="GKA165" s="7"/>
      <c r="GKB165" s="7"/>
      <c r="GKC165" s="7"/>
      <c r="GKD165" s="7"/>
      <c r="GKE165" s="7"/>
      <c r="GKF165" s="7"/>
      <c r="GKG165" s="7"/>
      <c r="GKH165" s="7"/>
      <c r="GKI165" s="7"/>
      <c r="GKJ165" s="7"/>
      <c r="GKK165" s="7"/>
      <c r="GKL165" s="7"/>
      <c r="GKM165" s="7"/>
      <c r="GKN165" s="7"/>
      <c r="GKO165" s="7"/>
      <c r="GKP165" s="7"/>
      <c r="GKQ165" s="7"/>
      <c r="GKR165" s="7"/>
      <c r="GKS165" s="7"/>
      <c r="GKT165" s="7"/>
      <c r="GKU165" s="7"/>
      <c r="GKV165" s="7"/>
      <c r="GKW165" s="7"/>
      <c r="GKX165" s="7"/>
      <c r="GKY165" s="7"/>
      <c r="GKZ165" s="7"/>
      <c r="GLA165" s="7"/>
      <c r="GLB165" s="7"/>
      <c r="GLC165" s="7"/>
      <c r="GLD165" s="7"/>
      <c r="GLE165" s="7"/>
      <c r="GLF165" s="7"/>
      <c r="GLG165" s="7"/>
      <c r="GLH165" s="7"/>
      <c r="GLI165" s="7"/>
      <c r="GLJ165" s="7"/>
      <c r="GLK165" s="7"/>
      <c r="GLL165" s="7"/>
      <c r="GLM165" s="7"/>
      <c r="GLN165" s="7"/>
      <c r="GLO165" s="7"/>
      <c r="GLP165" s="7"/>
      <c r="GLQ165" s="7"/>
      <c r="GLR165" s="7"/>
      <c r="GLS165" s="7"/>
      <c r="GLT165" s="7"/>
      <c r="GLU165" s="7"/>
      <c r="GLV165" s="7"/>
      <c r="GLW165" s="7"/>
      <c r="GLX165" s="7"/>
      <c r="GLY165" s="7"/>
      <c r="GLZ165" s="7"/>
      <c r="GMA165" s="7"/>
      <c r="GMB165" s="7"/>
      <c r="GMC165" s="7"/>
      <c r="GMD165" s="7"/>
      <c r="GME165" s="7"/>
      <c r="GMF165" s="7"/>
      <c r="GMG165" s="7"/>
      <c r="GMH165" s="7"/>
      <c r="GMI165" s="7"/>
      <c r="GMJ165" s="7"/>
      <c r="GMK165" s="7"/>
      <c r="GML165" s="7"/>
      <c r="GMM165" s="7"/>
      <c r="GMN165" s="7"/>
      <c r="GMO165" s="7"/>
      <c r="GMP165" s="7"/>
      <c r="GMQ165" s="7"/>
      <c r="GMR165" s="7"/>
      <c r="GMS165" s="7"/>
      <c r="GMT165" s="7"/>
      <c r="GMU165" s="7"/>
      <c r="GMV165" s="7"/>
      <c r="GMW165" s="7"/>
      <c r="GMX165" s="7"/>
      <c r="GMY165" s="7"/>
      <c r="GMZ165" s="7"/>
      <c r="GNA165" s="7"/>
      <c r="GNB165" s="7"/>
      <c r="GNC165" s="7"/>
      <c r="GND165" s="7"/>
      <c r="GNE165" s="7"/>
      <c r="GNF165" s="7"/>
      <c r="GNG165" s="7"/>
      <c r="GNH165" s="7"/>
      <c r="GNI165" s="7"/>
      <c r="GNJ165" s="7"/>
      <c r="GNK165" s="7"/>
      <c r="GNL165" s="7"/>
      <c r="GNM165" s="7"/>
      <c r="GNN165" s="7"/>
      <c r="GNO165" s="7"/>
      <c r="GNP165" s="7"/>
      <c r="GNQ165" s="7"/>
      <c r="GNR165" s="7"/>
      <c r="GNS165" s="7"/>
      <c r="GNT165" s="7"/>
      <c r="GNU165" s="7"/>
      <c r="GNV165" s="7"/>
      <c r="GNW165" s="7"/>
      <c r="GNX165" s="7"/>
      <c r="GNY165" s="7"/>
      <c r="GNZ165" s="7"/>
      <c r="GOA165" s="7"/>
      <c r="GOB165" s="7"/>
      <c r="GOC165" s="7"/>
      <c r="GOD165" s="7"/>
      <c r="GOE165" s="7"/>
      <c r="GOF165" s="7"/>
      <c r="GOG165" s="7"/>
      <c r="GOH165" s="7"/>
      <c r="GOI165" s="7"/>
      <c r="GOJ165" s="7"/>
      <c r="GOK165" s="7"/>
      <c r="GOL165" s="7"/>
      <c r="GOM165" s="7"/>
      <c r="GON165" s="7"/>
      <c r="GOO165" s="7"/>
      <c r="GOP165" s="7"/>
      <c r="GOQ165" s="7"/>
      <c r="GOR165" s="7"/>
      <c r="GOS165" s="7"/>
      <c r="GOT165" s="7"/>
      <c r="GOU165" s="7"/>
      <c r="GOV165" s="7"/>
      <c r="GOW165" s="7"/>
      <c r="GOX165" s="7"/>
      <c r="GOY165" s="7"/>
      <c r="GOZ165" s="7"/>
      <c r="GPA165" s="7"/>
      <c r="GPB165" s="7"/>
      <c r="GPC165" s="7"/>
      <c r="GPD165" s="7"/>
      <c r="GPE165" s="7"/>
      <c r="GPF165" s="7"/>
      <c r="GPG165" s="7"/>
      <c r="GPH165" s="7"/>
      <c r="GPI165" s="7"/>
      <c r="GPJ165" s="7"/>
      <c r="GPK165" s="7"/>
      <c r="GPL165" s="7"/>
      <c r="GPM165" s="7"/>
      <c r="GPN165" s="7"/>
      <c r="GPO165" s="7"/>
      <c r="GPP165" s="7"/>
      <c r="GPQ165" s="7"/>
      <c r="GPR165" s="7"/>
      <c r="GPS165" s="7"/>
      <c r="GPT165" s="7"/>
      <c r="GPU165" s="7"/>
      <c r="GPV165" s="7"/>
      <c r="GPW165" s="7"/>
      <c r="GPX165" s="7"/>
      <c r="GPY165" s="7"/>
      <c r="GPZ165" s="7"/>
      <c r="GQA165" s="7"/>
      <c r="GQB165" s="7"/>
      <c r="GQC165" s="7"/>
      <c r="GQD165" s="7"/>
      <c r="GQE165" s="7"/>
      <c r="GQF165" s="7"/>
      <c r="GQG165" s="7"/>
      <c r="GQH165" s="7"/>
      <c r="GQI165" s="7"/>
      <c r="GQJ165" s="7"/>
      <c r="GQK165" s="7"/>
      <c r="GQL165" s="7"/>
      <c r="GQM165" s="7"/>
      <c r="GQN165" s="7"/>
      <c r="GQO165" s="7"/>
      <c r="GQP165" s="7"/>
      <c r="GQQ165" s="7"/>
      <c r="GQR165" s="7"/>
      <c r="GQS165" s="7"/>
      <c r="GQT165" s="7"/>
      <c r="GQU165" s="7"/>
      <c r="GQV165" s="7"/>
      <c r="GQW165" s="7"/>
      <c r="GQX165" s="7"/>
      <c r="GQY165" s="7"/>
      <c r="GQZ165" s="7"/>
      <c r="GRA165" s="7"/>
      <c r="GRB165" s="7"/>
      <c r="GRC165" s="7"/>
      <c r="GRD165" s="7"/>
      <c r="GRE165" s="7"/>
      <c r="GRF165" s="7"/>
      <c r="GRG165" s="7"/>
      <c r="GRH165" s="7"/>
      <c r="GRI165" s="7"/>
      <c r="GRJ165" s="7"/>
      <c r="GRK165" s="7"/>
      <c r="GRL165" s="7"/>
      <c r="GRM165" s="7"/>
      <c r="GRN165" s="7"/>
      <c r="GRO165" s="7"/>
      <c r="GRP165" s="7"/>
      <c r="GRQ165" s="7"/>
      <c r="GRR165" s="7"/>
      <c r="GRS165" s="7"/>
      <c r="GRT165" s="7"/>
      <c r="GRU165" s="7"/>
      <c r="GRV165" s="7"/>
      <c r="GRW165" s="7"/>
      <c r="GRX165" s="7"/>
      <c r="GRY165" s="7"/>
      <c r="GRZ165" s="7"/>
      <c r="GSA165" s="7"/>
      <c r="GSB165" s="7"/>
      <c r="GSC165" s="7"/>
      <c r="GSD165" s="7"/>
      <c r="GSE165" s="7"/>
      <c r="GSF165" s="7"/>
      <c r="GSG165" s="7"/>
      <c r="GSH165" s="7"/>
      <c r="GSI165" s="7"/>
      <c r="GSJ165" s="7"/>
      <c r="GSK165" s="7"/>
      <c r="GSL165" s="7"/>
      <c r="GSM165" s="7"/>
      <c r="GSN165" s="7"/>
      <c r="GSO165" s="7"/>
      <c r="GSP165" s="7"/>
      <c r="GSQ165" s="7"/>
      <c r="GSR165" s="7"/>
      <c r="GSS165" s="7"/>
      <c r="GST165" s="7"/>
      <c r="GSU165" s="7"/>
      <c r="GSV165" s="7"/>
      <c r="GSW165" s="7"/>
      <c r="GSX165" s="7"/>
      <c r="GSY165" s="7"/>
      <c r="GSZ165" s="7"/>
      <c r="GTA165" s="7"/>
      <c r="GTB165" s="7"/>
      <c r="GTC165" s="7"/>
      <c r="GTD165" s="7"/>
      <c r="GTE165" s="7"/>
      <c r="GTF165" s="7"/>
      <c r="GTG165" s="7"/>
      <c r="GTH165" s="7"/>
      <c r="GTI165" s="7"/>
      <c r="GTJ165" s="7"/>
      <c r="GTK165" s="7"/>
      <c r="GTL165" s="7"/>
      <c r="GTM165" s="7"/>
      <c r="GTN165" s="7"/>
      <c r="GTO165" s="7"/>
      <c r="GTP165" s="7"/>
      <c r="GTQ165" s="7"/>
      <c r="GTR165" s="7"/>
      <c r="GTS165" s="7"/>
      <c r="GTT165" s="7"/>
      <c r="GTU165" s="7"/>
      <c r="GTV165" s="7"/>
      <c r="GTW165" s="7"/>
      <c r="GTX165" s="7"/>
      <c r="GTY165" s="7"/>
      <c r="GTZ165" s="7"/>
      <c r="GUA165" s="7"/>
      <c r="GUB165" s="7"/>
      <c r="GUC165" s="7"/>
      <c r="GUD165" s="7"/>
      <c r="GUE165" s="7"/>
      <c r="GUF165" s="7"/>
      <c r="GUG165" s="7"/>
      <c r="GUH165" s="7"/>
      <c r="GUI165" s="7"/>
      <c r="GUJ165" s="7"/>
      <c r="GUK165" s="7"/>
      <c r="GUL165" s="7"/>
      <c r="GUM165" s="7"/>
      <c r="GUN165" s="7"/>
      <c r="GUO165" s="7"/>
      <c r="GUP165" s="7"/>
      <c r="GUQ165" s="7"/>
      <c r="GUR165" s="7"/>
      <c r="GUS165" s="7"/>
      <c r="GUT165" s="7"/>
      <c r="GUU165" s="7"/>
      <c r="GUV165" s="7"/>
      <c r="GUW165" s="7"/>
      <c r="GUX165" s="7"/>
      <c r="GUY165" s="7"/>
      <c r="GUZ165" s="7"/>
      <c r="GVA165" s="7"/>
      <c r="GVB165" s="7"/>
      <c r="GVC165" s="7"/>
      <c r="GVD165" s="7"/>
      <c r="GVE165" s="7"/>
      <c r="GVF165" s="7"/>
      <c r="GVG165" s="7"/>
      <c r="GVH165" s="7"/>
      <c r="GVI165" s="7"/>
      <c r="GVJ165" s="7"/>
      <c r="GVK165" s="7"/>
      <c r="GVL165" s="7"/>
      <c r="GVM165" s="7"/>
      <c r="GVN165" s="7"/>
      <c r="GVO165" s="7"/>
      <c r="GVP165" s="7"/>
      <c r="GVQ165" s="7"/>
      <c r="GVR165" s="7"/>
      <c r="GVS165" s="7"/>
      <c r="GVT165" s="7"/>
      <c r="GVU165" s="7"/>
      <c r="GVV165" s="7"/>
      <c r="GVW165" s="7"/>
      <c r="GVX165" s="7"/>
      <c r="GVY165" s="7"/>
      <c r="GVZ165" s="7"/>
      <c r="GWA165" s="7"/>
      <c r="GWB165" s="7"/>
      <c r="GWC165" s="7"/>
      <c r="GWD165" s="7"/>
      <c r="GWE165" s="7"/>
      <c r="GWF165" s="7"/>
      <c r="GWG165" s="7"/>
      <c r="GWH165" s="7"/>
      <c r="GWI165" s="7"/>
      <c r="GWJ165" s="7"/>
      <c r="GWK165" s="7"/>
      <c r="GWL165" s="7"/>
      <c r="GWM165" s="7"/>
      <c r="GWN165" s="7"/>
      <c r="GWO165" s="7"/>
      <c r="GWP165" s="7"/>
      <c r="GWQ165" s="7"/>
      <c r="GWR165" s="7"/>
      <c r="GWS165" s="7"/>
      <c r="GWT165" s="7"/>
      <c r="GWU165" s="7"/>
      <c r="GWV165" s="7"/>
      <c r="GWW165" s="7"/>
      <c r="GWX165" s="7"/>
      <c r="GWY165" s="7"/>
      <c r="GWZ165" s="7"/>
      <c r="GXA165" s="7"/>
      <c r="GXB165" s="7"/>
      <c r="GXC165" s="7"/>
      <c r="GXD165" s="7"/>
      <c r="GXE165" s="7"/>
      <c r="GXF165" s="7"/>
      <c r="GXG165" s="7"/>
      <c r="GXH165" s="7"/>
      <c r="GXI165" s="7"/>
      <c r="GXJ165" s="7"/>
      <c r="GXK165" s="7"/>
      <c r="GXL165" s="7"/>
      <c r="GXM165" s="7"/>
      <c r="GXN165" s="7"/>
      <c r="GXO165" s="7"/>
      <c r="GXP165" s="7"/>
      <c r="GXQ165" s="7"/>
      <c r="GXR165" s="7"/>
      <c r="GXS165" s="7"/>
      <c r="GXT165" s="7"/>
      <c r="GXU165" s="7"/>
      <c r="GXV165" s="7"/>
      <c r="GXW165" s="7"/>
      <c r="GXX165" s="7"/>
      <c r="GXY165" s="7"/>
      <c r="GXZ165" s="7"/>
      <c r="GYA165" s="7"/>
      <c r="GYB165" s="7"/>
      <c r="GYC165" s="7"/>
      <c r="GYD165" s="7"/>
      <c r="GYE165" s="7"/>
      <c r="GYF165" s="7"/>
      <c r="GYG165" s="7"/>
      <c r="GYH165" s="7"/>
      <c r="GYI165" s="7"/>
      <c r="GYJ165" s="7"/>
      <c r="GYK165" s="7"/>
      <c r="GYL165" s="7"/>
      <c r="GYM165" s="7"/>
      <c r="GYN165" s="7"/>
      <c r="GYO165" s="7"/>
      <c r="GYP165" s="7"/>
      <c r="GYQ165" s="7"/>
      <c r="GYR165" s="7"/>
      <c r="GYS165" s="7"/>
      <c r="GYT165" s="7"/>
      <c r="GYU165" s="7"/>
      <c r="GYV165" s="7"/>
      <c r="GYW165" s="7"/>
      <c r="GYX165" s="7"/>
      <c r="GYY165" s="7"/>
      <c r="GYZ165" s="7"/>
      <c r="GZA165" s="7"/>
      <c r="GZB165" s="7"/>
      <c r="GZC165" s="7"/>
      <c r="GZD165" s="7"/>
      <c r="GZE165" s="7"/>
      <c r="GZF165" s="7"/>
      <c r="GZG165" s="7"/>
      <c r="GZH165" s="7"/>
      <c r="GZI165" s="7"/>
      <c r="GZJ165" s="7"/>
      <c r="GZK165" s="7"/>
      <c r="GZL165" s="7"/>
      <c r="GZM165" s="7"/>
      <c r="GZN165" s="7"/>
      <c r="GZO165" s="7"/>
      <c r="GZP165" s="7"/>
      <c r="GZQ165" s="7"/>
      <c r="GZR165" s="7"/>
      <c r="GZS165" s="7"/>
      <c r="GZT165" s="7"/>
      <c r="GZU165" s="7"/>
      <c r="GZV165" s="7"/>
      <c r="GZW165" s="7"/>
      <c r="GZX165" s="7"/>
      <c r="GZY165" s="7"/>
      <c r="GZZ165" s="7"/>
      <c r="HAA165" s="7"/>
      <c r="HAB165" s="7"/>
      <c r="HAC165" s="7"/>
      <c r="HAD165" s="7"/>
      <c r="HAE165" s="7"/>
      <c r="HAF165" s="7"/>
      <c r="HAG165" s="7"/>
      <c r="HAH165" s="7"/>
      <c r="HAI165" s="7"/>
      <c r="HAJ165" s="7"/>
      <c r="HAK165" s="7"/>
      <c r="HAL165" s="7"/>
      <c r="HAM165" s="7"/>
      <c r="HAN165" s="7"/>
      <c r="HAO165" s="7"/>
      <c r="HAP165" s="7"/>
      <c r="HAQ165" s="7"/>
      <c r="HAR165" s="7"/>
      <c r="HAS165" s="7"/>
      <c r="HAT165" s="7"/>
      <c r="HAU165" s="7"/>
      <c r="HAV165" s="7"/>
      <c r="HAW165" s="7"/>
      <c r="HAX165" s="7"/>
      <c r="HAY165" s="7"/>
      <c r="HAZ165" s="7"/>
      <c r="HBA165" s="7"/>
      <c r="HBB165" s="7"/>
      <c r="HBC165" s="7"/>
      <c r="HBD165" s="7"/>
      <c r="HBE165" s="7"/>
      <c r="HBF165" s="7"/>
      <c r="HBG165" s="7"/>
      <c r="HBH165" s="7"/>
      <c r="HBI165" s="7"/>
      <c r="HBJ165" s="7"/>
      <c r="HBK165" s="7"/>
      <c r="HBL165" s="7"/>
      <c r="HBM165" s="7"/>
      <c r="HBN165" s="7"/>
      <c r="HBO165" s="7"/>
      <c r="HBP165" s="7"/>
      <c r="HBQ165" s="7"/>
      <c r="HBR165" s="7"/>
      <c r="HBS165" s="7"/>
      <c r="HBT165" s="7"/>
      <c r="HBU165" s="7"/>
      <c r="HBV165" s="7"/>
      <c r="HBW165" s="7"/>
      <c r="HBX165" s="7"/>
      <c r="HBY165" s="7"/>
      <c r="HBZ165" s="7"/>
      <c r="HCA165" s="7"/>
      <c r="HCB165" s="7"/>
      <c r="HCC165" s="7"/>
      <c r="HCD165" s="7"/>
      <c r="HCE165" s="7"/>
      <c r="HCF165" s="7"/>
      <c r="HCG165" s="7"/>
      <c r="HCH165" s="7"/>
      <c r="HCI165" s="7"/>
      <c r="HCJ165" s="7"/>
      <c r="HCK165" s="7"/>
      <c r="HCL165" s="7"/>
      <c r="HCM165" s="7"/>
      <c r="HCN165" s="7"/>
      <c r="HCO165" s="7"/>
      <c r="HCP165" s="7"/>
      <c r="HCQ165" s="7"/>
      <c r="HCR165" s="7"/>
      <c r="HCS165" s="7"/>
      <c r="HCT165" s="7"/>
      <c r="HCU165" s="7"/>
      <c r="HCV165" s="7"/>
      <c r="HCW165" s="7"/>
      <c r="HCX165" s="7"/>
      <c r="HCY165" s="7"/>
      <c r="HCZ165" s="7"/>
      <c r="HDA165" s="7"/>
      <c r="HDB165" s="7"/>
      <c r="HDC165" s="7"/>
      <c r="HDD165" s="7"/>
      <c r="HDE165" s="7"/>
      <c r="HDF165" s="7"/>
      <c r="HDG165" s="7"/>
      <c r="HDH165" s="7"/>
      <c r="HDI165" s="7"/>
      <c r="HDJ165" s="7"/>
      <c r="HDK165" s="7"/>
      <c r="HDL165" s="7"/>
      <c r="HDM165" s="7"/>
      <c r="HDN165" s="7"/>
      <c r="HDO165" s="7"/>
      <c r="HDP165" s="7"/>
      <c r="HDQ165" s="7"/>
      <c r="HDR165" s="7"/>
      <c r="HDS165" s="7"/>
      <c r="HDT165" s="7"/>
      <c r="HDU165" s="7"/>
      <c r="HDV165" s="7"/>
      <c r="HDW165" s="7"/>
      <c r="HDX165" s="7"/>
      <c r="HDY165" s="7"/>
      <c r="HDZ165" s="7"/>
      <c r="HEA165" s="7"/>
      <c r="HEB165" s="7"/>
      <c r="HEC165" s="7"/>
      <c r="HED165" s="7"/>
      <c r="HEE165" s="7"/>
      <c r="HEF165" s="7"/>
      <c r="HEG165" s="7"/>
      <c r="HEH165" s="7"/>
      <c r="HEI165" s="7"/>
      <c r="HEJ165" s="7"/>
      <c r="HEK165" s="7"/>
      <c r="HEL165" s="7"/>
      <c r="HEM165" s="7"/>
      <c r="HEN165" s="7"/>
      <c r="HEO165" s="7"/>
      <c r="HEP165" s="7"/>
      <c r="HEQ165" s="7"/>
      <c r="HER165" s="7"/>
      <c r="HES165" s="7"/>
      <c r="HET165" s="7"/>
      <c r="HEU165" s="7"/>
      <c r="HEV165" s="7"/>
      <c r="HEW165" s="7"/>
      <c r="HEX165" s="7"/>
      <c r="HEY165" s="7"/>
      <c r="HEZ165" s="7"/>
      <c r="HFA165" s="7"/>
      <c r="HFB165" s="7"/>
      <c r="HFC165" s="7"/>
      <c r="HFD165" s="7"/>
      <c r="HFE165" s="7"/>
      <c r="HFF165" s="7"/>
      <c r="HFG165" s="7"/>
      <c r="HFH165" s="7"/>
      <c r="HFI165" s="7"/>
      <c r="HFJ165" s="7"/>
      <c r="HFK165" s="7"/>
      <c r="HFL165" s="7"/>
      <c r="HFM165" s="7"/>
      <c r="HFN165" s="7"/>
      <c r="HFO165" s="7"/>
      <c r="HFP165" s="7"/>
      <c r="HFQ165" s="7"/>
      <c r="HFR165" s="7"/>
      <c r="HFS165" s="7"/>
      <c r="HFT165" s="7"/>
      <c r="HFU165" s="7"/>
      <c r="HFV165" s="7"/>
      <c r="HFW165" s="7"/>
      <c r="HFX165" s="7"/>
      <c r="HFY165" s="7"/>
      <c r="HFZ165" s="7"/>
      <c r="HGA165" s="7"/>
      <c r="HGB165" s="7"/>
      <c r="HGC165" s="7"/>
      <c r="HGD165" s="7"/>
      <c r="HGE165" s="7"/>
      <c r="HGF165" s="7"/>
      <c r="HGG165" s="7"/>
      <c r="HGH165" s="7"/>
      <c r="HGI165" s="7"/>
      <c r="HGJ165" s="7"/>
      <c r="HGK165" s="7"/>
      <c r="HGL165" s="7"/>
      <c r="HGM165" s="7"/>
      <c r="HGN165" s="7"/>
      <c r="HGO165" s="7"/>
      <c r="HGP165" s="7"/>
      <c r="HGQ165" s="7"/>
      <c r="HGR165" s="7"/>
      <c r="HGS165" s="7"/>
      <c r="HGT165" s="7"/>
      <c r="HGU165" s="7"/>
      <c r="HGV165" s="7"/>
      <c r="HGW165" s="7"/>
      <c r="HGX165" s="7"/>
      <c r="HGY165" s="7"/>
      <c r="HGZ165" s="7"/>
      <c r="HHA165" s="7"/>
      <c r="HHB165" s="7"/>
      <c r="HHC165" s="7"/>
      <c r="HHD165" s="7"/>
      <c r="HHE165" s="7"/>
      <c r="HHF165" s="7"/>
      <c r="HHG165" s="7"/>
      <c r="HHH165" s="7"/>
      <c r="HHI165" s="7"/>
      <c r="HHJ165" s="7"/>
      <c r="HHK165" s="7"/>
      <c r="HHL165" s="7"/>
      <c r="HHM165" s="7"/>
      <c r="HHN165" s="7"/>
      <c r="HHO165" s="7"/>
      <c r="HHP165" s="7"/>
      <c r="HHQ165" s="7"/>
      <c r="HHR165" s="7"/>
      <c r="HHS165" s="7"/>
      <c r="HHT165" s="7"/>
      <c r="HHU165" s="7"/>
      <c r="HHV165" s="7"/>
      <c r="HHW165" s="7"/>
      <c r="HHX165" s="7"/>
      <c r="HHY165" s="7"/>
      <c r="HHZ165" s="7"/>
      <c r="HIA165" s="7"/>
      <c r="HIB165" s="7"/>
      <c r="HIC165" s="7"/>
      <c r="HID165" s="7"/>
      <c r="HIE165" s="7"/>
      <c r="HIF165" s="7"/>
      <c r="HIG165" s="7"/>
      <c r="HIH165" s="7"/>
      <c r="HII165" s="7"/>
      <c r="HIJ165" s="7"/>
      <c r="HIK165" s="7"/>
      <c r="HIL165" s="7"/>
      <c r="HIM165" s="7"/>
      <c r="HIN165" s="7"/>
      <c r="HIO165" s="7"/>
      <c r="HIP165" s="7"/>
      <c r="HIQ165" s="7"/>
      <c r="HIR165" s="7"/>
      <c r="HIS165" s="7"/>
      <c r="HIT165" s="7"/>
      <c r="HIU165" s="7"/>
      <c r="HIV165" s="7"/>
      <c r="HIW165" s="7"/>
      <c r="HIX165" s="7"/>
      <c r="HIY165" s="7"/>
      <c r="HIZ165" s="7"/>
      <c r="HJA165" s="7"/>
      <c r="HJB165" s="7"/>
      <c r="HJC165" s="7"/>
      <c r="HJD165" s="7"/>
      <c r="HJE165" s="7"/>
      <c r="HJF165" s="7"/>
      <c r="HJG165" s="7"/>
      <c r="HJH165" s="7"/>
      <c r="HJI165" s="7"/>
      <c r="HJJ165" s="7"/>
      <c r="HJK165" s="7"/>
      <c r="HJL165" s="7"/>
      <c r="HJM165" s="7"/>
      <c r="HJN165" s="7"/>
      <c r="HJO165" s="7"/>
      <c r="HJP165" s="7"/>
      <c r="HJQ165" s="7"/>
      <c r="HJR165" s="7"/>
      <c r="HJS165" s="7"/>
      <c r="HJT165" s="7"/>
      <c r="HJU165" s="7"/>
      <c r="HJV165" s="7"/>
      <c r="HJW165" s="7"/>
      <c r="HJX165" s="7"/>
      <c r="HJY165" s="7"/>
      <c r="HJZ165" s="7"/>
      <c r="HKA165" s="7"/>
      <c r="HKB165" s="7"/>
      <c r="HKC165" s="7"/>
      <c r="HKD165" s="7"/>
      <c r="HKE165" s="7"/>
      <c r="HKF165" s="7"/>
      <c r="HKG165" s="7"/>
      <c r="HKH165" s="7"/>
      <c r="HKI165" s="7"/>
      <c r="HKJ165" s="7"/>
      <c r="HKK165" s="7"/>
      <c r="HKL165" s="7"/>
      <c r="HKM165" s="7"/>
      <c r="HKN165" s="7"/>
      <c r="HKO165" s="7"/>
      <c r="HKP165" s="7"/>
      <c r="HKQ165" s="7"/>
      <c r="HKR165" s="7"/>
      <c r="HKS165" s="7"/>
      <c r="HKT165" s="7"/>
      <c r="HKU165" s="7"/>
      <c r="HKV165" s="7"/>
      <c r="HKW165" s="7"/>
      <c r="HKX165" s="7"/>
      <c r="HKY165" s="7"/>
      <c r="HKZ165" s="7"/>
      <c r="HLA165" s="7"/>
      <c r="HLB165" s="7"/>
      <c r="HLC165" s="7"/>
      <c r="HLD165" s="7"/>
      <c r="HLE165" s="7"/>
      <c r="HLF165" s="7"/>
      <c r="HLG165" s="7"/>
      <c r="HLH165" s="7"/>
      <c r="HLI165" s="7"/>
      <c r="HLJ165" s="7"/>
      <c r="HLK165" s="7"/>
      <c r="HLL165" s="7"/>
      <c r="HLM165" s="7"/>
      <c r="HLN165" s="7"/>
      <c r="HLO165" s="7"/>
      <c r="HLP165" s="7"/>
      <c r="HLQ165" s="7"/>
      <c r="HLR165" s="7"/>
      <c r="HLS165" s="7"/>
      <c r="HLT165" s="7"/>
      <c r="HLU165" s="7"/>
      <c r="HLV165" s="7"/>
      <c r="HLW165" s="7"/>
      <c r="HLX165" s="7"/>
      <c r="HLY165" s="7"/>
      <c r="HLZ165" s="7"/>
      <c r="HMA165" s="7"/>
      <c r="HMB165" s="7"/>
      <c r="HMC165" s="7"/>
      <c r="HMD165" s="7"/>
      <c r="HME165" s="7"/>
      <c r="HMF165" s="7"/>
      <c r="HMG165" s="7"/>
      <c r="HMH165" s="7"/>
      <c r="HMI165" s="7"/>
      <c r="HMJ165" s="7"/>
      <c r="HMK165" s="7"/>
      <c r="HML165" s="7"/>
      <c r="HMM165" s="7"/>
      <c r="HMN165" s="7"/>
      <c r="HMO165" s="7"/>
      <c r="HMP165" s="7"/>
      <c r="HMQ165" s="7"/>
      <c r="HMR165" s="7"/>
      <c r="HMS165" s="7"/>
      <c r="HMT165" s="7"/>
      <c r="HMU165" s="7"/>
      <c r="HMV165" s="7"/>
      <c r="HMW165" s="7"/>
      <c r="HMX165" s="7"/>
      <c r="HMY165" s="7"/>
      <c r="HMZ165" s="7"/>
      <c r="HNA165" s="7"/>
      <c r="HNB165" s="7"/>
      <c r="HNC165" s="7"/>
      <c r="HND165" s="7"/>
      <c r="HNE165" s="7"/>
      <c r="HNF165" s="7"/>
      <c r="HNG165" s="7"/>
      <c r="HNH165" s="7"/>
      <c r="HNI165" s="7"/>
      <c r="HNJ165" s="7"/>
      <c r="HNK165" s="7"/>
      <c r="HNL165" s="7"/>
      <c r="HNM165" s="7"/>
      <c r="HNN165" s="7"/>
      <c r="HNO165" s="7"/>
      <c r="HNP165" s="7"/>
      <c r="HNQ165" s="7"/>
      <c r="HNR165" s="7"/>
      <c r="HNS165" s="7"/>
      <c r="HNT165" s="7"/>
      <c r="HNU165" s="7"/>
      <c r="HNV165" s="7"/>
      <c r="HNW165" s="7"/>
      <c r="HNX165" s="7"/>
      <c r="HNY165" s="7"/>
      <c r="HNZ165" s="7"/>
      <c r="HOA165" s="7"/>
      <c r="HOB165" s="7"/>
      <c r="HOC165" s="7"/>
      <c r="HOD165" s="7"/>
      <c r="HOE165" s="7"/>
      <c r="HOF165" s="7"/>
      <c r="HOG165" s="7"/>
      <c r="HOH165" s="7"/>
      <c r="HOI165" s="7"/>
      <c r="HOJ165" s="7"/>
      <c r="HOK165" s="7"/>
      <c r="HOL165" s="7"/>
      <c r="HOM165" s="7"/>
      <c r="HON165" s="7"/>
      <c r="HOO165" s="7"/>
      <c r="HOP165" s="7"/>
      <c r="HOQ165" s="7"/>
      <c r="HOR165" s="7"/>
      <c r="HOS165" s="7"/>
      <c r="HOT165" s="7"/>
      <c r="HOU165" s="7"/>
      <c r="HOV165" s="7"/>
      <c r="HOW165" s="7"/>
      <c r="HOX165" s="7"/>
      <c r="HOY165" s="7"/>
      <c r="HOZ165" s="7"/>
      <c r="HPA165" s="7"/>
      <c r="HPB165" s="7"/>
      <c r="HPC165" s="7"/>
      <c r="HPD165" s="7"/>
      <c r="HPE165" s="7"/>
      <c r="HPF165" s="7"/>
      <c r="HPG165" s="7"/>
      <c r="HPH165" s="7"/>
      <c r="HPI165" s="7"/>
      <c r="HPJ165" s="7"/>
      <c r="HPK165" s="7"/>
      <c r="HPL165" s="7"/>
      <c r="HPM165" s="7"/>
      <c r="HPN165" s="7"/>
      <c r="HPO165" s="7"/>
      <c r="HPP165" s="7"/>
      <c r="HPQ165" s="7"/>
      <c r="HPR165" s="7"/>
      <c r="HPS165" s="7"/>
      <c r="HPT165" s="7"/>
      <c r="HPU165" s="7"/>
      <c r="HPV165" s="7"/>
      <c r="HPW165" s="7"/>
      <c r="HPX165" s="7"/>
      <c r="HPY165" s="7"/>
      <c r="HPZ165" s="7"/>
      <c r="HQA165" s="7"/>
      <c r="HQB165" s="7"/>
      <c r="HQC165" s="7"/>
      <c r="HQD165" s="7"/>
      <c r="HQE165" s="7"/>
      <c r="HQF165" s="7"/>
      <c r="HQG165" s="7"/>
      <c r="HQH165" s="7"/>
      <c r="HQI165" s="7"/>
      <c r="HQJ165" s="7"/>
      <c r="HQK165" s="7"/>
      <c r="HQL165" s="7"/>
      <c r="HQM165" s="7"/>
      <c r="HQN165" s="7"/>
      <c r="HQO165" s="7"/>
      <c r="HQP165" s="7"/>
      <c r="HQQ165" s="7"/>
      <c r="HQR165" s="7"/>
      <c r="HQS165" s="7"/>
      <c r="HQT165" s="7"/>
      <c r="HQU165" s="7"/>
      <c r="HQV165" s="7"/>
      <c r="HQW165" s="7"/>
      <c r="HQX165" s="7"/>
      <c r="HQY165" s="7"/>
      <c r="HQZ165" s="7"/>
      <c r="HRA165" s="7"/>
      <c r="HRB165" s="7"/>
      <c r="HRC165" s="7"/>
      <c r="HRD165" s="7"/>
      <c r="HRE165" s="7"/>
      <c r="HRF165" s="7"/>
      <c r="HRG165" s="7"/>
      <c r="HRH165" s="7"/>
      <c r="HRI165" s="7"/>
      <c r="HRJ165" s="7"/>
      <c r="HRK165" s="7"/>
      <c r="HRL165" s="7"/>
      <c r="HRM165" s="7"/>
      <c r="HRN165" s="7"/>
      <c r="HRO165" s="7"/>
      <c r="HRP165" s="7"/>
      <c r="HRQ165" s="7"/>
      <c r="HRR165" s="7"/>
      <c r="HRS165" s="7"/>
      <c r="HRT165" s="7"/>
      <c r="HRU165" s="7"/>
      <c r="HRV165" s="7"/>
      <c r="HRW165" s="7"/>
      <c r="HRX165" s="7"/>
      <c r="HRY165" s="7"/>
      <c r="HRZ165" s="7"/>
      <c r="HSA165" s="7"/>
      <c r="HSB165" s="7"/>
      <c r="HSC165" s="7"/>
      <c r="HSD165" s="7"/>
      <c r="HSE165" s="7"/>
      <c r="HSF165" s="7"/>
      <c r="HSG165" s="7"/>
      <c r="HSH165" s="7"/>
      <c r="HSI165" s="7"/>
      <c r="HSJ165" s="7"/>
      <c r="HSK165" s="7"/>
      <c r="HSL165" s="7"/>
      <c r="HSM165" s="7"/>
      <c r="HSN165" s="7"/>
      <c r="HSO165" s="7"/>
      <c r="HSP165" s="7"/>
      <c r="HSQ165" s="7"/>
      <c r="HSR165" s="7"/>
      <c r="HSS165" s="7"/>
      <c r="HST165" s="7"/>
      <c r="HSU165" s="7"/>
      <c r="HSV165" s="7"/>
      <c r="HSW165" s="7"/>
      <c r="HSX165" s="7"/>
      <c r="HSY165" s="7"/>
      <c r="HSZ165" s="7"/>
      <c r="HTA165" s="7"/>
      <c r="HTB165" s="7"/>
      <c r="HTC165" s="7"/>
      <c r="HTD165" s="7"/>
      <c r="HTE165" s="7"/>
      <c r="HTF165" s="7"/>
      <c r="HTG165" s="7"/>
      <c r="HTH165" s="7"/>
      <c r="HTI165" s="7"/>
      <c r="HTJ165" s="7"/>
      <c r="HTK165" s="7"/>
      <c r="HTL165" s="7"/>
      <c r="HTM165" s="7"/>
      <c r="HTN165" s="7"/>
      <c r="HTO165" s="7"/>
      <c r="HTP165" s="7"/>
      <c r="HTQ165" s="7"/>
      <c r="HTR165" s="7"/>
      <c r="HTS165" s="7"/>
      <c r="HTT165" s="7"/>
      <c r="HTU165" s="7"/>
      <c r="HTV165" s="7"/>
      <c r="HTW165" s="7"/>
      <c r="HTX165" s="7"/>
      <c r="HTY165" s="7"/>
      <c r="HTZ165" s="7"/>
      <c r="HUA165" s="7"/>
      <c r="HUB165" s="7"/>
      <c r="HUC165" s="7"/>
      <c r="HUD165" s="7"/>
      <c r="HUE165" s="7"/>
      <c r="HUF165" s="7"/>
      <c r="HUG165" s="7"/>
      <c r="HUH165" s="7"/>
      <c r="HUI165" s="7"/>
      <c r="HUJ165" s="7"/>
      <c r="HUK165" s="7"/>
      <c r="HUL165" s="7"/>
      <c r="HUM165" s="7"/>
      <c r="HUN165" s="7"/>
      <c r="HUO165" s="7"/>
      <c r="HUP165" s="7"/>
      <c r="HUQ165" s="7"/>
      <c r="HUR165" s="7"/>
      <c r="HUS165" s="7"/>
      <c r="HUT165" s="7"/>
      <c r="HUU165" s="7"/>
      <c r="HUV165" s="7"/>
      <c r="HUW165" s="7"/>
      <c r="HUX165" s="7"/>
      <c r="HUY165" s="7"/>
      <c r="HUZ165" s="7"/>
      <c r="HVA165" s="7"/>
      <c r="HVB165" s="7"/>
      <c r="HVC165" s="7"/>
      <c r="HVD165" s="7"/>
      <c r="HVE165" s="7"/>
      <c r="HVF165" s="7"/>
      <c r="HVG165" s="7"/>
      <c r="HVH165" s="7"/>
      <c r="HVI165" s="7"/>
      <c r="HVJ165" s="7"/>
      <c r="HVK165" s="7"/>
      <c r="HVL165" s="7"/>
      <c r="HVM165" s="7"/>
      <c r="HVN165" s="7"/>
      <c r="HVO165" s="7"/>
      <c r="HVP165" s="7"/>
      <c r="HVQ165" s="7"/>
      <c r="HVR165" s="7"/>
      <c r="HVS165" s="7"/>
      <c r="HVT165" s="7"/>
      <c r="HVU165" s="7"/>
      <c r="HVV165" s="7"/>
      <c r="HVW165" s="7"/>
      <c r="HVX165" s="7"/>
      <c r="HVY165" s="7"/>
      <c r="HVZ165" s="7"/>
      <c r="HWA165" s="7"/>
      <c r="HWB165" s="7"/>
      <c r="HWC165" s="7"/>
      <c r="HWD165" s="7"/>
      <c r="HWE165" s="7"/>
      <c r="HWF165" s="7"/>
      <c r="HWG165" s="7"/>
      <c r="HWH165" s="7"/>
      <c r="HWI165" s="7"/>
      <c r="HWJ165" s="7"/>
      <c r="HWK165" s="7"/>
      <c r="HWL165" s="7"/>
      <c r="HWM165" s="7"/>
      <c r="HWN165" s="7"/>
      <c r="HWO165" s="7"/>
      <c r="HWP165" s="7"/>
      <c r="HWQ165" s="7"/>
      <c r="HWR165" s="7"/>
      <c r="HWS165" s="7"/>
      <c r="HWT165" s="7"/>
      <c r="HWU165" s="7"/>
      <c r="HWV165" s="7"/>
      <c r="HWW165" s="7"/>
      <c r="HWX165" s="7"/>
      <c r="HWY165" s="7"/>
      <c r="HWZ165" s="7"/>
      <c r="HXA165" s="7"/>
      <c r="HXB165" s="7"/>
      <c r="HXC165" s="7"/>
      <c r="HXD165" s="7"/>
      <c r="HXE165" s="7"/>
      <c r="HXF165" s="7"/>
      <c r="HXG165" s="7"/>
      <c r="HXH165" s="7"/>
      <c r="HXI165" s="7"/>
      <c r="HXJ165" s="7"/>
      <c r="HXK165" s="7"/>
      <c r="HXL165" s="7"/>
      <c r="HXM165" s="7"/>
      <c r="HXN165" s="7"/>
      <c r="HXO165" s="7"/>
      <c r="HXP165" s="7"/>
      <c r="HXQ165" s="7"/>
      <c r="HXR165" s="7"/>
      <c r="HXS165" s="7"/>
      <c r="HXT165" s="7"/>
      <c r="HXU165" s="7"/>
      <c r="HXV165" s="7"/>
      <c r="HXW165" s="7"/>
      <c r="HXX165" s="7"/>
      <c r="HXY165" s="7"/>
      <c r="HXZ165" s="7"/>
      <c r="HYA165" s="7"/>
      <c r="HYB165" s="7"/>
      <c r="HYC165" s="7"/>
      <c r="HYD165" s="7"/>
      <c r="HYE165" s="7"/>
      <c r="HYF165" s="7"/>
      <c r="HYG165" s="7"/>
      <c r="HYH165" s="7"/>
      <c r="HYI165" s="7"/>
      <c r="HYJ165" s="7"/>
      <c r="HYK165" s="7"/>
      <c r="HYL165" s="7"/>
      <c r="HYM165" s="7"/>
      <c r="HYN165" s="7"/>
      <c r="HYO165" s="7"/>
      <c r="HYP165" s="7"/>
      <c r="HYQ165" s="7"/>
      <c r="HYR165" s="7"/>
      <c r="HYS165" s="7"/>
      <c r="HYT165" s="7"/>
      <c r="HYU165" s="7"/>
      <c r="HYV165" s="7"/>
      <c r="HYW165" s="7"/>
      <c r="HYX165" s="7"/>
      <c r="HYY165" s="7"/>
      <c r="HYZ165" s="7"/>
      <c r="HZA165" s="7"/>
      <c r="HZB165" s="7"/>
      <c r="HZC165" s="7"/>
      <c r="HZD165" s="7"/>
      <c r="HZE165" s="7"/>
      <c r="HZF165" s="7"/>
      <c r="HZG165" s="7"/>
      <c r="HZH165" s="7"/>
      <c r="HZI165" s="7"/>
      <c r="HZJ165" s="7"/>
      <c r="HZK165" s="7"/>
      <c r="HZL165" s="7"/>
      <c r="HZM165" s="7"/>
      <c r="HZN165" s="7"/>
      <c r="HZO165" s="7"/>
      <c r="HZP165" s="7"/>
      <c r="HZQ165" s="7"/>
      <c r="HZR165" s="7"/>
      <c r="HZS165" s="7"/>
      <c r="HZT165" s="7"/>
      <c r="HZU165" s="7"/>
      <c r="HZV165" s="7"/>
      <c r="HZW165" s="7"/>
      <c r="HZX165" s="7"/>
      <c r="HZY165" s="7"/>
      <c r="HZZ165" s="7"/>
      <c r="IAA165" s="7"/>
      <c r="IAB165" s="7"/>
      <c r="IAC165" s="7"/>
      <c r="IAD165" s="7"/>
      <c r="IAE165" s="7"/>
      <c r="IAF165" s="7"/>
      <c r="IAG165" s="7"/>
      <c r="IAH165" s="7"/>
      <c r="IAI165" s="7"/>
      <c r="IAJ165" s="7"/>
      <c r="IAK165" s="7"/>
      <c r="IAL165" s="7"/>
      <c r="IAM165" s="7"/>
      <c r="IAN165" s="7"/>
      <c r="IAO165" s="7"/>
      <c r="IAP165" s="7"/>
      <c r="IAQ165" s="7"/>
      <c r="IAR165" s="7"/>
      <c r="IAS165" s="7"/>
      <c r="IAT165" s="7"/>
      <c r="IAU165" s="7"/>
      <c r="IAV165" s="7"/>
      <c r="IAW165" s="7"/>
      <c r="IAX165" s="7"/>
      <c r="IAY165" s="7"/>
      <c r="IAZ165" s="7"/>
      <c r="IBA165" s="7"/>
      <c r="IBB165" s="7"/>
      <c r="IBC165" s="7"/>
      <c r="IBD165" s="7"/>
      <c r="IBE165" s="7"/>
      <c r="IBF165" s="7"/>
      <c r="IBG165" s="7"/>
      <c r="IBH165" s="7"/>
      <c r="IBI165" s="7"/>
      <c r="IBJ165" s="7"/>
      <c r="IBK165" s="7"/>
      <c r="IBL165" s="7"/>
      <c r="IBM165" s="7"/>
      <c r="IBN165" s="7"/>
      <c r="IBO165" s="7"/>
      <c r="IBP165" s="7"/>
      <c r="IBQ165" s="7"/>
      <c r="IBR165" s="7"/>
      <c r="IBS165" s="7"/>
      <c r="IBT165" s="7"/>
      <c r="IBU165" s="7"/>
      <c r="IBV165" s="7"/>
      <c r="IBW165" s="7"/>
      <c r="IBX165" s="7"/>
      <c r="IBY165" s="7"/>
      <c r="IBZ165" s="7"/>
      <c r="ICA165" s="7"/>
      <c r="ICB165" s="7"/>
      <c r="ICC165" s="7"/>
      <c r="ICD165" s="7"/>
      <c r="ICE165" s="7"/>
      <c r="ICF165" s="7"/>
      <c r="ICG165" s="7"/>
      <c r="ICH165" s="7"/>
      <c r="ICI165" s="7"/>
      <c r="ICJ165" s="7"/>
      <c r="ICK165" s="7"/>
      <c r="ICL165" s="7"/>
      <c r="ICM165" s="7"/>
      <c r="ICN165" s="7"/>
      <c r="ICO165" s="7"/>
      <c r="ICP165" s="7"/>
      <c r="ICQ165" s="7"/>
      <c r="ICR165" s="7"/>
      <c r="ICS165" s="7"/>
      <c r="ICT165" s="7"/>
      <c r="ICU165" s="7"/>
      <c r="ICV165" s="7"/>
      <c r="ICW165" s="7"/>
      <c r="ICX165" s="7"/>
      <c r="ICY165" s="7"/>
      <c r="ICZ165" s="7"/>
      <c r="IDA165" s="7"/>
      <c r="IDB165" s="7"/>
      <c r="IDC165" s="7"/>
      <c r="IDD165" s="7"/>
      <c r="IDE165" s="7"/>
      <c r="IDF165" s="7"/>
      <c r="IDG165" s="7"/>
      <c r="IDH165" s="7"/>
      <c r="IDI165" s="7"/>
      <c r="IDJ165" s="7"/>
      <c r="IDK165" s="7"/>
      <c r="IDL165" s="7"/>
      <c r="IDM165" s="7"/>
      <c r="IDN165" s="7"/>
      <c r="IDO165" s="7"/>
      <c r="IDP165" s="7"/>
      <c r="IDQ165" s="7"/>
      <c r="IDR165" s="7"/>
      <c r="IDS165" s="7"/>
      <c r="IDT165" s="7"/>
      <c r="IDU165" s="7"/>
      <c r="IDV165" s="7"/>
      <c r="IDW165" s="7"/>
      <c r="IDX165" s="7"/>
      <c r="IDY165" s="7"/>
      <c r="IDZ165" s="7"/>
      <c r="IEA165" s="7"/>
      <c r="IEB165" s="7"/>
      <c r="IEC165" s="7"/>
      <c r="IED165" s="7"/>
      <c r="IEE165" s="7"/>
      <c r="IEF165" s="7"/>
      <c r="IEG165" s="7"/>
      <c r="IEH165" s="7"/>
      <c r="IEI165" s="7"/>
      <c r="IEJ165" s="7"/>
      <c r="IEK165" s="7"/>
      <c r="IEL165" s="7"/>
      <c r="IEM165" s="7"/>
      <c r="IEN165" s="7"/>
      <c r="IEO165" s="7"/>
      <c r="IEP165" s="7"/>
      <c r="IEQ165" s="7"/>
      <c r="IER165" s="7"/>
      <c r="IES165" s="7"/>
      <c r="IET165" s="7"/>
      <c r="IEU165" s="7"/>
      <c r="IEV165" s="7"/>
      <c r="IEW165" s="7"/>
      <c r="IEX165" s="7"/>
      <c r="IEY165" s="7"/>
      <c r="IEZ165" s="7"/>
      <c r="IFA165" s="7"/>
      <c r="IFB165" s="7"/>
      <c r="IFC165" s="7"/>
      <c r="IFD165" s="7"/>
      <c r="IFE165" s="7"/>
      <c r="IFF165" s="7"/>
      <c r="IFG165" s="7"/>
      <c r="IFH165" s="7"/>
      <c r="IFI165" s="7"/>
      <c r="IFJ165" s="7"/>
      <c r="IFK165" s="7"/>
      <c r="IFL165" s="7"/>
      <c r="IFM165" s="7"/>
      <c r="IFN165" s="7"/>
      <c r="IFO165" s="7"/>
      <c r="IFP165" s="7"/>
      <c r="IFQ165" s="7"/>
      <c r="IFR165" s="7"/>
      <c r="IFS165" s="7"/>
      <c r="IFT165" s="7"/>
      <c r="IFU165" s="7"/>
      <c r="IFV165" s="7"/>
      <c r="IFW165" s="7"/>
      <c r="IFX165" s="7"/>
      <c r="IFY165" s="7"/>
      <c r="IFZ165" s="7"/>
      <c r="IGA165" s="7"/>
      <c r="IGB165" s="7"/>
      <c r="IGC165" s="7"/>
      <c r="IGD165" s="7"/>
      <c r="IGE165" s="7"/>
      <c r="IGF165" s="7"/>
      <c r="IGG165" s="7"/>
      <c r="IGH165" s="7"/>
      <c r="IGI165" s="7"/>
      <c r="IGJ165" s="7"/>
      <c r="IGK165" s="7"/>
      <c r="IGL165" s="7"/>
      <c r="IGM165" s="7"/>
      <c r="IGN165" s="7"/>
      <c r="IGO165" s="7"/>
      <c r="IGP165" s="7"/>
      <c r="IGQ165" s="7"/>
      <c r="IGR165" s="7"/>
      <c r="IGS165" s="7"/>
      <c r="IGT165" s="7"/>
      <c r="IGU165" s="7"/>
      <c r="IGV165" s="7"/>
      <c r="IGW165" s="7"/>
      <c r="IGX165" s="7"/>
      <c r="IGY165" s="7"/>
      <c r="IGZ165" s="7"/>
      <c r="IHA165" s="7"/>
      <c r="IHB165" s="7"/>
      <c r="IHC165" s="7"/>
      <c r="IHD165" s="7"/>
      <c r="IHE165" s="7"/>
      <c r="IHF165" s="7"/>
      <c r="IHG165" s="7"/>
      <c r="IHH165" s="7"/>
      <c r="IHI165" s="7"/>
      <c r="IHJ165" s="7"/>
      <c r="IHK165" s="7"/>
      <c r="IHL165" s="7"/>
      <c r="IHM165" s="7"/>
      <c r="IHN165" s="7"/>
      <c r="IHO165" s="7"/>
      <c r="IHP165" s="7"/>
      <c r="IHQ165" s="7"/>
      <c r="IHR165" s="7"/>
      <c r="IHS165" s="7"/>
      <c r="IHT165" s="7"/>
      <c r="IHU165" s="7"/>
      <c r="IHV165" s="7"/>
      <c r="IHW165" s="7"/>
      <c r="IHX165" s="7"/>
      <c r="IHY165" s="7"/>
      <c r="IHZ165" s="7"/>
      <c r="IIA165" s="7"/>
      <c r="IIB165" s="7"/>
      <c r="IIC165" s="7"/>
      <c r="IID165" s="7"/>
      <c r="IIE165" s="7"/>
      <c r="IIF165" s="7"/>
      <c r="IIG165" s="7"/>
      <c r="IIH165" s="7"/>
      <c r="III165" s="7"/>
      <c r="IIJ165" s="7"/>
      <c r="IIK165" s="7"/>
      <c r="IIL165" s="7"/>
      <c r="IIM165" s="7"/>
      <c r="IIN165" s="7"/>
      <c r="IIO165" s="7"/>
      <c r="IIP165" s="7"/>
      <c r="IIQ165" s="7"/>
      <c r="IIR165" s="7"/>
      <c r="IIS165" s="7"/>
      <c r="IIT165" s="7"/>
      <c r="IIU165" s="7"/>
      <c r="IIV165" s="7"/>
      <c r="IIW165" s="7"/>
      <c r="IIX165" s="7"/>
      <c r="IIY165" s="7"/>
      <c r="IIZ165" s="7"/>
      <c r="IJA165" s="7"/>
      <c r="IJB165" s="7"/>
      <c r="IJC165" s="7"/>
      <c r="IJD165" s="7"/>
      <c r="IJE165" s="7"/>
      <c r="IJF165" s="7"/>
      <c r="IJG165" s="7"/>
      <c r="IJH165" s="7"/>
      <c r="IJI165" s="7"/>
      <c r="IJJ165" s="7"/>
      <c r="IJK165" s="7"/>
      <c r="IJL165" s="7"/>
      <c r="IJM165" s="7"/>
      <c r="IJN165" s="7"/>
      <c r="IJO165" s="7"/>
      <c r="IJP165" s="7"/>
      <c r="IJQ165" s="7"/>
      <c r="IJR165" s="7"/>
      <c r="IJS165" s="7"/>
      <c r="IJT165" s="7"/>
      <c r="IJU165" s="7"/>
      <c r="IJV165" s="7"/>
      <c r="IJW165" s="7"/>
      <c r="IJX165" s="7"/>
      <c r="IJY165" s="7"/>
      <c r="IJZ165" s="7"/>
      <c r="IKA165" s="7"/>
      <c r="IKB165" s="7"/>
      <c r="IKC165" s="7"/>
      <c r="IKD165" s="7"/>
      <c r="IKE165" s="7"/>
      <c r="IKF165" s="7"/>
      <c r="IKG165" s="7"/>
      <c r="IKH165" s="7"/>
      <c r="IKI165" s="7"/>
      <c r="IKJ165" s="7"/>
      <c r="IKK165" s="7"/>
      <c r="IKL165" s="7"/>
      <c r="IKM165" s="7"/>
      <c r="IKN165" s="7"/>
      <c r="IKO165" s="7"/>
      <c r="IKP165" s="7"/>
      <c r="IKQ165" s="7"/>
      <c r="IKR165" s="7"/>
      <c r="IKS165" s="7"/>
      <c r="IKT165" s="7"/>
      <c r="IKU165" s="7"/>
      <c r="IKV165" s="7"/>
      <c r="IKW165" s="7"/>
      <c r="IKX165" s="7"/>
      <c r="IKY165" s="7"/>
      <c r="IKZ165" s="7"/>
      <c r="ILA165" s="7"/>
      <c r="ILB165" s="7"/>
      <c r="ILC165" s="7"/>
      <c r="ILD165" s="7"/>
      <c r="ILE165" s="7"/>
      <c r="ILF165" s="7"/>
      <c r="ILG165" s="7"/>
      <c r="ILH165" s="7"/>
      <c r="ILI165" s="7"/>
      <c r="ILJ165" s="7"/>
      <c r="ILK165" s="7"/>
      <c r="ILL165" s="7"/>
      <c r="ILM165" s="7"/>
      <c r="ILN165" s="7"/>
      <c r="ILO165" s="7"/>
      <c r="ILP165" s="7"/>
      <c r="ILQ165" s="7"/>
      <c r="ILR165" s="7"/>
      <c r="ILS165" s="7"/>
      <c r="ILT165" s="7"/>
      <c r="ILU165" s="7"/>
      <c r="ILV165" s="7"/>
      <c r="ILW165" s="7"/>
      <c r="ILX165" s="7"/>
      <c r="ILY165" s="7"/>
      <c r="ILZ165" s="7"/>
      <c r="IMA165" s="7"/>
      <c r="IMB165" s="7"/>
      <c r="IMC165" s="7"/>
      <c r="IMD165" s="7"/>
      <c r="IME165" s="7"/>
      <c r="IMF165" s="7"/>
      <c r="IMG165" s="7"/>
      <c r="IMH165" s="7"/>
      <c r="IMI165" s="7"/>
      <c r="IMJ165" s="7"/>
      <c r="IMK165" s="7"/>
      <c r="IML165" s="7"/>
      <c r="IMM165" s="7"/>
      <c r="IMN165" s="7"/>
      <c r="IMO165" s="7"/>
      <c r="IMP165" s="7"/>
      <c r="IMQ165" s="7"/>
      <c r="IMR165" s="7"/>
      <c r="IMS165" s="7"/>
      <c r="IMT165" s="7"/>
      <c r="IMU165" s="7"/>
      <c r="IMV165" s="7"/>
      <c r="IMW165" s="7"/>
      <c r="IMX165" s="7"/>
      <c r="IMY165" s="7"/>
      <c r="IMZ165" s="7"/>
      <c r="INA165" s="7"/>
      <c r="INB165" s="7"/>
      <c r="INC165" s="7"/>
      <c r="IND165" s="7"/>
      <c r="INE165" s="7"/>
      <c r="INF165" s="7"/>
      <c r="ING165" s="7"/>
      <c r="INH165" s="7"/>
      <c r="INI165" s="7"/>
      <c r="INJ165" s="7"/>
      <c r="INK165" s="7"/>
      <c r="INL165" s="7"/>
      <c r="INM165" s="7"/>
      <c r="INN165" s="7"/>
      <c r="INO165" s="7"/>
      <c r="INP165" s="7"/>
      <c r="INQ165" s="7"/>
      <c r="INR165" s="7"/>
      <c r="INS165" s="7"/>
      <c r="INT165" s="7"/>
      <c r="INU165" s="7"/>
      <c r="INV165" s="7"/>
      <c r="INW165" s="7"/>
      <c r="INX165" s="7"/>
      <c r="INY165" s="7"/>
      <c r="INZ165" s="7"/>
      <c r="IOA165" s="7"/>
      <c r="IOB165" s="7"/>
      <c r="IOC165" s="7"/>
      <c r="IOD165" s="7"/>
      <c r="IOE165" s="7"/>
      <c r="IOF165" s="7"/>
      <c r="IOG165" s="7"/>
      <c r="IOH165" s="7"/>
      <c r="IOI165" s="7"/>
      <c r="IOJ165" s="7"/>
      <c r="IOK165" s="7"/>
      <c r="IOL165" s="7"/>
      <c r="IOM165" s="7"/>
      <c r="ION165" s="7"/>
      <c r="IOO165" s="7"/>
      <c r="IOP165" s="7"/>
      <c r="IOQ165" s="7"/>
      <c r="IOR165" s="7"/>
      <c r="IOS165" s="7"/>
      <c r="IOT165" s="7"/>
      <c r="IOU165" s="7"/>
      <c r="IOV165" s="7"/>
      <c r="IOW165" s="7"/>
      <c r="IOX165" s="7"/>
      <c r="IOY165" s="7"/>
      <c r="IOZ165" s="7"/>
      <c r="IPA165" s="7"/>
      <c r="IPB165" s="7"/>
      <c r="IPC165" s="7"/>
      <c r="IPD165" s="7"/>
      <c r="IPE165" s="7"/>
      <c r="IPF165" s="7"/>
      <c r="IPG165" s="7"/>
      <c r="IPH165" s="7"/>
      <c r="IPI165" s="7"/>
      <c r="IPJ165" s="7"/>
      <c r="IPK165" s="7"/>
      <c r="IPL165" s="7"/>
      <c r="IPM165" s="7"/>
      <c r="IPN165" s="7"/>
      <c r="IPO165" s="7"/>
      <c r="IPP165" s="7"/>
      <c r="IPQ165" s="7"/>
      <c r="IPR165" s="7"/>
      <c r="IPS165" s="7"/>
      <c r="IPT165" s="7"/>
      <c r="IPU165" s="7"/>
      <c r="IPV165" s="7"/>
      <c r="IPW165" s="7"/>
      <c r="IPX165" s="7"/>
      <c r="IPY165" s="7"/>
      <c r="IPZ165" s="7"/>
      <c r="IQA165" s="7"/>
      <c r="IQB165" s="7"/>
      <c r="IQC165" s="7"/>
      <c r="IQD165" s="7"/>
      <c r="IQE165" s="7"/>
      <c r="IQF165" s="7"/>
      <c r="IQG165" s="7"/>
      <c r="IQH165" s="7"/>
      <c r="IQI165" s="7"/>
      <c r="IQJ165" s="7"/>
      <c r="IQK165" s="7"/>
      <c r="IQL165" s="7"/>
      <c r="IQM165" s="7"/>
      <c r="IQN165" s="7"/>
      <c r="IQO165" s="7"/>
      <c r="IQP165" s="7"/>
      <c r="IQQ165" s="7"/>
      <c r="IQR165" s="7"/>
      <c r="IQS165" s="7"/>
      <c r="IQT165" s="7"/>
      <c r="IQU165" s="7"/>
      <c r="IQV165" s="7"/>
      <c r="IQW165" s="7"/>
      <c r="IQX165" s="7"/>
      <c r="IQY165" s="7"/>
      <c r="IQZ165" s="7"/>
      <c r="IRA165" s="7"/>
      <c r="IRB165" s="7"/>
      <c r="IRC165" s="7"/>
      <c r="IRD165" s="7"/>
      <c r="IRE165" s="7"/>
      <c r="IRF165" s="7"/>
      <c r="IRG165" s="7"/>
      <c r="IRH165" s="7"/>
      <c r="IRI165" s="7"/>
      <c r="IRJ165" s="7"/>
      <c r="IRK165" s="7"/>
      <c r="IRL165" s="7"/>
      <c r="IRM165" s="7"/>
      <c r="IRN165" s="7"/>
      <c r="IRO165" s="7"/>
      <c r="IRP165" s="7"/>
      <c r="IRQ165" s="7"/>
      <c r="IRR165" s="7"/>
      <c r="IRS165" s="7"/>
      <c r="IRT165" s="7"/>
      <c r="IRU165" s="7"/>
      <c r="IRV165" s="7"/>
      <c r="IRW165" s="7"/>
      <c r="IRX165" s="7"/>
      <c r="IRY165" s="7"/>
      <c r="IRZ165" s="7"/>
      <c r="ISA165" s="7"/>
      <c r="ISB165" s="7"/>
      <c r="ISC165" s="7"/>
      <c r="ISD165" s="7"/>
      <c r="ISE165" s="7"/>
      <c r="ISF165" s="7"/>
      <c r="ISG165" s="7"/>
      <c r="ISH165" s="7"/>
      <c r="ISI165" s="7"/>
      <c r="ISJ165" s="7"/>
      <c r="ISK165" s="7"/>
      <c r="ISL165" s="7"/>
      <c r="ISM165" s="7"/>
      <c r="ISN165" s="7"/>
      <c r="ISO165" s="7"/>
      <c r="ISP165" s="7"/>
      <c r="ISQ165" s="7"/>
      <c r="ISR165" s="7"/>
      <c r="ISS165" s="7"/>
      <c r="IST165" s="7"/>
      <c r="ISU165" s="7"/>
      <c r="ISV165" s="7"/>
      <c r="ISW165" s="7"/>
      <c r="ISX165" s="7"/>
      <c r="ISY165" s="7"/>
      <c r="ISZ165" s="7"/>
      <c r="ITA165" s="7"/>
      <c r="ITB165" s="7"/>
      <c r="ITC165" s="7"/>
      <c r="ITD165" s="7"/>
      <c r="ITE165" s="7"/>
      <c r="ITF165" s="7"/>
      <c r="ITG165" s="7"/>
      <c r="ITH165" s="7"/>
      <c r="ITI165" s="7"/>
      <c r="ITJ165" s="7"/>
      <c r="ITK165" s="7"/>
      <c r="ITL165" s="7"/>
      <c r="ITM165" s="7"/>
      <c r="ITN165" s="7"/>
      <c r="ITO165" s="7"/>
      <c r="ITP165" s="7"/>
      <c r="ITQ165" s="7"/>
      <c r="ITR165" s="7"/>
      <c r="ITS165" s="7"/>
      <c r="ITT165" s="7"/>
      <c r="ITU165" s="7"/>
      <c r="ITV165" s="7"/>
      <c r="ITW165" s="7"/>
      <c r="ITX165" s="7"/>
      <c r="ITY165" s="7"/>
      <c r="ITZ165" s="7"/>
      <c r="IUA165" s="7"/>
      <c r="IUB165" s="7"/>
      <c r="IUC165" s="7"/>
      <c r="IUD165" s="7"/>
      <c r="IUE165" s="7"/>
      <c r="IUF165" s="7"/>
      <c r="IUG165" s="7"/>
      <c r="IUH165" s="7"/>
      <c r="IUI165" s="7"/>
      <c r="IUJ165" s="7"/>
      <c r="IUK165" s="7"/>
      <c r="IUL165" s="7"/>
      <c r="IUM165" s="7"/>
      <c r="IUN165" s="7"/>
      <c r="IUO165" s="7"/>
      <c r="IUP165" s="7"/>
      <c r="IUQ165" s="7"/>
      <c r="IUR165" s="7"/>
      <c r="IUS165" s="7"/>
      <c r="IUT165" s="7"/>
      <c r="IUU165" s="7"/>
      <c r="IUV165" s="7"/>
      <c r="IUW165" s="7"/>
      <c r="IUX165" s="7"/>
      <c r="IUY165" s="7"/>
      <c r="IUZ165" s="7"/>
      <c r="IVA165" s="7"/>
      <c r="IVB165" s="7"/>
      <c r="IVC165" s="7"/>
      <c r="IVD165" s="7"/>
      <c r="IVE165" s="7"/>
      <c r="IVF165" s="7"/>
      <c r="IVG165" s="7"/>
      <c r="IVH165" s="7"/>
      <c r="IVI165" s="7"/>
      <c r="IVJ165" s="7"/>
      <c r="IVK165" s="7"/>
      <c r="IVL165" s="7"/>
      <c r="IVM165" s="7"/>
      <c r="IVN165" s="7"/>
      <c r="IVO165" s="7"/>
      <c r="IVP165" s="7"/>
      <c r="IVQ165" s="7"/>
      <c r="IVR165" s="7"/>
      <c r="IVS165" s="7"/>
      <c r="IVT165" s="7"/>
      <c r="IVU165" s="7"/>
      <c r="IVV165" s="7"/>
      <c r="IVW165" s="7"/>
      <c r="IVX165" s="7"/>
      <c r="IVY165" s="7"/>
      <c r="IVZ165" s="7"/>
      <c r="IWA165" s="7"/>
      <c r="IWB165" s="7"/>
      <c r="IWC165" s="7"/>
      <c r="IWD165" s="7"/>
      <c r="IWE165" s="7"/>
      <c r="IWF165" s="7"/>
      <c r="IWG165" s="7"/>
      <c r="IWH165" s="7"/>
      <c r="IWI165" s="7"/>
      <c r="IWJ165" s="7"/>
      <c r="IWK165" s="7"/>
      <c r="IWL165" s="7"/>
      <c r="IWM165" s="7"/>
      <c r="IWN165" s="7"/>
      <c r="IWO165" s="7"/>
      <c r="IWP165" s="7"/>
      <c r="IWQ165" s="7"/>
      <c r="IWR165" s="7"/>
      <c r="IWS165" s="7"/>
      <c r="IWT165" s="7"/>
      <c r="IWU165" s="7"/>
      <c r="IWV165" s="7"/>
      <c r="IWW165" s="7"/>
      <c r="IWX165" s="7"/>
      <c r="IWY165" s="7"/>
      <c r="IWZ165" s="7"/>
      <c r="IXA165" s="7"/>
      <c r="IXB165" s="7"/>
      <c r="IXC165" s="7"/>
      <c r="IXD165" s="7"/>
      <c r="IXE165" s="7"/>
      <c r="IXF165" s="7"/>
      <c r="IXG165" s="7"/>
      <c r="IXH165" s="7"/>
      <c r="IXI165" s="7"/>
      <c r="IXJ165" s="7"/>
      <c r="IXK165" s="7"/>
      <c r="IXL165" s="7"/>
      <c r="IXM165" s="7"/>
      <c r="IXN165" s="7"/>
      <c r="IXO165" s="7"/>
      <c r="IXP165" s="7"/>
      <c r="IXQ165" s="7"/>
      <c r="IXR165" s="7"/>
      <c r="IXS165" s="7"/>
      <c r="IXT165" s="7"/>
      <c r="IXU165" s="7"/>
      <c r="IXV165" s="7"/>
      <c r="IXW165" s="7"/>
      <c r="IXX165" s="7"/>
      <c r="IXY165" s="7"/>
      <c r="IXZ165" s="7"/>
      <c r="IYA165" s="7"/>
      <c r="IYB165" s="7"/>
      <c r="IYC165" s="7"/>
      <c r="IYD165" s="7"/>
      <c r="IYE165" s="7"/>
      <c r="IYF165" s="7"/>
      <c r="IYG165" s="7"/>
      <c r="IYH165" s="7"/>
      <c r="IYI165" s="7"/>
      <c r="IYJ165" s="7"/>
      <c r="IYK165" s="7"/>
      <c r="IYL165" s="7"/>
      <c r="IYM165" s="7"/>
      <c r="IYN165" s="7"/>
      <c r="IYO165" s="7"/>
      <c r="IYP165" s="7"/>
      <c r="IYQ165" s="7"/>
      <c r="IYR165" s="7"/>
      <c r="IYS165" s="7"/>
      <c r="IYT165" s="7"/>
      <c r="IYU165" s="7"/>
      <c r="IYV165" s="7"/>
      <c r="IYW165" s="7"/>
      <c r="IYX165" s="7"/>
      <c r="IYY165" s="7"/>
      <c r="IYZ165" s="7"/>
      <c r="IZA165" s="7"/>
      <c r="IZB165" s="7"/>
      <c r="IZC165" s="7"/>
      <c r="IZD165" s="7"/>
      <c r="IZE165" s="7"/>
      <c r="IZF165" s="7"/>
      <c r="IZG165" s="7"/>
      <c r="IZH165" s="7"/>
      <c r="IZI165" s="7"/>
      <c r="IZJ165" s="7"/>
      <c r="IZK165" s="7"/>
      <c r="IZL165" s="7"/>
      <c r="IZM165" s="7"/>
      <c r="IZN165" s="7"/>
      <c r="IZO165" s="7"/>
      <c r="IZP165" s="7"/>
      <c r="IZQ165" s="7"/>
      <c r="IZR165" s="7"/>
      <c r="IZS165" s="7"/>
      <c r="IZT165" s="7"/>
      <c r="IZU165" s="7"/>
      <c r="IZV165" s="7"/>
      <c r="IZW165" s="7"/>
      <c r="IZX165" s="7"/>
      <c r="IZY165" s="7"/>
      <c r="IZZ165" s="7"/>
      <c r="JAA165" s="7"/>
      <c r="JAB165" s="7"/>
      <c r="JAC165" s="7"/>
      <c r="JAD165" s="7"/>
      <c r="JAE165" s="7"/>
      <c r="JAF165" s="7"/>
      <c r="JAG165" s="7"/>
      <c r="JAH165" s="7"/>
      <c r="JAI165" s="7"/>
      <c r="JAJ165" s="7"/>
      <c r="JAK165" s="7"/>
      <c r="JAL165" s="7"/>
      <c r="JAM165" s="7"/>
      <c r="JAN165" s="7"/>
      <c r="JAO165" s="7"/>
      <c r="JAP165" s="7"/>
      <c r="JAQ165" s="7"/>
      <c r="JAR165" s="7"/>
      <c r="JAS165" s="7"/>
      <c r="JAT165" s="7"/>
      <c r="JAU165" s="7"/>
      <c r="JAV165" s="7"/>
      <c r="JAW165" s="7"/>
      <c r="JAX165" s="7"/>
      <c r="JAY165" s="7"/>
      <c r="JAZ165" s="7"/>
      <c r="JBA165" s="7"/>
      <c r="JBB165" s="7"/>
      <c r="JBC165" s="7"/>
      <c r="JBD165" s="7"/>
      <c r="JBE165" s="7"/>
      <c r="JBF165" s="7"/>
      <c r="JBG165" s="7"/>
      <c r="JBH165" s="7"/>
      <c r="JBI165" s="7"/>
      <c r="JBJ165" s="7"/>
      <c r="JBK165" s="7"/>
      <c r="JBL165" s="7"/>
      <c r="JBM165" s="7"/>
      <c r="JBN165" s="7"/>
      <c r="JBO165" s="7"/>
      <c r="JBP165" s="7"/>
      <c r="JBQ165" s="7"/>
      <c r="JBR165" s="7"/>
      <c r="JBS165" s="7"/>
      <c r="JBT165" s="7"/>
      <c r="JBU165" s="7"/>
      <c r="JBV165" s="7"/>
      <c r="JBW165" s="7"/>
      <c r="JBX165" s="7"/>
      <c r="JBY165" s="7"/>
      <c r="JBZ165" s="7"/>
      <c r="JCA165" s="7"/>
      <c r="JCB165" s="7"/>
      <c r="JCC165" s="7"/>
      <c r="JCD165" s="7"/>
      <c r="JCE165" s="7"/>
      <c r="JCF165" s="7"/>
      <c r="JCG165" s="7"/>
      <c r="JCH165" s="7"/>
      <c r="JCI165" s="7"/>
      <c r="JCJ165" s="7"/>
      <c r="JCK165" s="7"/>
      <c r="JCL165" s="7"/>
      <c r="JCM165" s="7"/>
      <c r="JCN165" s="7"/>
      <c r="JCO165" s="7"/>
      <c r="JCP165" s="7"/>
      <c r="JCQ165" s="7"/>
      <c r="JCR165" s="7"/>
      <c r="JCS165" s="7"/>
      <c r="JCT165" s="7"/>
      <c r="JCU165" s="7"/>
      <c r="JCV165" s="7"/>
      <c r="JCW165" s="7"/>
      <c r="JCX165" s="7"/>
      <c r="JCY165" s="7"/>
      <c r="JCZ165" s="7"/>
      <c r="JDA165" s="7"/>
      <c r="JDB165" s="7"/>
      <c r="JDC165" s="7"/>
      <c r="JDD165" s="7"/>
      <c r="JDE165" s="7"/>
      <c r="JDF165" s="7"/>
      <c r="JDG165" s="7"/>
      <c r="JDH165" s="7"/>
      <c r="JDI165" s="7"/>
      <c r="JDJ165" s="7"/>
      <c r="JDK165" s="7"/>
      <c r="JDL165" s="7"/>
      <c r="JDM165" s="7"/>
      <c r="JDN165" s="7"/>
      <c r="JDO165" s="7"/>
      <c r="JDP165" s="7"/>
      <c r="JDQ165" s="7"/>
      <c r="JDR165" s="7"/>
      <c r="JDS165" s="7"/>
      <c r="JDT165" s="7"/>
      <c r="JDU165" s="7"/>
      <c r="JDV165" s="7"/>
      <c r="JDW165" s="7"/>
      <c r="JDX165" s="7"/>
      <c r="JDY165" s="7"/>
      <c r="JDZ165" s="7"/>
      <c r="JEA165" s="7"/>
      <c r="JEB165" s="7"/>
      <c r="JEC165" s="7"/>
      <c r="JED165" s="7"/>
      <c r="JEE165" s="7"/>
      <c r="JEF165" s="7"/>
      <c r="JEG165" s="7"/>
      <c r="JEH165" s="7"/>
      <c r="JEI165" s="7"/>
      <c r="JEJ165" s="7"/>
      <c r="JEK165" s="7"/>
      <c r="JEL165" s="7"/>
      <c r="JEM165" s="7"/>
      <c r="JEN165" s="7"/>
      <c r="JEO165" s="7"/>
      <c r="JEP165" s="7"/>
      <c r="JEQ165" s="7"/>
      <c r="JER165" s="7"/>
      <c r="JES165" s="7"/>
      <c r="JET165" s="7"/>
      <c r="JEU165" s="7"/>
      <c r="JEV165" s="7"/>
      <c r="JEW165" s="7"/>
      <c r="JEX165" s="7"/>
      <c r="JEY165" s="7"/>
      <c r="JEZ165" s="7"/>
      <c r="JFA165" s="7"/>
      <c r="JFB165" s="7"/>
      <c r="JFC165" s="7"/>
      <c r="JFD165" s="7"/>
      <c r="JFE165" s="7"/>
      <c r="JFF165" s="7"/>
      <c r="JFG165" s="7"/>
      <c r="JFH165" s="7"/>
      <c r="JFI165" s="7"/>
      <c r="JFJ165" s="7"/>
      <c r="JFK165" s="7"/>
      <c r="JFL165" s="7"/>
      <c r="JFM165" s="7"/>
      <c r="JFN165" s="7"/>
      <c r="JFO165" s="7"/>
      <c r="JFP165" s="7"/>
      <c r="JFQ165" s="7"/>
      <c r="JFR165" s="7"/>
      <c r="JFS165" s="7"/>
      <c r="JFT165" s="7"/>
      <c r="JFU165" s="7"/>
      <c r="JFV165" s="7"/>
      <c r="JFW165" s="7"/>
      <c r="JFX165" s="7"/>
      <c r="JFY165" s="7"/>
      <c r="JFZ165" s="7"/>
      <c r="JGA165" s="7"/>
      <c r="JGB165" s="7"/>
      <c r="JGC165" s="7"/>
      <c r="JGD165" s="7"/>
      <c r="JGE165" s="7"/>
      <c r="JGF165" s="7"/>
      <c r="JGG165" s="7"/>
      <c r="JGH165" s="7"/>
      <c r="JGI165" s="7"/>
      <c r="JGJ165" s="7"/>
      <c r="JGK165" s="7"/>
      <c r="JGL165" s="7"/>
      <c r="JGM165" s="7"/>
      <c r="JGN165" s="7"/>
      <c r="JGO165" s="7"/>
      <c r="JGP165" s="7"/>
      <c r="JGQ165" s="7"/>
      <c r="JGR165" s="7"/>
      <c r="JGS165" s="7"/>
      <c r="JGT165" s="7"/>
      <c r="JGU165" s="7"/>
      <c r="JGV165" s="7"/>
      <c r="JGW165" s="7"/>
      <c r="JGX165" s="7"/>
      <c r="JGY165" s="7"/>
      <c r="JGZ165" s="7"/>
      <c r="JHA165" s="7"/>
      <c r="JHB165" s="7"/>
      <c r="JHC165" s="7"/>
      <c r="JHD165" s="7"/>
      <c r="JHE165" s="7"/>
      <c r="JHF165" s="7"/>
      <c r="JHG165" s="7"/>
      <c r="JHH165" s="7"/>
      <c r="JHI165" s="7"/>
      <c r="JHJ165" s="7"/>
      <c r="JHK165" s="7"/>
      <c r="JHL165" s="7"/>
      <c r="JHM165" s="7"/>
      <c r="JHN165" s="7"/>
      <c r="JHO165" s="7"/>
      <c r="JHP165" s="7"/>
      <c r="JHQ165" s="7"/>
      <c r="JHR165" s="7"/>
      <c r="JHS165" s="7"/>
      <c r="JHT165" s="7"/>
      <c r="JHU165" s="7"/>
      <c r="JHV165" s="7"/>
      <c r="JHW165" s="7"/>
      <c r="JHX165" s="7"/>
      <c r="JHY165" s="7"/>
      <c r="JHZ165" s="7"/>
      <c r="JIA165" s="7"/>
      <c r="JIB165" s="7"/>
      <c r="JIC165" s="7"/>
      <c r="JID165" s="7"/>
      <c r="JIE165" s="7"/>
      <c r="JIF165" s="7"/>
      <c r="JIG165" s="7"/>
      <c r="JIH165" s="7"/>
      <c r="JII165" s="7"/>
      <c r="JIJ165" s="7"/>
      <c r="JIK165" s="7"/>
      <c r="JIL165" s="7"/>
      <c r="JIM165" s="7"/>
      <c r="JIN165" s="7"/>
      <c r="JIO165" s="7"/>
      <c r="JIP165" s="7"/>
      <c r="JIQ165" s="7"/>
      <c r="JIR165" s="7"/>
      <c r="JIS165" s="7"/>
      <c r="JIT165" s="7"/>
      <c r="JIU165" s="7"/>
      <c r="JIV165" s="7"/>
      <c r="JIW165" s="7"/>
      <c r="JIX165" s="7"/>
      <c r="JIY165" s="7"/>
      <c r="JIZ165" s="7"/>
      <c r="JJA165" s="7"/>
      <c r="JJB165" s="7"/>
      <c r="JJC165" s="7"/>
      <c r="JJD165" s="7"/>
      <c r="JJE165" s="7"/>
      <c r="JJF165" s="7"/>
      <c r="JJG165" s="7"/>
      <c r="JJH165" s="7"/>
      <c r="JJI165" s="7"/>
      <c r="JJJ165" s="7"/>
      <c r="JJK165" s="7"/>
      <c r="JJL165" s="7"/>
      <c r="JJM165" s="7"/>
      <c r="JJN165" s="7"/>
      <c r="JJO165" s="7"/>
      <c r="JJP165" s="7"/>
      <c r="JJQ165" s="7"/>
      <c r="JJR165" s="7"/>
      <c r="JJS165" s="7"/>
      <c r="JJT165" s="7"/>
      <c r="JJU165" s="7"/>
      <c r="JJV165" s="7"/>
      <c r="JJW165" s="7"/>
      <c r="JJX165" s="7"/>
      <c r="JJY165" s="7"/>
      <c r="JJZ165" s="7"/>
      <c r="JKA165" s="7"/>
      <c r="JKB165" s="7"/>
      <c r="JKC165" s="7"/>
      <c r="JKD165" s="7"/>
      <c r="JKE165" s="7"/>
      <c r="JKF165" s="7"/>
      <c r="JKG165" s="7"/>
      <c r="JKH165" s="7"/>
      <c r="JKI165" s="7"/>
      <c r="JKJ165" s="7"/>
      <c r="JKK165" s="7"/>
      <c r="JKL165" s="7"/>
      <c r="JKM165" s="7"/>
      <c r="JKN165" s="7"/>
      <c r="JKO165" s="7"/>
      <c r="JKP165" s="7"/>
      <c r="JKQ165" s="7"/>
      <c r="JKR165" s="7"/>
      <c r="JKS165" s="7"/>
      <c r="JKT165" s="7"/>
      <c r="JKU165" s="7"/>
      <c r="JKV165" s="7"/>
      <c r="JKW165" s="7"/>
      <c r="JKX165" s="7"/>
      <c r="JKY165" s="7"/>
      <c r="JKZ165" s="7"/>
      <c r="JLA165" s="7"/>
      <c r="JLB165" s="7"/>
      <c r="JLC165" s="7"/>
      <c r="JLD165" s="7"/>
      <c r="JLE165" s="7"/>
      <c r="JLF165" s="7"/>
      <c r="JLG165" s="7"/>
      <c r="JLH165" s="7"/>
      <c r="JLI165" s="7"/>
      <c r="JLJ165" s="7"/>
      <c r="JLK165" s="7"/>
      <c r="JLL165" s="7"/>
      <c r="JLM165" s="7"/>
      <c r="JLN165" s="7"/>
      <c r="JLO165" s="7"/>
      <c r="JLP165" s="7"/>
      <c r="JLQ165" s="7"/>
      <c r="JLR165" s="7"/>
      <c r="JLS165" s="7"/>
      <c r="JLT165" s="7"/>
      <c r="JLU165" s="7"/>
      <c r="JLV165" s="7"/>
      <c r="JLW165" s="7"/>
      <c r="JLX165" s="7"/>
      <c r="JLY165" s="7"/>
      <c r="JLZ165" s="7"/>
      <c r="JMA165" s="7"/>
      <c r="JMB165" s="7"/>
      <c r="JMC165" s="7"/>
      <c r="JMD165" s="7"/>
      <c r="JME165" s="7"/>
      <c r="JMF165" s="7"/>
      <c r="JMG165" s="7"/>
      <c r="JMH165" s="7"/>
      <c r="JMI165" s="7"/>
      <c r="JMJ165" s="7"/>
      <c r="JMK165" s="7"/>
      <c r="JML165" s="7"/>
      <c r="JMM165" s="7"/>
      <c r="JMN165" s="7"/>
      <c r="JMO165" s="7"/>
      <c r="JMP165" s="7"/>
      <c r="JMQ165" s="7"/>
      <c r="JMR165" s="7"/>
      <c r="JMS165" s="7"/>
      <c r="JMT165" s="7"/>
      <c r="JMU165" s="7"/>
      <c r="JMV165" s="7"/>
      <c r="JMW165" s="7"/>
      <c r="JMX165" s="7"/>
      <c r="JMY165" s="7"/>
      <c r="JMZ165" s="7"/>
      <c r="JNA165" s="7"/>
      <c r="JNB165" s="7"/>
      <c r="JNC165" s="7"/>
      <c r="JND165" s="7"/>
      <c r="JNE165" s="7"/>
      <c r="JNF165" s="7"/>
      <c r="JNG165" s="7"/>
      <c r="JNH165" s="7"/>
      <c r="JNI165" s="7"/>
      <c r="JNJ165" s="7"/>
      <c r="JNK165" s="7"/>
      <c r="JNL165" s="7"/>
      <c r="JNM165" s="7"/>
      <c r="JNN165" s="7"/>
      <c r="JNO165" s="7"/>
      <c r="JNP165" s="7"/>
      <c r="JNQ165" s="7"/>
      <c r="JNR165" s="7"/>
      <c r="JNS165" s="7"/>
      <c r="JNT165" s="7"/>
      <c r="JNU165" s="7"/>
      <c r="JNV165" s="7"/>
      <c r="JNW165" s="7"/>
      <c r="JNX165" s="7"/>
      <c r="JNY165" s="7"/>
      <c r="JNZ165" s="7"/>
      <c r="JOA165" s="7"/>
      <c r="JOB165" s="7"/>
      <c r="JOC165" s="7"/>
      <c r="JOD165" s="7"/>
      <c r="JOE165" s="7"/>
      <c r="JOF165" s="7"/>
      <c r="JOG165" s="7"/>
      <c r="JOH165" s="7"/>
      <c r="JOI165" s="7"/>
      <c r="JOJ165" s="7"/>
      <c r="JOK165" s="7"/>
      <c r="JOL165" s="7"/>
      <c r="JOM165" s="7"/>
      <c r="JON165" s="7"/>
      <c r="JOO165" s="7"/>
      <c r="JOP165" s="7"/>
      <c r="JOQ165" s="7"/>
      <c r="JOR165" s="7"/>
      <c r="JOS165" s="7"/>
      <c r="JOT165" s="7"/>
      <c r="JOU165" s="7"/>
      <c r="JOV165" s="7"/>
      <c r="JOW165" s="7"/>
      <c r="JOX165" s="7"/>
      <c r="JOY165" s="7"/>
      <c r="JOZ165" s="7"/>
      <c r="JPA165" s="7"/>
      <c r="JPB165" s="7"/>
      <c r="JPC165" s="7"/>
      <c r="JPD165" s="7"/>
      <c r="JPE165" s="7"/>
      <c r="JPF165" s="7"/>
      <c r="JPG165" s="7"/>
      <c r="JPH165" s="7"/>
      <c r="JPI165" s="7"/>
      <c r="JPJ165" s="7"/>
      <c r="JPK165" s="7"/>
      <c r="JPL165" s="7"/>
      <c r="JPM165" s="7"/>
      <c r="JPN165" s="7"/>
      <c r="JPO165" s="7"/>
      <c r="JPP165" s="7"/>
      <c r="JPQ165" s="7"/>
      <c r="JPR165" s="7"/>
      <c r="JPS165" s="7"/>
      <c r="JPT165" s="7"/>
      <c r="JPU165" s="7"/>
      <c r="JPV165" s="7"/>
      <c r="JPW165" s="7"/>
      <c r="JPX165" s="7"/>
      <c r="JPY165" s="7"/>
      <c r="JPZ165" s="7"/>
      <c r="JQA165" s="7"/>
      <c r="JQB165" s="7"/>
      <c r="JQC165" s="7"/>
      <c r="JQD165" s="7"/>
      <c r="JQE165" s="7"/>
      <c r="JQF165" s="7"/>
      <c r="JQG165" s="7"/>
      <c r="JQH165" s="7"/>
      <c r="JQI165" s="7"/>
      <c r="JQJ165" s="7"/>
      <c r="JQK165" s="7"/>
      <c r="JQL165" s="7"/>
      <c r="JQM165" s="7"/>
      <c r="JQN165" s="7"/>
      <c r="JQO165" s="7"/>
      <c r="JQP165" s="7"/>
      <c r="JQQ165" s="7"/>
      <c r="JQR165" s="7"/>
      <c r="JQS165" s="7"/>
      <c r="JQT165" s="7"/>
      <c r="JQU165" s="7"/>
      <c r="JQV165" s="7"/>
      <c r="JQW165" s="7"/>
      <c r="JQX165" s="7"/>
      <c r="JQY165" s="7"/>
      <c r="JQZ165" s="7"/>
      <c r="JRA165" s="7"/>
      <c r="JRB165" s="7"/>
      <c r="JRC165" s="7"/>
      <c r="JRD165" s="7"/>
      <c r="JRE165" s="7"/>
      <c r="JRF165" s="7"/>
      <c r="JRG165" s="7"/>
      <c r="JRH165" s="7"/>
      <c r="JRI165" s="7"/>
      <c r="JRJ165" s="7"/>
      <c r="JRK165" s="7"/>
      <c r="JRL165" s="7"/>
      <c r="JRM165" s="7"/>
      <c r="JRN165" s="7"/>
      <c r="JRO165" s="7"/>
      <c r="JRP165" s="7"/>
      <c r="JRQ165" s="7"/>
      <c r="JRR165" s="7"/>
      <c r="JRS165" s="7"/>
      <c r="JRT165" s="7"/>
      <c r="JRU165" s="7"/>
      <c r="JRV165" s="7"/>
      <c r="JRW165" s="7"/>
      <c r="JRX165" s="7"/>
      <c r="JRY165" s="7"/>
      <c r="JRZ165" s="7"/>
      <c r="JSA165" s="7"/>
      <c r="JSB165" s="7"/>
      <c r="JSC165" s="7"/>
      <c r="JSD165" s="7"/>
      <c r="JSE165" s="7"/>
      <c r="JSF165" s="7"/>
      <c r="JSG165" s="7"/>
      <c r="JSH165" s="7"/>
      <c r="JSI165" s="7"/>
      <c r="JSJ165" s="7"/>
      <c r="JSK165" s="7"/>
      <c r="JSL165" s="7"/>
      <c r="JSM165" s="7"/>
      <c r="JSN165" s="7"/>
      <c r="JSO165" s="7"/>
      <c r="JSP165" s="7"/>
      <c r="JSQ165" s="7"/>
      <c r="JSR165" s="7"/>
      <c r="JSS165" s="7"/>
      <c r="JST165" s="7"/>
      <c r="JSU165" s="7"/>
      <c r="JSV165" s="7"/>
      <c r="JSW165" s="7"/>
      <c r="JSX165" s="7"/>
      <c r="JSY165" s="7"/>
      <c r="JSZ165" s="7"/>
      <c r="JTA165" s="7"/>
      <c r="JTB165" s="7"/>
      <c r="JTC165" s="7"/>
      <c r="JTD165" s="7"/>
      <c r="JTE165" s="7"/>
      <c r="JTF165" s="7"/>
      <c r="JTG165" s="7"/>
      <c r="JTH165" s="7"/>
      <c r="JTI165" s="7"/>
      <c r="JTJ165" s="7"/>
      <c r="JTK165" s="7"/>
      <c r="JTL165" s="7"/>
      <c r="JTM165" s="7"/>
      <c r="JTN165" s="7"/>
      <c r="JTO165" s="7"/>
      <c r="JTP165" s="7"/>
      <c r="JTQ165" s="7"/>
      <c r="JTR165" s="7"/>
      <c r="JTS165" s="7"/>
      <c r="JTT165" s="7"/>
      <c r="JTU165" s="7"/>
      <c r="JTV165" s="7"/>
      <c r="JTW165" s="7"/>
      <c r="JTX165" s="7"/>
      <c r="JTY165" s="7"/>
      <c r="JTZ165" s="7"/>
      <c r="JUA165" s="7"/>
      <c r="JUB165" s="7"/>
      <c r="JUC165" s="7"/>
      <c r="JUD165" s="7"/>
      <c r="JUE165" s="7"/>
      <c r="JUF165" s="7"/>
      <c r="JUG165" s="7"/>
      <c r="JUH165" s="7"/>
      <c r="JUI165" s="7"/>
      <c r="JUJ165" s="7"/>
      <c r="JUK165" s="7"/>
      <c r="JUL165" s="7"/>
      <c r="JUM165" s="7"/>
      <c r="JUN165" s="7"/>
      <c r="JUO165" s="7"/>
      <c r="JUP165" s="7"/>
      <c r="JUQ165" s="7"/>
      <c r="JUR165" s="7"/>
      <c r="JUS165" s="7"/>
      <c r="JUT165" s="7"/>
      <c r="JUU165" s="7"/>
      <c r="JUV165" s="7"/>
      <c r="JUW165" s="7"/>
      <c r="JUX165" s="7"/>
      <c r="JUY165" s="7"/>
      <c r="JUZ165" s="7"/>
      <c r="JVA165" s="7"/>
      <c r="JVB165" s="7"/>
      <c r="JVC165" s="7"/>
      <c r="JVD165" s="7"/>
      <c r="JVE165" s="7"/>
      <c r="JVF165" s="7"/>
      <c r="JVG165" s="7"/>
      <c r="JVH165" s="7"/>
      <c r="JVI165" s="7"/>
      <c r="JVJ165" s="7"/>
      <c r="JVK165" s="7"/>
      <c r="JVL165" s="7"/>
      <c r="JVM165" s="7"/>
      <c r="JVN165" s="7"/>
      <c r="JVO165" s="7"/>
      <c r="JVP165" s="7"/>
      <c r="JVQ165" s="7"/>
      <c r="JVR165" s="7"/>
      <c r="JVS165" s="7"/>
      <c r="JVT165" s="7"/>
      <c r="JVU165" s="7"/>
      <c r="JVV165" s="7"/>
      <c r="JVW165" s="7"/>
      <c r="JVX165" s="7"/>
      <c r="JVY165" s="7"/>
      <c r="JVZ165" s="7"/>
      <c r="JWA165" s="7"/>
      <c r="JWB165" s="7"/>
      <c r="JWC165" s="7"/>
      <c r="JWD165" s="7"/>
      <c r="JWE165" s="7"/>
      <c r="JWF165" s="7"/>
      <c r="JWG165" s="7"/>
      <c r="JWH165" s="7"/>
      <c r="JWI165" s="7"/>
      <c r="JWJ165" s="7"/>
      <c r="JWK165" s="7"/>
      <c r="JWL165" s="7"/>
      <c r="JWM165" s="7"/>
      <c r="JWN165" s="7"/>
      <c r="JWO165" s="7"/>
      <c r="JWP165" s="7"/>
      <c r="JWQ165" s="7"/>
      <c r="JWR165" s="7"/>
      <c r="JWS165" s="7"/>
      <c r="JWT165" s="7"/>
      <c r="JWU165" s="7"/>
      <c r="JWV165" s="7"/>
      <c r="JWW165" s="7"/>
      <c r="JWX165" s="7"/>
      <c r="JWY165" s="7"/>
      <c r="JWZ165" s="7"/>
      <c r="JXA165" s="7"/>
      <c r="JXB165" s="7"/>
      <c r="JXC165" s="7"/>
      <c r="JXD165" s="7"/>
      <c r="JXE165" s="7"/>
      <c r="JXF165" s="7"/>
      <c r="JXG165" s="7"/>
      <c r="JXH165" s="7"/>
      <c r="JXI165" s="7"/>
      <c r="JXJ165" s="7"/>
      <c r="JXK165" s="7"/>
      <c r="JXL165" s="7"/>
      <c r="JXM165" s="7"/>
      <c r="JXN165" s="7"/>
      <c r="JXO165" s="7"/>
      <c r="JXP165" s="7"/>
      <c r="JXQ165" s="7"/>
      <c r="JXR165" s="7"/>
      <c r="JXS165" s="7"/>
      <c r="JXT165" s="7"/>
      <c r="JXU165" s="7"/>
      <c r="JXV165" s="7"/>
      <c r="JXW165" s="7"/>
      <c r="JXX165" s="7"/>
      <c r="JXY165" s="7"/>
      <c r="JXZ165" s="7"/>
      <c r="JYA165" s="7"/>
      <c r="JYB165" s="7"/>
      <c r="JYC165" s="7"/>
      <c r="JYD165" s="7"/>
      <c r="JYE165" s="7"/>
      <c r="JYF165" s="7"/>
      <c r="JYG165" s="7"/>
      <c r="JYH165" s="7"/>
      <c r="JYI165" s="7"/>
      <c r="JYJ165" s="7"/>
      <c r="JYK165" s="7"/>
      <c r="JYL165" s="7"/>
      <c r="JYM165" s="7"/>
      <c r="JYN165" s="7"/>
      <c r="JYO165" s="7"/>
      <c r="JYP165" s="7"/>
      <c r="JYQ165" s="7"/>
      <c r="JYR165" s="7"/>
      <c r="JYS165" s="7"/>
      <c r="JYT165" s="7"/>
      <c r="JYU165" s="7"/>
      <c r="JYV165" s="7"/>
      <c r="JYW165" s="7"/>
      <c r="JYX165" s="7"/>
      <c r="JYY165" s="7"/>
      <c r="JYZ165" s="7"/>
      <c r="JZA165" s="7"/>
      <c r="JZB165" s="7"/>
      <c r="JZC165" s="7"/>
      <c r="JZD165" s="7"/>
      <c r="JZE165" s="7"/>
      <c r="JZF165" s="7"/>
      <c r="JZG165" s="7"/>
      <c r="JZH165" s="7"/>
      <c r="JZI165" s="7"/>
      <c r="JZJ165" s="7"/>
      <c r="JZK165" s="7"/>
      <c r="JZL165" s="7"/>
      <c r="JZM165" s="7"/>
      <c r="JZN165" s="7"/>
      <c r="JZO165" s="7"/>
      <c r="JZP165" s="7"/>
      <c r="JZQ165" s="7"/>
      <c r="JZR165" s="7"/>
      <c r="JZS165" s="7"/>
      <c r="JZT165" s="7"/>
      <c r="JZU165" s="7"/>
      <c r="JZV165" s="7"/>
      <c r="JZW165" s="7"/>
      <c r="JZX165" s="7"/>
      <c r="JZY165" s="7"/>
      <c r="JZZ165" s="7"/>
      <c r="KAA165" s="7"/>
      <c r="KAB165" s="7"/>
      <c r="KAC165" s="7"/>
      <c r="KAD165" s="7"/>
      <c r="KAE165" s="7"/>
      <c r="KAF165" s="7"/>
      <c r="KAG165" s="7"/>
      <c r="KAH165" s="7"/>
      <c r="KAI165" s="7"/>
      <c r="KAJ165" s="7"/>
      <c r="KAK165" s="7"/>
      <c r="KAL165" s="7"/>
      <c r="KAM165" s="7"/>
      <c r="KAN165" s="7"/>
      <c r="KAO165" s="7"/>
      <c r="KAP165" s="7"/>
      <c r="KAQ165" s="7"/>
      <c r="KAR165" s="7"/>
      <c r="KAS165" s="7"/>
      <c r="KAT165" s="7"/>
      <c r="KAU165" s="7"/>
      <c r="KAV165" s="7"/>
      <c r="KAW165" s="7"/>
      <c r="KAX165" s="7"/>
      <c r="KAY165" s="7"/>
      <c r="KAZ165" s="7"/>
      <c r="KBA165" s="7"/>
      <c r="KBB165" s="7"/>
      <c r="KBC165" s="7"/>
      <c r="KBD165" s="7"/>
      <c r="KBE165" s="7"/>
      <c r="KBF165" s="7"/>
      <c r="KBG165" s="7"/>
      <c r="KBH165" s="7"/>
      <c r="KBI165" s="7"/>
      <c r="KBJ165" s="7"/>
      <c r="KBK165" s="7"/>
      <c r="KBL165" s="7"/>
      <c r="KBM165" s="7"/>
      <c r="KBN165" s="7"/>
      <c r="KBO165" s="7"/>
      <c r="KBP165" s="7"/>
      <c r="KBQ165" s="7"/>
      <c r="KBR165" s="7"/>
      <c r="KBS165" s="7"/>
      <c r="KBT165" s="7"/>
      <c r="KBU165" s="7"/>
      <c r="KBV165" s="7"/>
      <c r="KBW165" s="7"/>
      <c r="KBX165" s="7"/>
      <c r="KBY165" s="7"/>
      <c r="KBZ165" s="7"/>
      <c r="KCA165" s="7"/>
      <c r="KCB165" s="7"/>
      <c r="KCC165" s="7"/>
      <c r="KCD165" s="7"/>
      <c r="KCE165" s="7"/>
      <c r="KCF165" s="7"/>
      <c r="KCG165" s="7"/>
      <c r="KCH165" s="7"/>
      <c r="KCI165" s="7"/>
      <c r="KCJ165" s="7"/>
      <c r="KCK165" s="7"/>
      <c r="KCL165" s="7"/>
      <c r="KCM165" s="7"/>
      <c r="KCN165" s="7"/>
      <c r="KCO165" s="7"/>
      <c r="KCP165" s="7"/>
      <c r="KCQ165" s="7"/>
      <c r="KCR165" s="7"/>
      <c r="KCS165" s="7"/>
      <c r="KCT165" s="7"/>
      <c r="KCU165" s="7"/>
      <c r="KCV165" s="7"/>
      <c r="KCW165" s="7"/>
      <c r="KCX165" s="7"/>
      <c r="KCY165" s="7"/>
      <c r="KCZ165" s="7"/>
      <c r="KDA165" s="7"/>
      <c r="KDB165" s="7"/>
      <c r="KDC165" s="7"/>
      <c r="KDD165" s="7"/>
      <c r="KDE165" s="7"/>
      <c r="KDF165" s="7"/>
      <c r="KDG165" s="7"/>
      <c r="KDH165" s="7"/>
      <c r="KDI165" s="7"/>
      <c r="KDJ165" s="7"/>
      <c r="KDK165" s="7"/>
      <c r="KDL165" s="7"/>
      <c r="KDM165" s="7"/>
      <c r="KDN165" s="7"/>
      <c r="KDO165" s="7"/>
      <c r="KDP165" s="7"/>
      <c r="KDQ165" s="7"/>
      <c r="KDR165" s="7"/>
      <c r="KDS165" s="7"/>
      <c r="KDT165" s="7"/>
      <c r="KDU165" s="7"/>
      <c r="KDV165" s="7"/>
      <c r="KDW165" s="7"/>
      <c r="KDX165" s="7"/>
      <c r="KDY165" s="7"/>
      <c r="KDZ165" s="7"/>
      <c r="KEA165" s="7"/>
      <c r="KEB165" s="7"/>
      <c r="KEC165" s="7"/>
      <c r="KED165" s="7"/>
      <c r="KEE165" s="7"/>
      <c r="KEF165" s="7"/>
      <c r="KEG165" s="7"/>
      <c r="KEH165" s="7"/>
      <c r="KEI165" s="7"/>
      <c r="KEJ165" s="7"/>
      <c r="KEK165" s="7"/>
      <c r="KEL165" s="7"/>
      <c r="KEM165" s="7"/>
      <c r="KEN165" s="7"/>
      <c r="KEO165" s="7"/>
      <c r="KEP165" s="7"/>
      <c r="KEQ165" s="7"/>
      <c r="KER165" s="7"/>
      <c r="KES165" s="7"/>
      <c r="KET165" s="7"/>
      <c r="KEU165" s="7"/>
      <c r="KEV165" s="7"/>
      <c r="KEW165" s="7"/>
      <c r="KEX165" s="7"/>
      <c r="KEY165" s="7"/>
      <c r="KEZ165" s="7"/>
      <c r="KFA165" s="7"/>
      <c r="KFB165" s="7"/>
      <c r="KFC165" s="7"/>
      <c r="KFD165" s="7"/>
      <c r="KFE165" s="7"/>
      <c r="KFF165" s="7"/>
      <c r="KFG165" s="7"/>
      <c r="KFH165" s="7"/>
      <c r="KFI165" s="7"/>
      <c r="KFJ165" s="7"/>
      <c r="KFK165" s="7"/>
      <c r="KFL165" s="7"/>
      <c r="KFM165" s="7"/>
      <c r="KFN165" s="7"/>
      <c r="KFO165" s="7"/>
      <c r="KFP165" s="7"/>
      <c r="KFQ165" s="7"/>
      <c r="KFR165" s="7"/>
      <c r="KFS165" s="7"/>
      <c r="KFT165" s="7"/>
      <c r="KFU165" s="7"/>
      <c r="KFV165" s="7"/>
      <c r="KFW165" s="7"/>
      <c r="KFX165" s="7"/>
      <c r="KFY165" s="7"/>
      <c r="KFZ165" s="7"/>
      <c r="KGA165" s="7"/>
      <c r="KGB165" s="7"/>
      <c r="KGC165" s="7"/>
      <c r="KGD165" s="7"/>
      <c r="KGE165" s="7"/>
      <c r="KGF165" s="7"/>
      <c r="KGG165" s="7"/>
      <c r="KGH165" s="7"/>
      <c r="KGI165" s="7"/>
      <c r="KGJ165" s="7"/>
      <c r="KGK165" s="7"/>
      <c r="KGL165" s="7"/>
      <c r="KGM165" s="7"/>
      <c r="KGN165" s="7"/>
      <c r="KGO165" s="7"/>
      <c r="KGP165" s="7"/>
      <c r="KGQ165" s="7"/>
      <c r="KGR165" s="7"/>
      <c r="KGS165" s="7"/>
      <c r="KGT165" s="7"/>
      <c r="KGU165" s="7"/>
      <c r="KGV165" s="7"/>
      <c r="KGW165" s="7"/>
      <c r="KGX165" s="7"/>
      <c r="KGY165" s="7"/>
      <c r="KGZ165" s="7"/>
      <c r="KHA165" s="7"/>
      <c r="KHB165" s="7"/>
      <c r="KHC165" s="7"/>
      <c r="KHD165" s="7"/>
      <c r="KHE165" s="7"/>
      <c r="KHF165" s="7"/>
      <c r="KHG165" s="7"/>
      <c r="KHH165" s="7"/>
      <c r="KHI165" s="7"/>
      <c r="KHJ165" s="7"/>
      <c r="KHK165" s="7"/>
      <c r="KHL165" s="7"/>
      <c r="KHM165" s="7"/>
      <c r="KHN165" s="7"/>
      <c r="KHO165" s="7"/>
      <c r="KHP165" s="7"/>
      <c r="KHQ165" s="7"/>
      <c r="KHR165" s="7"/>
      <c r="KHS165" s="7"/>
      <c r="KHT165" s="7"/>
      <c r="KHU165" s="7"/>
      <c r="KHV165" s="7"/>
      <c r="KHW165" s="7"/>
      <c r="KHX165" s="7"/>
      <c r="KHY165" s="7"/>
      <c r="KHZ165" s="7"/>
      <c r="KIA165" s="7"/>
      <c r="KIB165" s="7"/>
      <c r="KIC165" s="7"/>
      <c r="KID165" s="7"/>
      <c r="KIE165" s="7"/>
      <c r="KIF165" s="7"/>
      <c r="KIG165" s="7"/>
      <c r="KIH165" s="7"/>
      <c r="KII165" s="7"/>
      <c r="KIJ165" s="7"/>
      <c r="KIK165" s="7"/>
      <c r="KIL165" s="7"/>
      <c r="KIM165" s="7"/>
      <c r="KIN165" s="7"/>
      <c r="KIO165" s="7"/>
      <c r="KIP165" s="7"/>
      <c r="KIQ165" s="7"/>
      <c r="KIR165" s="7"/>
      <c r="KIS165" s="7"/>
      <c r="KIT165" s="7"/>
      <c r="KIU165" s="7"/>
      <c r="KIV165" s="7"/>
      <c r="KIW165" s="7"/>
      <c r="KIX165" s="7"/>
      <c r="KIY165" s="7"/>
      <c r="KIZ165" s="7"/>
      <c r="KJA165" s="7"/>
      <c r="KJB165" s="7"/>
      <c r="KJC165" s="7"/>
      <c r="KJD165" s="7"/>
      <c r="KJE165" s="7"/>
      <c r="KJF165" s="7"/>
      <c r="KJG165" s="7"/>
      <c r="KJH165" s="7"/>
      <c r="KJI165" s="7"/>
      <c r="KJJ165" s="7"/>
      <c r="KJK165" s="7"/>
      <c r="KJL165" s="7"/>
      <c r="KJM165" s="7"/>
      <c r="KJN165" s="7"/>
      <c r="KJO165" s="7"/>
      <c r="KJP165" s="7"/>
      <c r="KJQ165" s="7"/>
      <c r="KJR165" s="7"/>
      <c r="KJS165" s="7"/>
      <c r="KJT165" s="7"/>
      <c r="KJU165" s="7"/>
      <c r="KJV165" s="7"/>
      <c r="KJW165" s="7"/>
      <c r="KJX165" s="7"/>
      <c r="KJY165" s="7"/>
      <c r="KJZ165" s="7"/>
      <c r="KKA165" s="7"/>
      <c r="KKB165" s="7"/>
      <c r="KKC165" s="7"/>
      <c r="KKD165" s="7"/>
      <c r="KKE165" s="7"/>
      <c r="KKF165" s="7"/>
      <c r="KKG165" s="7"/>
      <c r="KKH165" s="7"/>
      <c r="KKI165" s="7"/>
      <c r="KKJ165" s="7"/>
      <c r="KKK165" s="7"/>
      <c r="KKL165" s="7"/>
      <c r="KKM165" s="7"/>
      <c r="KKN165" s="7"/>
      <c r="KKO165" s="7"/>
      <c r="KKP165" s="7"/>
      <c r="KKQ165" s="7"/>
      <c r="KKR165" s="7"/>
      <c r="KKS165" s="7"/>
      <c r="KKT165" s="7"/>
      <c r="KKU165" s="7"/>
      <c r="KKV165" s="7"/>
      <c r="KKW165" s="7"/>
      <c r="KKX165" s="7"/>
      <c r="KKY165" s="7"/>
      <c r="KKZ165" s="7"/>
      <c r="KLA165" s="7"/>
      <c r="KLB165" s="7"/>
      <c r="KLC165" s="7"/>
      <c r="KLD165" s="7"/>
      <c r="KLE165" s="7"/>
      <c r="KLF165" s="7"/>
      <c r="KLG165" s="7"/>
      <c r="KLH165" s="7"/>
      <c r="KLI165" s="7"/>
      <c r="KLJ165" s="7"/>
      <c r="KLK165" s="7"/>
      <c r="KLL165" s="7"/>
      <c r="KLM165" s="7"/>
      <c r="KLN165" s="7"/>
      <c r="KLO165" s="7"/>
      <c r="KLP165" s="7"/>
      <c r="KLQ165" s="7"/>
      <c r="KLR165" s="7"/>
      <c r="KLS165" s="7"/>
      <c r="KLT165" s="7"/>
      <c r="KLU165" s="7"/>
      <c r="KLV165" s="7"/>
      <c r="KLW165" s="7"/>
      <c r="KLX165" s="7"/>
      <c r="KLY165" s="7"/>
      <c r="KLZ165" s="7"/>
      <c r="KMA165" s="7"/>
      <c r="KMB165" s="7"/>
      <c r="KMC165" s="7"/>
      <c r="KMD165" s="7"/>
      <c r="KME165" s="7"/>
      <c r="KMF165" s="7"/>
      <c r="KMG165" s="7"/>
      <c r="KMH165" s="7"/>
      <c r="KMI165" s="7"/>
      <c r="KMJ165" s="7"/>
      <c r="KMK165" s="7"/>
      <c r="KML165" s="7"/>
      <c r="KMM165" s="7"/>
      <c r="KMN165" s="7"/>
      <c r="KMO165" s="7"/>
      <c r="KMP165" s="7"/>
      <c r="KMQ165" s="7"/>
      <c r="KMR165" s="7"/>
      <c r="KMS165" s="7"/>
      <c r="KMT165" s="7"/>
      <c r="KMU165" s="7"/>
      <c r="KMV165" s="7"/>
      <c r="KMW165" s="7"/>
      <c r="KMX165" s="7"/>
      <c r="KMY165" s="7"/>
      <c r="KMZ165" s="7"/>
      <c r="KNA165" s="7"/>
      <c r="KNB165" s="7"/>
      <c r="KNC165" s="7"/>
      <c r="KND165" s="7"/>
      <c r="KNE165" s="7"/>
      <c r="KNF165" s="7"/>
      <c r="KNG165" s="7"/>
      <c r="KNH165" s="7"/>
      <c r="KNI165" s="7"/>
      <c r="KNJ165" s="7"/>
      <c r="KNK165" s="7"/>
      <c r="KNL165" s="7"/>
      <c r="KNM165" s="7"/>
      <c r="KNN165" s="7"/>
      <c r="KNO165" s="7"/>
      <c r="KNP165" s="7"/>
      <c r="KNQ165" s="7"/>
      <c r="KNR165" s="7"/>
      <c r="KNS165" s="7"/>
      <c r="KNT165" s="7"/>
      <c r="KNU165" s="7"/>
      <c r="KNV165" s="7"/>
      <c r="KNW165" s="7"/>
      <c r="KNX165" s="7"/>
      <c r="KNY165" s="7"/>
      <c r="KNZ165" s="7"/>
      <c r="KOA165" s="7"/>
      <c r="KOB165" s="7"/>
      <c r="KOC165" s="7"/>
      <c r="KOD165" s="7"/>
      <c r="KOE165" s="7"/>
      <c r="KOF165" s="7"/>
      <c r="KOG165" s="7"/>
      <c r="KOH165" s="7"/>
      <c r="KOI165" s="7"/>
      <c r="KOJ165" s="7"/>
      <c r="KOK165" s="7"/>
      <c r="KOL165" s="7"/>
      <c r="KOM165" s="7"/>
      <c r="KON165" s="7"/>
      <c r="KOO165" s="7"/>
      <c r="KOP165" s="7"/>
      <c r="KOQ165" s="7"/>
      <c r="KOR165" s="7"/>
      <c r="KOS165" s="7"/>
      <c r="KOT165" s="7"/>
      <c r="KOU165" s="7"/>
      <c r="KOV165" s="7"/>
      <c r="KOW165" s="7"/>
      <c r="KOX165" s="7"/>
      <c r="KOY165" s="7"/>
      <c r="KOZ165" s="7"/>
      <c r="KPA165" s="7"/>
      <c r="KPB165" s="7"/>
      <c r="KPC165" s="7"/>
      <c r="KPD165" s="7"/>
      <c r="KPE165" s="7"/>
      <c r="KPF165" s="7"/>
      <c r="KPG165" s="7"/>
      <c r="KPH165" s="7"/>
      <c r="KPI165" s="7"/>
      <c r="KPJ165" s="7"/>
      <c r="KPK165" s="7"/>
      <c r="KPL165" s="7"/>
      <c r="KPM165" s="7"/>
      <c r="KPN165" s="7"/>
      <c r="KPO165" s="7"/>
      <c r="KPP165" s="7"/>
      <c r="KPQ165" s="7"/>
      <c r="KPR165" s="7"/>
      <c r="KPS165" s="7"/>
      <c r="KPT165" s="7"/>
      <c r="KPU165" s="7"/>
      <c r="KPV165" s="7"/>
      <c r="KPW165" s="7"/>
      <c r="KPX165" s="7"/>
      <c r="KPY165" s="7"/>
      <c r="KPZ165" s="7"/>
      <c r="KQA165" s="7"/>
      <c r="KQB165" s="7"/>
      <c r="KQC165" s="7"/>
      <c r="KQD165" s="7"/>
      <c r="KQE165" s="7"/>
      <c r="KQF165" s="7"/>
      <c r="KQG165" s="7"/>
      <c r="KQH165" s="7"/>
      <c r="KQI165" s="7"/>
      <c r="KQJ165" s="7"/>
      <c r="KQK165" s="7"/>
      <c r="KQL165" s="7"/>
      <c r="KQM165" s="7"/>
      <c r="KQN165" s="7"/>
      <c r="KQO165" s="7"/>
      <c r="KQP165" s="7"/>
      <c r="KQQ165" s="7"/>
      <c r="KQR165" s="7"/>
      <c r="KQS165" s="7"/>
      <c r="KQT165" s="7"/>
      <c r="KQU165" s="7"/>
      <c r="KQV165" s="7"/>
      <c r="KQW165" s="7"/>
      <c r="KQX165" s="7"/>
      <c r="KQY165" s="7"/>
      <c r="KQZ165" s="7"/>
      <c r="KRA165" s="7"/>
      <c r="KRB165" s="7"/>
      <c r="KRC165" s="7"/>
      <c r="KRD165" s="7"/>
      <c r="KRE165" s="7"/>
      <c r="KRF165" s="7"/>
      <c r="KRG165" s="7"/>
      <c r="KRH165" s="7"/>
      <c r="KRI165" s="7"/>
      <c r="KRJ165" s="7"/>
      <c r="KRK165" s="7"/>
      <c r="KRL165" s="7"/>
      <c r="KRM165" s="7"/>
      <c r="KRN165" s="7"/>
      <c r="KRO165" s="7"/>
      <c r="KRP165" s="7"/>
      <c r="KRQ165" s="7"/>
      <c r="KRR165" s="7"/>
      <c r="KRS165" s="7"/>
      <c r="KRT165" s="7"/>
      <c r="KRU165" s="7"/>
      <c r="KRV165" s="7"/>
      <c r="KRW165" s="7"/>
      <c r="KRX165" s="7"/>
      <c r="KRY165" s="7"/>
      <c r="KRZ165" s="7"/>
      <c r="KSA165" s="7"/>
      <c r="KSB165" s="7"/>
      <c r="KSC165" s="7"/>
      <c r="KSD165" s="7"/>
      <c r="KSE165" s="7"/>
      <c r="KSF165" s="7"/>
      <c r="KSG165" s="7"/>
      <c r="KSH165" s="7"/>
      <c r="KSI165" s="7"/>
      <c r="KSJ165" s="7"/>
      <c r="KSK165" s="7"/>
      <c r="KSL165" s="7"/>
      <c r="KSM165" s="7"/>
      <c r="KSN165" s="7"/>
      <c r="KSO165" s="7"/>
      <c r="KSP165" s="7"/>
      <c r="KSQ165" s="7"/>
      <c r="KSR165" s="7"/>
      <c r="KSS165" s="7"/>
      <c r="KST165" s="7"/>
      <c r="KSU165" s="7"/>
      <c r="KSV165" s="7"/>
      <c r="KSW165" s="7"/>
      <c r="KSX165" s="7"/>
      <c r="KSY165" s="7"/>
      <c r="KSZ165" s="7"/>
      <c r="KTA165" s="7"/>
      <c r="KTB165" s="7"/>
      <c r="KTC165" s="7"/>
      <c r="KTD165" s="7"/>
      <c r="KTE165" s="7"/>
      <c r="KTF165" s="7"/>
      <c r="KTG165" s="7"/>
      <c r="KTH165" s="7"/>
      <c r="KTI165" s="7"/>
      <c r="KTJ165" s="7"/>
      <c r="KTK165" s="7"/>
      <c r="KTL165" s="7"/>
      <c r="KTM165" s="7"/>
      <c r="KTN165" s="7"/>
      <c r="KTO165" s="7"/>
      <c r="KTP165" s="7"/>
      <c r="KTQ165" s="7"/>
      <c r="KTR165" s="7"/>
      <c r="KTS165" s="7"/>
      <c r="KTT165" s="7"/>
      <c r="KTU165" s="7"/>
      <c r="KTV165" s="7"/>
      <c r="KTW165" s="7"/>
      <c r="KTX165" s="7"/>
      <c r="KTY165" s="7"/>
      <c r="KTZ165" s="7"/>
      <c r="KUA165" s="7"/>
      <c r="KUB165" s="7"/>
      <c r="KUC165" s="7"/>
      <c r="KUD165" s="7"/>
      <c r="KUE165" s="7"/>
      <c r="KUF165" s="7"/>
      <c r="KUG165" s="7"/>
      <c r="KUH165" s="7"/>
      <c r="KUI165" s="7"/>
      <c r="KUJ165" s="7"/>
      <c r="KUK165" s="7"/>
      <c r="KUL165" s="7"/>
      <c r="KUM165" s="7"/>
      <c r="KUN165" s="7"/>
      <c r="KUO165" s="7"/>
      <c r="KUP165" s="7"/>
      <c r="KUQ165" s="7"/>
      <c r="KUR165" s="7"/>
      <c r="KUS165" s="7"/>
      <c r="KUT165" s="7"/>
      <c r="KUU165" s="7"/>
      <c r="KUV165" s="7"/>
      <c r="KUW165" s="7"/>
      <c r="KUX165" s="7"/>
      <c r="KUY165" s="7"/>
      <c r="KUZ165" s="7"/>
      <c r="KVA165" s="7"/>
      <c r="KVB165" s="7"/>
      <c r="KVC165" s="7"/>
      <c r="KVD165" s="7"/>
      <c r="KVE165" s="7"/>
      <c r="KVF165" s="7"/>
      <c r="KVG165" s="7"/>
      <c r="KVH165" s="7"/>
      <c r="KVI165" s="7"/>
      <c r="KVJ165" s="7"/>
      <c r="KVK165" s="7"/>
      <c r="KVL165" s="7"/>
      <c r="KVM165" s="7"/>
      <c r="KVN165" s="7"/>
      <c r="KVO165" s="7"/>
      <c r="KVP165" s="7"/>
      <c r="KVQ165" s="7"/>
      <c r="KVR165" s="7"/>
      <c r="KVS165" s="7"/>
      <c r="KVT165" s="7"/>
      <c r="KVU165" s="7"/>
      <c r="KVV165" s="7"/>
      <c r="KVW165" s="7"/>
      <c r="KVX165" s="7"/>
      <c r="KVY165" s="7"/>
      <c r="KVZ165" s="7"/>
      <c r="KWA165" s="7"/>
      <c r="KWB165" s="7"/>
      <c r="KWC165" s="7"/>
      <c r="KWD165" s="7"/>
      <c r="KWE165" s="7"/>
      <c r="KWF165" s="7"/>
      <c r="KWG165" s="7"/>
      <c r="KWH165" s="7"/>
      <c r="KWI165" s="7"/>
      <c r="KWJ165" s="7"/>
      <c r="KWK165" s="7"/>
      <c r="KWL165" s="7"/>
      <c r="KWM165" s="7"/>
      <c r="KWN165" s="7"/>
      <c r="KWO165" s="7"/>
      <c r="KWP165" s="7"/>
      <c r="KWQ165" s="7"/>
      <c r="KWR165" s="7"/>
      <c r="KWS165" s="7"/>
      <c r="KWT165" s="7"/>
      <c r="KWU165" s="7"/>
      <c r="KWV165" s="7"/>
      <c r="KWW165" s="7"/>
      <c r="KWX165" s="7"/>
      <c r="KWY165" s="7"/>
      <c r="KWZ165" s="7"/>
      <c r="KXA165" s="7"/>
      <c r="KXB165" s="7"/>
      <c r="KXC165" s="7"/>
      <c r="KXD165" s="7"/>
      <c r="KXE165" s="7"/>
      <c r="KXF165" s="7"/>
      <c r="KXG165" s="7"/>
      <c r="KXH165" s="7"/>
      <c r="KXI165" s="7"/>
      <c r="KXJ165" s="7"/>
      <c r="KXK165" s="7"/>
      <c r="KXL165" s="7"/>
      <c r="KXM165" s="7"/>
      <c r="KXN165" s="7"/>
      <c r="KXO165" s="7"/>
      <c r="KXP165" s="7"/>
      <c r="KXQ165" s="7"/>
      <c r="KXR165" s="7"/>
      <c r="KXS165" s="7"/>
      <c r="KXT165" s="7"/>
      <c r="KXU165" s="7"/>
      <c r="KXV165" s="7"/>
      <c r="KXW165" s="7"/>
      <c r="KXX165" s="7"/>
      <c r="KXY165" s="7"/>
      <c r="KXZ165" s="7"/>
      <c r="KYA165" s="7"/>
      <c r="KYB165" s="7"/>
      <c r="KYC165" s="7"/>
      <c r="KYD165" s="7"/>
      <c r="KYE165" s="7"/>
      <c r="KYF165" s="7"/>
      <c r="KYG165" s="7"/>
      <c r="KYH165" s="7"/>
      <c r="KYI165" s="7"/>
      <c r="KYJ165" s="7"/>
      <c r="KYK165" s="7"/>
      <c r="KYL165" s="7"/>
      <c r="KYM165" s="7"/>
      <c r="KYN165" s="7"/>
      <c r="KYO165" s="7"/>
      <c r="KYP165" s="7"/>
      <c r="KYQ165" s="7"/>
      <c r="KYR165" s="7"/>
      <c r="KYS165" s="7"/>
      <c r="KYT165" s="7"/>
      <c r="KYU165" s="7"/>
      <c r="KYV165" s="7"/>
      <c r="KYW165" s="7"/>
      <c r="KYX165" s="7"/>
      <c r="KYY165" s="7"/>
      <c r="KYZ165" s="7"/>
      <c r="KZA165" s="7"/>
      <c r="KZB165" s="7"/>
      <c r="KZC165" s="7"/>
      <c r="KZD165" s="7"/>
      <c r="KZE165" s="7"/>
      <c r="KZF165" s="7"/>
      <c r="KZG165" s="7"/>
      <c r="KZH165" s="7"/>
      <c r="KZI165" s="7"/>
      <c r="KZJ165" s="7"/>
      <c r="KZK165" s="7"/>
      <c r="KZL165" s="7"/>
      <c r="KZM165" s="7"/>
      <c r="KZN165" s="7"/>
      <c r="KZO165" s="7"/>
      <c r="KZP165" s="7"/>
      <c r="KZQ165" s="7"/>
      <c r="KZR165" s="7"/>
      <c r="KZS165" s="7"/>
      <c r="KZT165" s="7"/>
      <c r="KZU165" s="7"/>
      <c r="KZV165" s="7"/>
      <c r="KZW165" s="7"/>
      <c r="KZX165" s="7"/>
      <c r="KZY165" s="7"/>
      <c r="KZZ165" s="7"/>
      <c r="LAA165" s="7"/>
      <c r="LAB165" s="7"/>
      <c r="LAC165" s="7"/>
      <c r="LAD165" s="7"/>
      <c r="LAE165" s="7"/>
      <c r="LAF165" s="7"/>
      <c r="LAG165" s="7"/>
      <c r="LAH165" s="7"/>
      <c r="LAI165" s="7"/>
      <c r="LAJ165" s="7"/>
      <c r="LAK165" s="7"/>
      <c r="LAL165" s="7"/>
      <c r="LAM165" s="7"/>
      <c r="LAN165" s="7"/>
      <c r="LAO165" s="7"/>
      <c r="LAP165" s="7"/>
      <c r="LAQ165" s="7"/>
      <c r="LAR165" s="7"/>
      <c r="LAS165" s="7"/>
      <c r="LAT165" s="7"/>
      <c r="LAU165" s="7"/>
      <c r="LAV165" s="7"/>
      <c r="LAW165" s="7"/>
      <c r="LAX165" s="7"/>
      <c r="LAY165" s="7"/>
      <c r="LAZ165" s="7"/>
      <c r="LBA165" s="7"/>
      <c r="LBB165" s="7"/>
      <c r="LBC165" s="7"/>
      <c r="LBD165" s="7"/>
      <c r="LBE165" s="7"/>
      <c r="LBF165" s="7"/>
      <c r="LBG165" s="7"/>
      <c r="LBH165" s="7"/>
      <c r="LBI165" s="7"/>
      <c r="LBJ165" s="7"/>
      <c r="LBK165" s="7"/>
      <c r="LBL165" s="7"/>
      <c r="LBM165" s="7"/>
      <c r="LBN165" s="7"/>
      <c r="LBO165" s="7"/>
      <c r="LBP165" s="7"/>
      <c r="LBQ165" s="7"/>
      <c r="LBR165" s="7"/>
      <c r="LBS165" s="7"/>
      <c r="LBT165" s="7"/>
      <c r="LBU165" s="7"/>
      <c r="LBV165" s="7"/>
      <c r="LBW165" s="7"/>
      <c r="LBX165" s="7"/>
      <c r="LBY165" s="7"/>
      <c r="LBZ165" s="7"/>
      <c r="LCA165" s="7"/>
      <c r="LCB165" s="7"/>
      <c r="LCC165" s="7"/>
      <c r="LCD165" s="7"/>
      <c r="LCE165" s="7"/>
      <c r="LCF165" s="7"/>
      <c r="LCG165" s="7"/>
      <c r="LCH165" s="7"/>
      <c r="LCI165" s="7"/>
      <c r="LCJ165" s="7"/>
      <c r="LCK165" s="7"/>
      <c r="LCL165" s="7"/>
      <c r="LCM165" s="7"/>
      <c r="LCN165" s="7"/>
      <c r="LCO165" s="7"/>
      <c r="LCP165" s="7"/>
      <c r="LCQ165" s="7"/>
      <c r="LCR165" s="7"/>
      <c r="LCS165" s="7"/>
      <c r="LCT165" s="7"/>
      <c r="LCU165" s="7"/>
      <c r="LCV165" s="7"/>
      <c r="LCW165" s="7"/>
      <c r="LCX165" s="7"/>
      <c r="LCY165" s="7"/>
      <c r="LCZ165" s="7"/>
      <c r="LDA165" s="7"/>
      <c r="LDB165" s="7"/>
      <c r="LDC165" s="7"/>
      <c r="LDD165" s="7"/>
      <c r="LDE165" s="7"/>
      <c r="LDF165" s="7"/>
      <c r="LDG165" s="7"/>
      <c r="LDH165" s="7"/>
      <c r="LDI165" s="7"/>
      <c r="LDJ165" s="7"/>
      <c r="LDK165" s="7"/>
      <c r="LDL165" s="7"/>
      <c r="LDM165" s="7"/>
      <c r="LDN165" s="7"/>
      <c r="LDO165" s="7"/>
      <c r="LDP165" s="7"/>
      <c r="LDQ165" s="7"/>
      <c r="LDR165" s="7"/>
      <c r="LDS165" s="7"/>
      <c r="LDT165" s="7"/>
      <c r="LDU165" s="7"/>
      <c r="LDV165" s="7"/>
      <c r="LDW165" s="7"/>
      <c r="LDX165" s="7"/>
      <c r="LDY165" s="7"/>
      <c r="LDZ165" s="7"/>
      <c r="LEA165" s="7"/>
      <c r="LEB165" s="7"/>
      <c r="LEC165" s="7"/>
      <c r="LED165" s="7"/>
      <c r="LEE165" s="7"/>
      <c r="LEF165" s="7"/>
      <c r="LEG165" s="7"/>
      <c r="LEH165" s="7"/>
      <c r="LEI165" s="7"/>
      <c r="LEJ165" s="7"/>
      <c r="LEK165" s="7"/>
      <c r="LEL165" s="7"/>
      <c r="LEM165" s="7"/>
      <c r="LEN165" s="7"/>
      <c r="LEO165" s="7"/>
      <c r="LEP165" s="7"/>
      <c r="LEQ165" s="7"/>
      <c r="LER165" s="7"/>
      <c r="LES165" s="7"/>
      <c r="LET165" s="7"/>
      <c r="LEU165" s="7"/>
      <c r="LEV165" s="7"/>
      <c r="LEW165" s="7"/>
      <c r="LEX165" s="7"/>
      <c r="LEY165" s="7"/>
      <c r="LEZ165" s="7"/>
      <c r="LFA165" s="7"/>
      <c r="LFB165" s="7"/>
      <c r="LFC165" s="7"/>
      <c r="LFD165" s="7"/>
      <c r="LFE165" s="7"/>
      <c r="LFF165" s="7"/>
      <c r="LFG165" s="7"/>
      <c r="LFH165" s="7"/>
      <c r="LFI165" s="7"/>
      <c r="LFJ165" s="7"/>
      <c r="LFK165" s="7"/>
      <c r="LFL165" s="7"/>
      <c r="LFM165" s="7"/>
      <c r="LFN165" s="7"/>
      <c r="LFO165" s="7"/>
      <c r="LFP165" s="7"/>
      <c r="LFQ165" s="7"/>
      <c r="LFR165" s="7"/>
      <c r="LFS165" s="7"/>
      <c r="LFT165" s="7"/>
      <c r="LFU165" s="7"/>
      <c r="LFV165" s="7"/>
      <c r="LFW165" s="7"/>
      <c r="LFX165" s="7"/>
      <c r="LFY165" s="7"/>
      <c r="LFZ165" s="7"/>
      <c r="LGA165" s="7"/>
      <c r="LGB165" s="7"/>
      <c r="LGC165" s="7"/>
      <c r="LGD165" s="7"/>
      <c r="LGE165" s="7"/>
      <c r="LGF165" s="7"/>
      <c r="LGG165" s="7"/>
      <c r="LGH165" s="7"/>
      <c r="LGI165" s="7"/>
      <c r="LGJ165" s="7"/>
      <c r="LGK165" s="7"/>
      <c r="LGL165" s="7"/>
      <c r="LGM165" s="7"/>
      <c r="LGN165" s="7"/>
      <c r="LGO165" s="7"/>
      <c r="LGP165" s="7"/>
      <c r="LGQ165" s="7"/>
      <c r="LGR165" s="7"/>
      <c r="LGS165" s="7"/>
      <c r="LGT165" s="7"/>
      <c r="LGU165" s="7"/>
      <c r="LGV165" s="7"/>
      <c r="LGW165" s="7"/>
      <c r="LGX165" s="7"/>
      <c r="LGY165" s="7"/>
      <c r="LGZ165" s="7"/>
      <c r="LHA165" s="7"/>
      <c r="LHB165" s="7"/>
      <c r="LHC165" s="7"/>
      <c r="LHD165" s="7"/>
      <c r="LHE165" s="7"/>
      <c r="LHF165" s="7"/>
      <c r="LHG165" s="7"/>
      <c r="LHH165" s="7"/>
      <c r="LHI165" s="7"/>
      <c r="LHJ165" s="7"/>
      <c r="LHK165" s="7"/>
      <c r="LHL165" s="7"/>
      <c r="LHM165" s="7"/>
      <c r="LHN165" s="7"/>
      <c r="LHO165" s="7"/>
      <c r="LHP165" s="7"/>
      <c r="LHQ165" s="7"/>
      <c r="LHR165" s="7"/>
      <c r="LHS165" s="7"/>
      <c r="LHT165" s="7"/>
      <c r="LHU165" s="7"/>
      <c r="LHV165" s="7"/>
      <c r="LHW165" s="7"/>
      <c r="LHX165" s="7"/>
      <c r="LHY165" s="7"/>
      <c r="LHZ165" s="7"/>
      <c r="LIA165" s="7"/>
      <c r="LIB165" s="7"/>
      <c r="LIC165" s="7"/>
      <c r="LID165" s="7"/>
      <c r="LIE165" s="7"/>
      <c r="LIF165" s="7"/>
      <c r="LIG165" s="7"/>
      <c r="LIH165" s="7"/>
      <c r="LII165" s="7"/>
      <c r="LIJ165" s="7"/>
      <c r="LIK165" s="7"/>
      <c r="LIL165" s="7"/>
      <c r="LIM165" s="7"/>
      <c r="LIN165" s="7"/>
      <c r="LIO165" s="7"/>
      <c r="LIP165" s="7"/>
      <c r="LIQ165" s="7"/>
      <c r="LIR165" s="7"/>
      <c r="LIS165" s="7"/>
      <c r="LIT165" s="7"/>
      <c r="LIU165" s="7"/>
      <c r="LIV165" s="7"/>
      <c r="LIW165" s="7"/>
      <c r="LIX165" s="7"/>
      <c r="LIY165" s="7"/>
      <c r="LIZ165" s="7"/>
      <c r="LJA165" s="7"/>
      <c r="LJB165" s="7"/>
      <c r="LJC165" s="7"/>
      <c r="LJD165" s="7"/>
      <c r="LJE165" s="7"/>
      <c r="LJF165" s="7"/>
      <c r="LJG165" s="7"/>
      <c r="LJH165" s="7"/>
      <c r="LJI165" s="7"/>
      <c r="LJJ165" s="7"/>
      <c r="LJK165" s="7"/>
      <c r="LJL165" s="7"/>
      <c r="LJM165" s="7"/>
      <c r="LJN165" s="7"/>
      <c r="LJO165" s="7"/>
      <c r="LJP165" s="7"/>
      <c r="LJQ165" s="7"/>
      <c r="LJR165" s="7"/>
      <c r="LJS165" s="7"/>
      <c r="LJT165" s="7"/>
      <c r="LJU165" s="7"/>
      <c r="LJV165" s="7"/>
      <c r="LJW165" s="7"/>
      <c r="LJX165" s="7"/>
      <c r="LJY165" s="7"/>
      <c r="LJZ165" s="7"/>
      <c r="LKA165" s="7"/>
      <c r="LKB165" s="7"/>
      <c r="LKC165" s="7"/>
      <c r="LKD165" s="7"/>
      <c r="LKE165" s="7"/>
      <c r="LKF165" s="7"/>
      <c r="LKG165" s="7"/>
      <c r="LKH165" s="7"/>
      <c r="LKI165" s="7"/>
      <c r="LKJ165" s="7"/>
      <c r="LKK165" s="7"/>
      <c r="LKL165" s="7"/>
      <c r="LKM165" s="7"/>
      <c r="LKN165" s="7"/>
      <c r="LKO165" s="7"/>
      <c r="LKP165" s="7"/>
      <c r="LKQ165" s="7"/>
      <c r="LKR165" s="7"/>
      <c r="LKS165" s="7"/>
      <c r="LKT165" s="7"/>
      <c r="LKU165" s="7"/>
      <c r="LKV165" s="7"/>
      <c r="LKW165" s="7"/>
      <c r="LKX165" s="7"/>
      <c r="LKY165" s="7"/>
      <c r="LKZ165" s="7"/>
      <c r="LLA165" s="7"/>
      <c r="LLB165" s="7"/>
      <c r="LLC165" s="7"/>
      <c r="LLD165" s="7"/>
      <c r="LLE165" s="7"/>
      <c r="LLF165" s="7"/>
      <c r="LLG165" s="7"/>
      <c r="LLH165" s="7"/>
      <c r="LLI165" s="7"/>
      <c r="LLJ165" s="7"/>
      <c r="LLK165" s="7"/>
      <c r="LLL165" s="7"/>
      <c r="LLM165" s="7"/>
      <c r="LLN165" s="7"/>
      <c r="LLO165" s="7"/>
      <c r="LLP165" s="7"/>
      <c r="LLQ165" s="7"/>
      <c r="LLR165" s="7"/>
      <c r="LLS165" s="7"/>
      <c r="LLT165" s="7"/>
      <c r="LLU165" s="7"/>
      <c r="LLV165" s="7"/>
      <c r="LLW165" s="7"/>
      <c r="LLX165" s="7"/>
      <c r="LLY165" s="7"/>
      <c r="LLZ165" s="7"/>
      <c r="LMA165" s="7"/>
      <c r="LMB165" s="7"/>
      <c r="LMC165" s="7"/>
      <c r="LMD165" s="7"/>
      <c r="LME165" s="7"/>
      <c r="LMF165" s="7"/>
      <c r="LMG165" s="7"/>
      <c r="LMH165" s="7"/>
      <c r="LMI165" s="7"/>
      <c r="LMJ165" s="7"/>
      <c r="LMK165" s="7"/>
      <c r="LML165" s="7"/>
      <c r="LMM165" s="7"/>
      <c r="LMN165" s="7"/>
      <c r="LMO165" s="7"/>
      <c r="LMP165" s="7"/>
      <c r="LMQ165" s="7"/>
      <c r="LMR165" s="7"/>
      <c r="LMS165" s="7"/>
      <c r="LMT165" s="7"/>
      <c r="LMU165" s="7"/>
      <c r="LMV165" s="7"/>
      <c r="LMW165" s="7"/>
      <c r="LMX165" s="7"/>
      <c r="LMY165" s="7"/>
      <c r="LMZ165" s="7"/>
      <c r="LNA165" s="7"/>
      <c r="LNB165" s="7"/>
      <c r="LNC165" s="7"/>
      <c r="LND165" s="7"/>
      <c r="LNE165" s="7"/>
      <c r="LNF165" s="7"/>
      <c r="LNG165" s="7"/>
      <c r="LNH165" s="7"/>
      <c r="LNI165" s="7"/>
      <c r="LNJ165" s="7"/>
      <c r="LNK165" s="7"/>
      <c r="LNL165" s="7"/>
      <c r="LNM165" s="7"/>
      <c r="LNN165" s="7"/>
      <c r="LNO165" s="7"/>
      <c r="LNP165" s="7"/>
      <c r="LNQ165" s="7"/>
      <c r="LNR165" s="7"/>
      <c r="LNS165" s="7"/>
      <c r="LNT165" s="7"/>
      <c r="LNU165" s="7"/>
      <c r="LNV165" s="7"/>
      <c r="LNW165" s="7"/>
      <c r="LNX165" s="7"/>
      <c r="LNY165" s="7"/>
      <c r="LNZ165" s="7"/>
      <c r="LOA165" s="7"/>
      <c r="LOB165" s="7"/>
      <c r="LOC165" s="7"/>
      <c r="LOD165" s="7"/>
      <c r="LOE165" s="7"/>
      <c r="LOF165" s="7"/>
      <c r="LOG165" s="7"/>
      <c r="LOH165" s="7"/>
      <c r="LOI165" s="7"/>
      <c r="LOJ165" s="7"/>
      <c r="LOK165" s="7"/>
      <c r="LOL165" s="7"/>
      <c r="LOM165" s="7"/>
      <c r="LON165" s="7"/>
      <c r="LOO165" s="7"/>
      <c r="LOP165" s="7"/>
      <c r="LOQ165" s="7"/>
      <c r="LOR165" s="7"/>
      <c r="LOS165" s="7"/>
      <c r="LOT165" s="7"/>
      <c r="LOU165" s="7"/>
      <c r="LOV165" s="7"/>
      <c r="LOW165" s="7"/>
      <c r="LOX165" s="7"/>
      <c r="LOY165" s="7"/>
      <c r="LOZ165" s="7"/>
      <c r="LPA165" s="7"/>
      <c r="LPB165" s="7"/>
      <c r="LPC165" s="7"/>
      <c r="LPD165" s="7"/>
      <c r="LPE165" s="7"/>
      <c r="LPF165" s="7"/>
      <c r="LPG165" s="7"/>
      <c r="LPH165" s="7"/>
      <c r="LPI165" s="7"/>
      <c r="LPJ165" s="7"/>
      <c r="LPK165" s="7"/>
      <c r="LPL165" s="7"/>
      <c r="LPM165" s="7"/>
      <c r="LPN165" s="7"/>
      <c r="LPO165" s="7"/>
      <c r="LPP165" s="7"/>
      <c r="LPQ165" s="7"/>
      <c r="LPR165" s="7"/>
      <c r="LPS165" s="7"/>
      <c r="LPT165" s="7"/>
      <c r="LPU165" s="7"/>
      <c r="LPV165" s="7"/>
      <c r="LPW165" s="7"/>
      <c r="LPX165" s="7"/>
      <c r="LPY165" s="7"/>
      <c r="LPZ165" s="7"/>
      <c r="LQA165" s="7"/>
      <c r="LQB165" s="7"/>
      <c r="LQC165" s="7"/>
      <c r="LQD165" s="7"/>
      <c r="LQE165" s="7"/>
      <c r="LQF165" s="7"/>
      <c r="LQG165" s="7"/>
      <c r="LQH165" s="7"/>
      <c r="LQI165" s="7"/>
      <c r="LQJ165" s="7"/>
      <c r="LQK165" s="7"/>
      <c r="LQL165" s="7"/>
      <c r="LQM165" s="7"/>
      <c r="LQN165" s="7"/>
      <c r="LQO165" s="7"/>
      <c r="LQP165" s="7"/>
      <c r="LQQ165" s="7"/>
      <c r="LQR165" s="7"/>
      <c r="LQS165" s="7"/>
      <c r="LQT165" s="7"/>
      <c r="LQU165" s="7"/>
      <c r="LQV165" s="7"/>
      <c r="LQW165" s="7"/>
      <c r="LQX165" s="7"/>
      <c r="LQY165" s="7"/>
      <c r="LQZ165" s="7"/>
      <c r="LRA165" s="7"/>
      <c r="LRB165" s="7"/>
      <c r="LRC165" s="7"/>
      <c r="LRD165" s="7"/>
      <c r="LRE165" s="7"/>
      <c r="LRF165" s="7"/>
      <c r="LRG165" s="7"/>
      <c r="LRH165" s="7"/>
      <c r="LRI165" s="7"/>
      <c r="LRJ165" s="7"/>
      <c r="LRK165" s="7"/>
      <c r="LRL165" s="7"/>
      <c r="LRM165" s="7"/>
      <c r="LRN165" s="7"/>
      <c r="LRO165" s="7"/>
      <c r="LRP165" s="7"/>
      <c r="LRQ165" s="7"/>
      <c r="LRR165" s="7"/>
      <c r="LRS165" s="7"/>
      <c r="LRT165" s="7"/>
      <c r="LRU165" s="7"/>
      <c r="LRV165" s="7"/>
      <c r="LRW165" s="7"/>
      <c r="LRX165" s="7"/>
      <c r="LRY165" s="7"/>
      <c r="LRZ165" s="7"/>
      <c r="LSA165" s="7"/>
      <c r="LSB165" s="7"/>
      <c r="LSC165" s="7"/>
      <c r="LSD165" s="7"/>
      <c r="LSE165" s="7"/>
      <c r="LSF165" s="7"/>
      <c r="LSG165" s="7"/>
      <c r="LSH165" s="7"/>
      <c r="LSI165" s="7"/>
      <c r="LSJ165" s="7"/>
      <c r="LSK165" s="7"/>
      <c r="LSL165" s="7"/>
      <c r="LSM165" s="7"/>
      <c r="LSN165" s="7"/>
      <c r="LSO165" s="7"/>
      <c r="LSP165" s="7"/>
      <c r="LSQ165" s="7"/>
      <c r="LSR165" s="7"/>
      <c r="LSS165" s="7"/>
      <c r="LST165" s="7"/>
      <c r="LSU165" s="7"/>
      <c r="LSV165" s="7"/>
      <c r="LSW165" s="7"/>
      <c r="LSX165" s="7"/>
      <c r="LSY165" s="7"/>
      <c r="LSZ165" s="7"/>
      <c r="LTA165" s="7"/>
      <c r="LTB165" s="7"/>
      <c r="LTC165" s="7"/>
      <c r="LTD165" s="7"/>
      <c r="LTE165" s="7"/>
      <c r="LTF165" s="7"/>
      <c r="LTG165" s="7"/>
      <c r="LTH165" s="7"/>
      <c r="LTI165" s="7"/>
      <c r="LTJ165" s="7"/>
      <c r="LTK165" s="7"/>
      <c r="LTL165" s="7"/>
      <c r="LTM165" s="7"/>
      <c r="LTN165" s="7"/>
      <c r="LTO165" s="7"/>
      <c r="LTP165" s="7"/>
      <c r="LTQ165" s="7"/>
      <c r="LTR165" s="7"/>
      <c r="LTS165" s="7"/>
      <c r="LTT165" s="7"/>
      <c r="LTU165" s="7"/>
      <c r="LTV165" s="7"/>
      <c r="LTW165" s="7"/>
      <c r="LTX165" s="7"/>
      <c r="LTY165" s="7"/>
      <c r="LTZ165" s="7"/>
      <c r="LUA165" s="7"/>
      <c r="LUB165" s="7"/>
      <c r="LUC165" s="7"/>
      <c r="LUD165" s="7"/>
      <c r="LUE165" s="7"/>
      <c r="LUF165" s="7"/>
      <c r="LUG165" s="7"/>
      <c r="LUH165" s="7"/>
      <c r="LUI165" s="7"/>
      <c r="LUJ165" s="7"/>
      <c r="LUK165" s="7"/>
      <c r="LUL165" s="7"/>
      <c r="LUM165" s="7"/>
      <c r="LUN165" s="7"/>
      <c r="LUO165" s="7"/>
      <c r="LUP165" s="7"/>
      <c r="LUQ165" s="7"/>
      <c r="LUR165" s="7"/>
      <c r="LUS165" s="7"/>
      <c r="LUT165" s="7"/>
      <c r="LUU165" s="7"/>
      <c r="LUV165" s="7"/>
      <c r="LUW165" s="7"/>
      <c r="LUX165" s="7"/>
      <c r="LUY165" s="7"/>
      <c r="LUZ165" s="7"/>
      <c r="LVA165" s="7"/>
      <c r="LVB165" s="7"/>
      <c r="LVC165" s="7"/>
      <c r="LVD165" s="7"/>
      <c r="LVE165" s="7"/>
      <c r="LVF165" s="7"/>
      <c r="LVG165" s="7"/>
      <c r="LVH165" s="7"/>
      <c r="LVI165" s="7"/>
      <c r="LVJ165" s="7"/>
      <c r="LVK165" s="7"/>
      <c r="LVL165" s="7"/>
      <c r="LVM165" s="7"/>
      <c r="LVN165" s="7"/>
      <c r="LVO165" s="7"/>
      <c r="LVP165" s="7"/>
      <c r="LVQ165" s="7"/>
      <c r="LVR165" s="7"/>
      <c r="LVS165" s="7"/>
      <c r="LVT165" s="7"/>
      <c r="LVU165" s="7"/>
      <c r="LVV165" s="7"/>
      <c r="LVW165" s="7"/>
      <c r="LVX165" s="7"/>
      <c r="LVY165" s="7"/>
      <c r="LVZ165" s="7"/>
      <c r="LWA165" s="7"/>
      <c r="LWB165" s="7"/>
      <c r="LWC165" s="7"/>
      <c r="LWD165" s="7"/>
      <c r="LWE165" s="7"/>
      <c r="LWF165" s="7"/>
      <c r="LWG165" s="7"/>
      <c r="LWH165" s="7"/>
      <c r="LWI165" s="7"/>
      <c r="LWJ165" s="7"/>
      <c r="LWK165" s="7"/>
      <c r="LWL165" s="7"/>
      <c r="LWM165" s="7"/>
      <c r="LWN165" s="7"/>
      <c r="LWO165" s="7"/>
      <c r="LWP165" s="7"/>
      <c r="LWQ165" s="7"/>
      <c r="LWR165" s="7"/>
      <c r="LWS165" s="7"/>
      <c r="LWT165" s="7"/>
      <c r="LWU165" s="7"/>
      <c r="LWV165" s="7"/>
      <c r="LWW165" s="7"/>
      <c r="LWX165" s="7"/>
      <c r="LWY165" s="7"/>
      <c r="LWZ165" s="7"/>
      <c r="LXA165" s="7"/>
      <c r="LXB165" s="7"/>
      <c r="LXC165" s="7"/>
      <c r="LXD165" s="7"/>
      <c r="LXE165" s="7"/>
      <c r="LXF165" s="7"/>
      <c r="LXG165" s="7"/>
      <c r="LXH165" s="7"/>
      <c r="LXI165" s="7"/>
      <c r="LXJ165" s="7"/>
      <c r="LXK165" s="7"/>
      <c r="LXL165" s="7"/>
      <c r="LXM165" s="7"/>
      <c r="LXN165" s="7"/>
      <c r="LXO165" s="7"/>
      <c r="LXP165" s="7"/>
      <c r="LXQ165" s="7"/>
      <c r="LXR165" s="7"/>
      <c r="LXS165" s="7"/>
      <c r="LXT165" s="7"/>
      <c r="LXU165" s="7"/>
      <c r="LXV165" s="7"/>
      <c r="LXW165" s="7"/>
      <c r="LXX165" s="7"/>
      <c r="LXY165" s="7"/>
      <c r="LXZ165" s="7"/>
      <c r="LYA165" s="7"/>
      <c r="LYB165" s="7"/>
      <c r="LYC165" s="7"/>
      <c r="LYD165" s="7"/>
      <c r="LYE165" s="7"/>
      <c r="LYF165" s="7"/>
      <c r="LYG165" s="7"/>
      <c r="LYH165" s="7"/>
      <c r="LYI165" s="7"/>
      <c r="LYJ165" s="7"/>
      <c r="LYK165" s="7"/>
      <c r="LYL165" s="7"/>
      <c r="LYM165" s="7"/>
      <c r="LYN165" s="7"/>
      <c r="LYO165" s="7"/>
      <c r="LYP165" s="7"/>
      <c r="LYQ165" s="7"/>
      <c r="LYR165" s="7"/>
      <c r="LYS165" s="7"/>
      <c r="LYT165" s="7"/>
      <c r="LYU165" s="7"/>
      <c r="LYV165" s="7"/>
      <c r="LYW165" s="7"/>
      <c r="LYX165" s="7"/>
      <c r="LYY165" s="7"/>
      <c r="LYZ165" s="7"/>
      <c r="LZA165" s="7"/>
      <c r="LZB165" s="7"/>
      <c r="LZC165" s="7"/>
      <c r="LZD165" s="7"/>
      <c r="LZE165" s="7"/>
      <c r="LZF165" s="7"/>
      <c r="LZG165" s="7"/>
      <c r="LZH165" s="7"/>
      <c r="LZI165" s="7"/>
      <c r="LZJ165" s="7"/>
      <c r="LZK165" s="7"/>
      <c r="LZL165" s="7"/>
      <c r="LZM165" s="7"/>
      <c r="LZN165" s="7"/>
      <c r="LZO165" s="7"/>
      <c r="LZP165" s="7"/>
      <c r="LZQ165" s="7"/>
      <c r="LZR165" s="7"/>
      <c r="LZS165" s="7"/>
      <c r="LZT165" s="7"/>
      <c r="LZU165" s="7"/>
      <c r="LZV165" s="7"/>
      <c r="LZW165" s="7"/>
      <c r="LZX165" s="7"/>
      <c r="LZY165" s="7"/>
      <c r="LZZ165" s="7"/>
      <c r="MAA165" s="7"/>
      <c r="MAB165" s="7"/>
      <c r="MAC165" s="7"/>
      <c r="MAD165" s="7"/>
      <c r="MAE165" s="7"/>
      <c r="MAF165" s="7"/>
      <c r="MAG165" s="7"/>
      <c r="MAH165" s="7"/>
      <c r="MAI165" s="7"/>
      <c r="MAJ165" s="7"/>
      <c r="MAK165" s="7"/>
      <c r="MAL165" s="7"/>
      <c r="MAM165" s="7"/>
      <c r="MAN165" s="7"/>
      <c r="MAO165" s="7"/>
      <c r="MAP165" s="7"/>
      <c r="MAQ165" s="7"/>
      <c r="MAR165" s="7"/>
      <c r="MAS165" s="7"/>
      <c r="MAT165" s="7"/>
      <c r="MAU165" s="7"/>
      <c r="MAV165" s="7"/>
      <c r="MAW165" s="7"/>
      <c r="MAX165" s="7"/>
      <c r="MAY165" s="7"/>
      <c r="MAZ165" s="7"/>
      <c r="MBA165" s="7"/>
      <c r="MBB165" s="7"/>
      <c r="MBC165" s="7"/>
      <c r="MBD165" s="7"/>
      <c r="MBE165" s="7"/>
      <c r="MBF165" s="7"/>
      <c r="MBG165" s="7"/>
      <c r="MBH165" s="7"/>
      <c r="MBI165" s="7"/>
      <c r="MBJ165" s="7"/>
      <c r="MBK165" s="7"/>
      <c r="MBL165" s="7"/>
      <c r="MBM165" s="7"/>
      <c r="MBN165" s="7"/>
      <c r="MBO165" s="7"/>
      <c r="MBP165" s="7"/>
      <c r="MBQ165" s="7"/>
      <c r="MBR165" s="7"/>
      <c r="MBS165" s="7"/>
      <c r="MBT165" s="7"/>
      <c r="MBU165" s="7"/>
      <c r="MBV165" s="7"/>
      <c r="MBW165" s="7"/>
      <c r="MBX165" s="7"/>
      <c r="MBY165" s="7"/>
      <c r="MBZ165" s="7"/>
      <c r="MCA165" s="7"/>
      <c r="MCB165" s="7"/>
      <c r="MCC165" s="7"/>
      <c r="MCD165" s="7"/>
      <c r="MCE165" s="7"/>
      <c r="MCF165" s="7"/>
      <c r="MCG165" s="7"/>
      <c r="MCH165" s="7"/>
      <c r="MCI165" s="7"/>
      <c r="MCJ165" s="7"/>
      <c r="MCK165" s="7"/>
      <c r="MCL165" s="7"/>
      <c r="MCM165" s="7"/>
      <c r="MCN165" s="7"/>
      <c r="MCO165" s="7"/>
      <c r="MCP165" s="7"/>
      <c r="MCQ165" s="7"/>
      <c r="MCR165" s="7"/>
      <c r="MCS165" s="7"/>
      <c r="MCT165" s="7"/>
      <c r="MCU165" s="7"/>
      <c r="MCV165" s="7"/>
      <c r="MCW165" s="7"/>
      <c r="MCX165" s="7"/>
      <c r="MCY165" s="7"/>
      <c r="MCZ165" s="7"/>
      <c r="MDA165" s="7"/>
      <c r="MDB165" s="7"/>
      <c r="MDC165" s="7"/>
      <c r="MDD165" s="7"/>
      <c r="MDE165" s="7"/>
      <c r="MDF165" s="7"/>
      <c r="MDG165" s="7"/>
      <c r="MDH165" s="7"/>
      <c r="MDI165" s="7"/>
      <c r="MDJ165" s="7"/>
      <c r="MDK165" s="7"/>
      <c r="MDL165" s="7"/>
      <c r="MDM165" s="7"/>
      <c r="MDN165" s="7"/>
      <c r="MDO165" s="7"/>
      <c r="MDP165" s="7"/>
      <c r="MDQ165" s="7"/>
      <c r="MDR165" s="7"/>
      <c r="MDS165" s="7"/>
      <c r="MDT165" s="7"/>
      <c r="MDU165" s="7"/>
      <c r="MDV165" s="7"/>
      <c r="MDW165" s="7"/>
      <c r="MDX165" s="7"/>
      <c r="MDY165" s="7"/>
      <c r="MDZ165" s="7"/>
      <c r="MEA165" s="7"/>
      <c r="MEB165" s="7"/>
      <c r="MEC165" s="7"/>
      <c r="MED165" s="7"/>
      <c r="MEE165" s="7"/>
      <c r="MEF165" s="7"/>
      <c r="MEG165" s="7"/>
      <c r="MEH165" s="7"/>
      <c r="MEI165" s="7"/>
      <c r="MEJ165" s="7"/>
      <c r="MEK165" s="7"/>
      <c r="MEL165" s="7"/>
      <c r="MEM165" s="7"/>
      <c r="MEN165" s="7"/>
      <c r="MEO165" s="7"/>
      <c r="MEP165" s="7"/>
      <c r="MEQ165" s="7"/>
      <c r="MER165" s="7"/>
      <c r="MES165" s="7"/>
      <c r="MET165" s="7"/>
      <c r="MEU165" s="7"/>
      <c r="MEV165" s="7"/>
      <c r="MEW165" s="7"/>
      <c r="MEX165" s="7"/>
      <c r="MEY165" s="7"/>
      <c r="MEZ165" s="7"/>
      <c r="MFA165" s="7"/>
      <c r="MFB165" s="7"/>
      <c r="MFC165" s="7"/>
      <c r="MFD165" s="7"/>
      <c r="MFE165" s="7"/>
      <c r="MFF165" s="7"/>
      <c r="MFG165" s="7"/>
      <c r="MFH165" s="7"/>
      <c r="MFI165" s="7"/>
      <c r="MFJ165" s="7"/>
      <c r="MFK165" s="7"/>
      <c r="MFL165" s="7"/>
      <c r="MFM165" s="7"/>
      <c r="MFN165" s="7"/>
      <c r="MFO165" s="7"/>
      <c r="MFP165" s="7"/>
      <c r="MFQ165" s="7"/>
      <c r="MFR165" s="7"/>
      <c r="MFS165" s="7"/>
      <c r="MFT165" s="7"/>
      <c r="MFU165" s="7"/>
      <c r="MFV165" s="7"/>
      <c r="MFW165" s="7"/>
      <c r="MFX165" s="7"/>
      <c r="MFY165" s="7"/>
      <c r="MFZ165" s="7"/>
      <c r="MGA165" s="7"/>
      <c r="MGB165" s="7"/>
      <c r="MGC165" s="7"/>
      <c r="MGD165" s="7"/>
      <c r="MGE165" s="7"/>
      <c r="MGF165" s="7"/>
      <c r="MGG165" s="7"/>
      <c r="MGH165" s="7"/>
      <c r="MGI165" s="7"/>
      <c r="MGJ165" s="7"/>
      <c r="MGK165" s="7"/>
      <c r="MGL165" s="7"/>
      <c r="MGM165" s="7"/>
      <c r="MGN165" s="7"/>
      <c r="MGO165" s="7"/>
      <c r="MGP165" s="7"/>
      <c r="MGQ165" s="7"/>
      <c r="MGR165" s="7"/>
      <c r="MGS165" s="7"/>
      <c r="MGT165" s="7"/>
      <c r="MGU165" s="7"/>
      <c r="MGV165" s="7"/>
      <c r="MGW165" s="7"/>
      <c r="MGX165" s="7"/>
      <c r="MGY165" s="7"/>
      <c r="MGZ165" s="7"/>
      <c r="MHA165" s="7"/>
      <c r="MHB165" s="7"/>
      <c r="MHC165" s="7"/>
      <c r="MHD165" s="7"/>
      <c r="MHE165" s="7"/>
      <c r="MHF165" s="7"/>
      <c r="MHG165" s="7"/>
      <c r="MHH165" s="7"/>
      <c r="MHI165" s="7"/>
      <c r="MHJ165" s="7"/>
      <c r="MHK165" s="7"/>
      <c r="MHL165" s="7"/>
      <c r="MHM165" s="7"/>
      <c r="MHN165" s="7"/>
      <c r="MHO165" s="7"/>
      <c r="MHP165" s="7"/>
      <c r="MHQ165" s="7"/>
      <c r="MHR165" s="7"/>
      <c r="MHS165" s="7"/>
      <c r="MHT165" s="7"/>
      <c r="MHU165" s="7"/>
      <c r="MHV165" s="7"/>
      <c r="MHW165" s="7"/>
      <c r="MHX165" s="7"/>
      <c r="MHY165" s="7"/>
      <c r="MHZ165" s="7"/>
      <c r="MIA165" s="7"/>
      <c r="MIB165" s="7"/>
      <c r="MIC165" s="7"/>
      <c r="MID165" s="7"/>
      <c r="MIE165" s="7"/>
      <c r="MIF165" s="7"/>
      <c r="MIG165" s="7"/>
      <c r="MIH165" s="7"/>
      <c r="MII165" s="7"/>
      <c r="MIJ165" s="7"/>
      <c r="MIK165" s="7"/>
      <c r="MIL165" s="7"/>
      <c r="MIM165" s="7"/>
      <c r="MIN165" s="7"/>
      <c r="MIO165" s="7"/>
      <c r="MIP165" s="7"/>
      <c r="MIQ165" s="7"/>
      <c r="MIR165" s="7"/>
      <c r="MIS165" s="7"/>
      <c r="MIT165" s="7"/>
      <c r="MIU165" s="7"/>
      <c r="MIV165" s="7"/>
      <c r="MIW165" s="7"/>
      <c r="MIX165" s="7"/>
      <c r="MIY165" s="7"/>
      <c r="MIZ165" s="7"/>
      <c r="MJA165" s="7"/>
      <c r="MJB165" s="7"/>
      <c r="MJC165" s="7"/>
      <c r="MJD165" s="7"/>
      <c r="MJE165" s="7"/>
      <c r="MJF165" s="7"/>
      <c r="MJG165" s="7"/>
      <c r="MJH165" s="7"/>
      <c r="MJI165" s="7"/>
      <c r="MJJ165" s="7"/>
      <c r="MJK165" s="7"/>
      <c r="MJL165" s="7"/>
      <c r="MJM165" s="7"/>
      <c r="MJN165" s="7"/>
      <c r="MJO165" s="7"/>
      <c r="MJP165" s="7"/>
      <c r="MJQ165" s="7"/>
      <c r="MJR165" s="7"/>
      <c r="MJS165" s="7"/>
      <c r="MJT165" s="7"/>
      <c r="MJU165" s="7"/>
      <c r="MJV165" s="7"/>
      <c r="MJW165" s="7"/>
      <c r="MJX165" s="7"/>
      <c r="MJY165" s="7"/>
      <c r="MJZ165" s="7"/>
      <c r="MKA165" s="7"/>
      <c r="MKB165" s="7"/>
      <c r="MKC165" s="7"/>
      <c r="MKD165" s="7"/>
      <c r="MKE165" s="7"/>
      <c r="MKF165" s="7"/>
      <c r="MKG165" s="7"/>
      <c r="MKH165" s="7"/>
      <c r="MKI165" s="7"/>
      <c r="MKJ165" s="7"/>
      <c r="MKK165" s="7"/>
      <c r="MKL165" s="7"/>
      <c r="MKM165" s="7"/>
      <c r="MKN165" s="7"/>
      <c r="MKO165" s="7"/>
      <c r="MKP165" s="7"/>
      <c r="MKQ165" s="7"/>
      <c r="MKR165" s="7"/>
      <c r="MKS165" s="7"/>
      <c r="MKT165" s="7"/>
      <c r="MKU165" s="7"/>
      <c r="MKV165" s="7"/>
      <c r="MKW165" s="7"/>
      <c r="MKX165" s="7"/>
      <c r="MKY165" s="7"/>
      <c r="MKZ165" s="7"/>
      <c r="MLA165" s="7"/>
      <c r="MLB165" s="7"/>
      <c r="MLC165" s="7"/>
      <c r="MLD165" s="7"/>
      <c r="MLE165" s="7"/>
      <c r="MLF165" s="7"/>
      <c r="MLG165" s="7"/>
      <c r="MLH165" s="7"/>
      <c r="MLI165" s="7"/>
      <c r="MLJ165" s="7"/>
      <c r="MLK165" s="7"/>
      <c r="MLL165" s="7"/>
      <c r="MLM165" s="7"/>
      <c r="MLN165" s="7"/>
      <c r="MLO165" s="7"/>
      <c r="MLP165" s="7"/>
      <c r="MLQ165" s="7"/>
      <c r="MLR165" s="7"/>
      <c r="MLS165" s="7"/>
      <c r="MLT165" s="7"/>
      <c r="MLU165" s="7"/>
      <c r="MLV165" s="7"/>
      <c r="MLW165" s="7"/>
      <c r="MLX165" s="7"/>
      <c r="MLY165" s="7"/>
      <c r="MLZ165" s="7"/>
      <c r="MMA165" s="7"/>
      <c r="MMB165" s="7"/>
      <c r="MMC165" s="7"/>
      <c r="MMD165" s="7"/>
      <c r="MME165" s="7"/>
      <c r="MMF165" s="7"/>
      <c r="MMG165" s="7"/>
      <c r="MMH165" s="7"/>
      <c r="MMI165" s="7"/>
      <c r="MMJ165" s="7"/>
      <c r="MMK165" s="7"/>
      <c r="MML165" s="7"/>
      <c r="MMM165" s="7"/>
      <c r="MMN165" s="7"/>
      <c r="MMO165" s="7"/>
      <c r="MMP165" s="7"/>
      <c r="MMQ165" s="7"/>
      <c r="MMR165" s="7"/>
      <c r="MMS165" s="7"/>
      <c r="MMT165" s="7"/>
      <c r="MMU165" s="7"/>
      <c r="MMV165" s="7"/>
      <c r="MMW165" s="7"/>
      <c r="MMX165" s="7"/>
      <c r="MMY165" s="7"/>
      <c r="MMZ165" s="7"/>
      <c r="MNA165" s="7"/>
      <c r="MNB165" s="7"/>
      <c r="MNC165" s="7"/>
      <c r="MND165" s="7"/>
      <c r="MNE165" s="7"/>
      <c r="MNF165" s="7"/>
      <c r="MNG165" s="7"/>
      <c r="MNH165" s="7"/>
      <c r="MNI165" s="7"/>
      <c r="MNJ165" s="7"/>
      <c r="MNK165" s="7"/>
      <c r="MNL165" s="7"/>
      <c r="MNM165" s="7"/>
      <c r="MNN165" s="7"/>
      <c r="MNO165" s="7"/>
      <c r="MNP165" s="7"/>
      <c r="MNQ165" s="7"/>
      <c r="MNR165" s="7"/>
      <c r="MNS165" s="7"/>
      <c r="MNT165" s="7"/>
      <c r="MNU165" s="7"/>
      <c r="MNV165" s="7"/>
      <c r="MNW165" s="7"/>
      <c r="MNX165" s="7"/>
      <c r="MNY165" s="7"/>
      <c r="MNZ165" s="7"/>
      <c r="MOA165" s="7"/>
      <c r="MOB165" s="7"/>
      <c r="MOC165" s="7"/>
      <c r="MOD165" s="7"/>
      <c r="MOE165" s="7"/>
      <c r="MOF165" s="7"/>
      <c r="MOG165" s="7"/>
      <c r="MOH165" s="7"/>
      <c r="MOI165" s="7"/>
      <c r="MOJ165" s="7"/>
      <c r="MOK165" s="7"/>
      <c r="MOL165" s="7"/>
      <c r="MOM165" s="7"/>
      <c r="MON165" s="7"/>
      <c r="MOO165" s="7"/>
      <c r="MOP165" s="7"/>
      <c r="MOQ165" s="7"/>
      <c r="MOR165" s="7"/>
      <c r="MOS165" s="7"/>
      <c r="MOT165" s="7"/>
      <c r="MOU165" s="7"/>
      <c r="MOV165" s="7"/>
      <c r="MOW165" s="7"/>
      <c r="MOX165" s="7"/>
      <c r="MOY165" s="7"/>
      <c r="MOZ165" s="7"/>
      <c r="MPA165" s="7"/>
      <c r="MPB165" s="7"/>
      <c r="MPC165" s="7"/>
      <c r="MPD165" s="7"/>
      <c r="MPE165" s="7"/>
      <c r="MPF165" s="7"/>
      <c r="MPG165" s="7"/>
      <c r="MPH165" s="7"/>
      <c r="MPI165" s="7"/>
      <c r="MPJ165" s="7"/>
      <c r="MPK165" s="7"/>
      <c r="MPL165" s="7"/>
      <c r="MPM165" s="7"/>
      <c r="MPN165" s="7"/>
      <c r="MPO165" s="7"/>
      <c r="MPP165" s="7"/>
      <c r="MPQ165" s="7"/>
      <c r="MPR165" s="7"/>
      <c r="MPS165" s="7"/>
      <c r="MPT165" s="7"/>
      <c r="MPU165" s="7"/>
      <c r="MPV165" s="7"/>
      <c r="MPW165" s="7"/>
      <c r="MPX165" s="7"/>
      <c r="MPY165" s="7"/>
      <c r="MPZ165" s="7"/>
      <c r="MQA165" s="7"/>
      <c r="MQB165" s="7"/>
      <c r="MQC165" s="7"/>
      <c r="MQD165" s="7"/>
      <c r="MQE165" s="7"/>
      <c r="MQF165" s="7"/>
      <c r="MQG165" s="7"/>
      <c r="MQH165" s="7"/>
      <c r="MQI165" s="7"/>
      <c r="MQJ165" s="7"/>
      <c r="MQK165" s="7"/>
      <c r="MQL165" s="7"/>
      <c r="MQM165" s="7"/>
      <c r="MQN165" s="7"/>
      <c r="MQO165" s="7"/>
      <c r="MQP165" s="7"/>
      <c r="MQQ165" s="7"/>
      <c r="MQR165" s="7"/>
      <c r="MQS165" s="7"/>
      <c r="MQT165" s="7"/>
      <c r="MQU165" s="7"/>
      <c r="MQV165" s="7"/>
      <c r="MQW165" s="7"/>
      <c r="MQX165" s="7"/>
      <c r="MQY165" s="7"/>
      <c r="MQZ165" s="7"/>
      <c r="MRA165" s="7"/>
      <c r="MRB165" s="7"/>
      <c r="MRC165" s="7"/>
      <c r="MRD165" s="7"/>
      <c r="MRE165" s="7"/>
      <c r="MRF165" s="7"/>
      <c r="MRG165" s="7"/>
      <c r="MRH165" s="7"/>
      <c r="MRI165" s="7"/>
      <c r="MRJ165" s="7"/>
      <c r="MRK165" s="7"/>
      <c r="MRL165" s="7"/>
      <c r="MRM165" s="7"/>
      <c r="MRN165" s="7"/>
      <c r="MRO165" s="7"/>
      <c r="MRP165" s="7"/>
      <c r="MRQ165" s="7"/>
      <c r="MRR165" s="7"/>
      <c r="MRS165" s="7"/>
      <c r="MRT165" s="7"/>
      <c r="MRU165" s="7"/>
      <c r="MRV165" s="7"/>
      <c r="MRW165" s="7"/>
      <c r="MRX165" s="7"/>
      <c r="MRY165" s="7"/>
      <c r="MRZ165" s="7"/>
      <c r="MSA165" s="7"/>
      <c r="MSB165" s="7"/>
      <c r="MSC165" s="7"/>
      <c r="MSD165" s="7"/>
      <c r="MSE165" s="7"/>
      <c r="MSF165" s="7"/>
      <c r="MSG165" s="7"/>
      <c r="MSH165" s="7"/>
      <c r="MSI165" s="7"/>
      <c r="MSJ165" s="7"/>
      <c r="MSK165" s="7"/>
      <c r="MSL165" s="7"/>
      <c r="MSM165" s="7"/>
      <c r="MSN165" s="7"/>
      <c r="MSO165" s="7"/>
      <c r="MSP165" s="7"/>
      <c r="MSQ165" s="7"/>
      <c r="MSR165" s="7"/>
      <c r="MSS165" s="7"/>
      <c r="MST165" s="7"/>
      <c r="MSU165" s="7"/>
      <c r="MSV165" s="7"/>
      <c r="MSW165" s="7"/>
      <c r="MSX165" s="7"/>
      <c r="MSY165" s="7"/>
      <c r="MSZ165" s="7"/>
      <c r="MTA165" s="7"/>
      <c r="MTB165" s="7"/>
      <c r="MTC165" s="7"/>
      <c r="MTD165" s="7"/>
      <c r="MTE165" s="7"/>
      <c r="MTF165" s="7"/>
      <c r="MTG165" s="7"/>
      <c r="MTH165" s="7"/>
      <c r="MTI165" s="7"/>
      <c r="MTJ165" s="7"/>
      <c r="MTK165" s="7"/>
      <c r="MTL165" s="7"/>
      <c r="MTM165" s="7"/>
      <c r="MTN165" s="7"/>
      <c r="MTO165" s="7"/>
      <c r="MTP165" s="7"/>
      <c r="MTQ165" s="7"/>
      <c r="MTR165" s="7"/>
      <c r="MTS165" s="7"/>
      <c r="MTT165" s="7"/>
      <c r="MTU165" s="7"/>
      <c r="MTV165" s="7"/>
      <c r="MTW165" s="7"/>
      <c r="MTX165" s="7"/>
      <c r="MTY165" s="7"/>
      <c r="MTZ165" s="7"/>
      <c r="MUA165" s="7"/>
      <c r="MUB165" s="7"/>
      <c r="MUC165" s="7"/>
      <c r="MUD165" s="7"/>
      <c r="MUE165" s="7"/>
      <c r="MUF165" s="7"/>
      <c r="MUG165" s="7"/>
      <c r="MUH165" s="7"/>
      <c r="MUI165" s="7"/>
      <c r="MUJ165" s="7"/>
      <c r="MUK165" s="7"/>
      <c r="MUL165" s="7"/>
      <c r="MUM165" s="7"/>
      <c r="MUN165" s="7"/>
      <c r="MUO165" s="7"/>
      <c r="MUP165" s="7"/>
      <c r="MUQ165" s="7"/>
      <c r="MUR165" s="7"/>
      <c r="MUS165" s="7"/>
      <c r="MUT165" s="7"/>
      <c r="MUU165" s="7"/>
      <c r="MUV165" s="7"/>
      <c r="MUW165" s="7"/>
      <c r="MUX165" s="7"/>
      <c r="MUY165" s="7"/>
      <c r="MUZ165" s="7"/>
      <c r="MVA165" s="7"/>
      <c r="MVB165" s="7"/>
      <c r="MVC165" s="7"/>
      <c r="MVD165" s="7"/>
      <c r="MVE165" s="7"/>
      <c r="MVF165" s="7"/>
      <c r="MVG165" s="7"/>
      <c r="MVH165" s="7"/>
      <c r="MVI165" s="7"/>
      <c r="MVJ165" s="7"/>
      <c r="MVK165" s="7"/>
      <c r="MVL165" s="7"/>
      <c r="MVM165" s="7"/>
      <c r="MVN165" s="7"/>
      <c r="MVO165" s="7"/>
      <c r="MVP165" s="7"/>
      <c r="MVQ165" s="7"/>
      <c r="MVR165" s="7"/>
      <c r="MVS165" s="7"/>
      <c r="MVT165" s="7"/>
      <c r="MVU165" s="7"/>
      <c r="MVV165" s="7"/>
      <c r="MVW165" s="7"/>
      <c r="MVX165" s="7"/>
      <c r="MVY165" s="7"/>
      <c r="MVZ165" s="7"/>
      <c r="MWA165" s="7"/>
      <c r="MWB165" s="7"/>
      <c r="MWC165" s="7"/>
      <c r="MWD165" s="7"/>
      <c r="MWE165" s="7"/>
      <c r="MWF165" s="7"/>
      <c r="MWG165" s="7"/>
      <c r="MWH165" s="7"/>
      <c r="MWI165" s="7"/>
      <c r="MWJ165" s="7"/>
      <c r="MWK165" s="7"/>
      <c r="MWL165" s="7"/>
      <c r="MWM165" s="7"/>
      <c r="MWN165" s="7"/>
      <c r="MWO165" s="7"/>
      <c r="MWP165" s="7"/>
      <c r="MWQ165" s="7"/>
      <c r="MWR165" s="7"/>
      <c r="MWS165" s="7"/>
      <c r="MWT165" s="7"/>
      <c r="MWU165" s="7"/>
      <c r="MWV165" s="7"/>
      <c r="MWW165" s="7"/>
      <c r="MWX165" s="7"/>
      <c r="MWY165" s="7"/>
      <c r="MWZ165" s="7"/>
      <c r="MXA165" s="7"/>
      <c r="MXB165" s="7"/>
      <c r="MXC165" s="7"/>
      <c r="MXD165" s="7"/>
      <c r="MXE165" s="7"/>
      <c r="MXF165" s="7"/>
      <c r="MXG165" s="7"/>
      <c r="MXH165" s="7"/>
      <c r="MXI165" s="7"/>
      <c r="MXJ165" s="7"/>
      <c r="MXK165" s="7"/>
      <c r="MXL165" s="7"/>
      <c r="MXM165" s="7"/>
      <c r="MXN165" s="7"/>
      <c r="MXO165" s="7"/>
      <c r="MXP165" s="7"/>
      <c r="MXQ165" s="7"/>
      <c r="MXR165" s="7"/>
      <c r="MXS165" s="7"/>
      <c r="MXT165" s="7"/>
      <c r="MXU165" s="7"/>
      <c r="MXV165" s="7"/>
      <c r="MXW165" s="7"/>
      <c r="MXX165" s="7"/>
      <c r="MXY165" s="7"/>
      <c r="MXZ165" s="7"/>
      <c r="MYA165" s="7"/>
      <c r="MYB165" s="7"/>
      <c r="MYC165" s="7"/>
      <c r="MYD165" s="7"/>
      <c r="MYE165" s="7"/>
      <c r="MYF165" s="7"/>
      <c r="MYG165" s="7"/>
      <c r="MYH165" s="7"/>
      <c r="MYI165" s="7"/>
      <c r="MYJ165" s="7"/>
      <c r="MYK165" s="7"/>
      <c r="MYL165" s="7"/>
      <c r="MYM165" s="7"/>
      <c r="MYN165" s="7"/>
      <c r="MYO165" s="7"/>
      <c r="MYP165" s="7"/>
      <c r="MYQ165" s="7"/>
      <c r="MYR165" s="7"/>
      <c r="MYS165" s="7"/>
      <c r="MYT165" s="7"/>
      <c r="MYU165" s="7"/>
      <c r="MYV165" s="7"/>
      <c r="MYW165" s="7"/>
      <c r="MYX165" s="7"/>
      <c r="MYY165" s="7"/>
      <c r="MYZ165" s="7"/>
      <c r="MZA165" s="7"/>
      <c r="MZB165" s="7"/>
      <c r="MZC165" s="7"/>
      <c r="MZD165" s="7"/>
      <c r="MZE165" s="7"/>
      <c r="MZF165" s="7"/>
      <c r="MZG165" s="7"/>
      <c r="MZH165" s="7"/>
      <c r="MZI165" s="7"/>
      <c r="MZJ165" s="7"/>
      <c r="MZK165" s="7"/>
      <c r="MZL165" s="7"/>
      <c r="MZM165" s="7"/>
      <c r="MZN165" s="7"/>
      <c r="MZO165" s="7"/>
      <c r="MZP165" s="7"/>
      <c r="MZQ165" s="7"/>
      <c r="MZR165" s="7"/>
      <c r="MZS165" s="7"/>
      <c r="MZT165" s="7"/>
      <c r="MZU165" s="7"/>
      <c r="MZV165" s="7"/>
      <c r="MZW165" s="7"/>
      <c r="MZX165" s="7"/>
      <c r="MZY165" s="7"/>
      <c r="MZZ165" s="7"/>
      <c r="NAA165" s="7"/>
      <c r="NAB165" s="7"/>
      <c r="NAC165" s="7"/>
      <c r="NAD165" s="7"/>
      <c r="NAE165" s="7"/>
      <c r="NAF165" s="7"/>
      <c r="NAG165" s="7"/>
      <c r="NAH165" s="7"/>
      <c r="NAI165" s="7"/>
      <c r="NAJ165" s="7"/>
      <c r="NAK165" s="7"/>
      <c r="NAL165" s="7"/>
      <c r="NAM165" s="7"/>
      <c r="NAN165" s="7"/>
      <c r="NAO165" s="7"/>
      <c r="NAP165" s="7"/>
      <c r="NAQ165" s="7"/>
      <c r="NAR165" s="7"/>
      <c r="NAS165" s="7"/>
      <c r="NAT165" s="7"/>
      <c r="NAU165" s="7"/>
      <c r="NAV165" s="7"/>
      <c r="NAW165" s="7"/>
      <c r="NAX165" s="7"/>
      <c r="NAY165" s="7"/>
      <c r="NAZ165" s="7"/>
      <c r="NBA165" s="7"/>
      <c r="NBB165" s="7"/>
      <c r="NBC165" s="7"/>
      <c r="NBD165" s="7"/>
      <c r="NBE165" s="7"/>
      <c r="NBF165" s="7"/>
      <c r="NBG165" s="7"/>
      <c r="NBH165" s="7"/>
      <c r="NBI165" s="7"/>
      <c r="NBJ165" s="7"/>
      <c r="NBK165" s="7"/>
      <c r="NBL165" s="7"/>
      <c r="NBM165" s="7"/>
      <c r="NBN165" s="7"/>
      <c r="NBO165" s="7"/>
      <c r="NBP165" s="7"/>
      <c r="NBQ165" s="7"/>
      <c r="NBR165" s="7"/>
      <c r="NBS165" s="7"/>
      <c r="NBT165" s="7"/>
      <c r="NBU165" s="7"/>
      <c r="NBV165" s="7"/>
      <c r="NBW165" s="7"/>
      <c r="NBX165" s="7"/>
      <c r="NBY165" s="7"/>
      <c r="NBZ165" s="7"/>
      <c r="NCA165" s="7"/>
      <c r="NCB165" s="7"/>
      <c r="NCC165" s="7"/>
      <c r="NCD165" s="7"/>
      <c r="NCE165" s="7"/>
      <c r="NCF165" s="7"/>
      <c r="NCG165" s="7"/>
      <c r="NCH165" s="7"/>
      <c r="NCI165" s="7"/>
      <c r="NCJ165" s="7"/>
      <c r="NCK165" s="7"/>
      <c r="NCL165" s="7"/>
      <c r="NCM165" s="7"/>
      <c r="NCN165" s="7"/>
      <c r="NCO165" s="7"/>
      <c r="NCP165" s="7"/>
      <c r="NCQ165" s="7"/>
      <c r="NCR165" s="7"/>
      <c r="NCS165" s="7"/>
      <c r="NCT165" s="7"/>
      <c r="NCU165" s="7"/>
      <c r="NCV165" s="7"/>
      <c r="NCW165" s="7"/>
      <c r="NCX165" s="7"/>
      <c r="NCY165" s="7"/>
      <c r="NCZ165" s="7"/>
      <c r="NDA165" s="7"/>
      <c r="NDB165" s="7"/>
      <c r="NDC165" s="7"/>
      <c r="NDD165" s="7"/>
      <c r="NDE165" s="7"/>
      <c r="NDF165" s="7"/>
      <c r="NDG165" s="7"/>
      <c r="NDH165" s="7"/>
      <c r="NDI165" s="7"/>
      <c r="NDJ165" s="7"/>
      <c r="NDK165" s="7"/>
      <c r="NDL165" s="7"/>
      <c r="NDM165" s="7"/>
      <c r="NDN165" s="7"/>
      <c r="NDO165" s="7"/>
      <c r="NDP165" s="7"/>
      <c r="NDQ165" s="7"/>
      <c r="NDR165" s="7"/>
      <c r="NDS165" s="7"/>
      <c r="NDT165" s="7"/>
      <c r="NDU165" s="7"/>
      <c r="NDV165" s="7"/>
      <c r="NDW165" s="7"/>
      <c r="NDX165" s="7"/>
      <c r="NDY165" s="7"/>
      <c r="NDZ165" s="7"/>
      <c r="NEA165" s="7"/>
      <c r="NEB165" s="7"/>
      <c r="NEC165" s="7"/>
      <c r="NED165" s="7"/>
      <c r="NEE165" s="7"/>
      <c r="NEF165" s="7"/>
      <c r="NEG165" s="7"/>
      <c r="NEH165" s="7"/>
      <c r="NEI165" s="7"/>
      <c r="NEJ165" s="7"/>
      <c r="NEK165" s="7"/>
      <c r="NEL165" s="7"/>
      <c r="NEM165" s="7"/>
      <c r="NEN165" s="7"/>
      <c r="NEO165" s="7"/>
      <c r="NEP165" s="7"/>
      <c r="NEQ165" s="7"/>
      <c r="NER165" s="7"/>
      <c r="NES165" s="7"/>
      <c r="NET165" s="7"/>
      <c r="NEU165" s="7"/>
      <c r="NEV165" s="7"/>
      <c r="NEW165" s="7"/>
      <c r="NEX165" s="7"/>
      <c r="NEY165" s="7"/>
      <c r="NEZ165" s="7"/>
      <c r="NFA165" s="7"/>
      <c r="NFB165" s="7"/>
      <c r="NFC165" s="7"/>
      <c r="NFD165" s="7"/>
      <c r="NFE165" s="7"/>
      <c r="NFF165" s="7"/>
      <c r="NFG165" s="7"/>
      <c r="NFH165" s="7"/>
      <c r="NFI165" s="7"/>
      <c r="NFJ165" s="7"/>
      <c r="NFK165" s="7"/>
      <c r="NFL165" s="7"/>
      <c r="NFM165" s="7"/>
      <c r="NFN165" s="7"/>
      <c r="NFO165" s="7"/>
      <c r="NFP165" s="7"/>
      <c r="NFQ165" s="7"/>
      <c r="NFR165" s="7"/>
      <c r="NFS165" s="7"/>
      <c r="NFT165" s="7"/>
      <c r="NFU165" s="7"/>
      <c r="NFV165" s="7"/>
      <c r="NFW165" s="7"/>
      <c r="NFX165" s="7"/>
      <c r="NFY165" s="7"/>
      <c r="NFZ165" s="7"/>
      <c r="NGA165" s="7"/>
      <c r="NGB165" s="7"/>
      <c r="NGC165" s="7"/>
      <c r="NGD165" s="7"/>
      <c r="NGE165" s="7"/>
      <c r="NGF165" s="7"/>
      <c r="NGG165" s="7"/>
      <c r="NGH165" s="7"/>
      <c r="NGI165" s="7"/>
      <c r="NGJ165" s="7"/>
      <c r="NGK165" s="7"/>
      <c r="NGL165" s="7"/>
      <c r="NGM165" s="7"/>
      <c r="NGN165" s="7"/>
      <c r="NGO165" s="7"/>
      <c r="NGP165" s="7"/>
      <c r="NGQ165" s="7"/>
      <c r="NGR165" s="7"/>
      <c r="NGS165" s="7"/>
      <c r="NGT165" s="7"/>
      <c r="NGU165" s="7"/>
      <c r="NGV165" s="7"/>
      <c r="NGW165" s="7"/>
      <c r="NGX165" s="7"/>
      <c r="NGY165" s="7"/>
      <c r="NGZ165" s="7"/>
      <c r="NHA165" s="7"/>
      <c r="NHB165" s="7"/>
      <c r="NHC165" s="7"/>
      <c r="NHD165" s="7"/>
      <c r="NHE165" s="7"/>
      <c r="NHF165" s="7"/>
      <c r="NHG165" s="7"/>
      <c r="NHH165" s="7"/>
      <c r="NHI165" s="7"/>
      <c r="NHJ165" s="7"/>
      <c r="NHK165" s="7"/>
      <c r="NHL165" s="7"/>
      <c r="NHM165" s="7"/>
      <c r="NHN165" s="7"/>
      <c r="NHO165" s="7"/>
      <c r="NHP165" s="7"/>
      <c r="NHQ165" s="7"/>
      <c r="NHR165" s="7"/>
      <c r="NHS165" s="7"/>
      <c r="NHT165" s="7"/>
      <c r="NHU165" s="7"/>
      <c r="NHV165" s="7"/>
      <c r="NHW165" s="7"/>
      <c r="NHX165" s="7"/>
      <c r="NHY165" s="7"/>
      <c r="NHZ165" s="7"/>
      <c r="NIA165" s="7"/>
      <c r="NIB165" s="7"/>
      <c r="NIC165" s="7"/>
      <c r="NID165" s="7"/>
      <c r="NIE165" s="7"/>
      <c r="NIF165" s="7"/>
      <c r="NIG165" s="7"/>
      <c r="NIH165" s="7"/>
      <c r="NII165" s="7"/>
      <c r="NIJ165" s="7"/>
      <c r="NIK165" s="7"/>
      <c r="NIL165" s="7"/>
      <c r="NIM165" s="7"/>
      <c r="NIN165" s="7"/>
      <c r="NIO165" s="7"/>
      <c r="NIP165" s="7"/>
      <c r="NIQ165" s="7"/>
      <c r="NIR165" s="7"/>
      <c r="NIS165" s="7"/>
      <c r="NIT165" s="7"/>
      <c r="NIU165" s="7"/>
      <c r="NIV165" s="7"/>
      <c r="NIW165" s="7"/>
      <c r="NIX165" s="7"/>
      <c r="NIY165" s="7"/>
      <c r="NIZ165" s="7"/>
      <c r="NJA165" s="7"/>
      <c r="NJB165" s="7"/>
      <c r="NJC165" s="7"/>
      <c r="NJD165" s="7"/>
      <c r="NJE165" s="7"/>
      <c r="NJF165" s="7"/>
      <c r="NJG165" s="7"/>
      <c r="NJH165" s="7"/>
      <c r="NJI165" s="7"/>
      <c r="NJJ165" s="7"/>
      <c r="NJK165" s="7"/>
      <c r="NJL165" s="7"/>
      <c r="NJM165" s="7"/>
      <c r="NJN165" s="7"/>
      <c r="NJO165" s="7"/>
      <c r="NJP165" s="7"/>
      <c r="NJQ165" s="7"/>
      <c r="NJR165" s="7"/>
      <c r="NJS165" s="7"/>
      <c r="NJT165" s="7"/>
      <c r="NJU165" s="7"/>
      <c r="NJV165" s="7"/>
      <c r="NJW165" s="7"/>
      <c r="NJX165" s="7"/>
      <c r="NJY165" s="7"/>
      <c r="NJZ165" s="7"/>
      <c r="NKA165" s="7"/>
      <c r="NKB165" s="7"/>
      <c r="NKC165" s="7"/>
      <c r="NKD165" s="7"/>
      <c r="NKE165" s="7"/>
      <c r="NKF165" s="7"/>
      <c r="NKG165" s="7"/>
      <c r="NKH165" s="7"/>
      <c r="NKI165" s="7"/>
      <c r="NKJ165" s="7"/>
      <c r="NKK165" s="7"/>
      <c r="NKL165" s="7"/>
      <c r="NKM165" s="7"/>
      <c r="NKN165" s="7"/>
      <c r="NKO165" s="7"/>
      <c r="NKP165" s="7"/>
      <c r="NKQ165" s="7"/>
      <c r="NKR165" s="7"/>
      <c r="NKS165" s="7"/>
      <c r="NKT165" s="7"/>
      <c r="NKU165" s="7"/>
      <c r="NKV165" s="7"/>
      <c r="NKW165" s="7"/>
      <c r="NKX165" s="7"/>
      <c r="NKY165" s="7"/>
      <c r="NKZ165" s="7"/>
      <c r="NLA165" s="7"/>
      <c r="NLB165" s="7"/>
      <c r="NLC165" s="7"/>
      <c r="NLD165" s="7"/>
      <c r="NLE165" s="7"/>
      <c r="NLF165" s="7"/>
      <c r="NLG165" s="7"/>
      <c r="NLH165" s="7"/>
      <c r="NLI165" s="7"/>
      <c r="NLJ165" s="7"/>
      <c r="NLK165" s="7"/>
      <c r="NLL165" s="7"/>
      <c r="NLM165" s="7"/>
      <c r="NLN165" s="7"/>
      <c r="NLO165" s="7"/>
      <c r="NLP165" s="7"/>
      <c r="NLQ165" s="7"/>
      <c r="NLR165" s="7"/>
      <c r="NLS165" s="7"/>
      <c r="NLT165" s="7"/>
      <c r="NLU165" s="7"/>
      <c r="NLV165" s="7"/>
      <c r="NLW165" s="7"/>
      <c r="NLX165" s="7"/>
      <c r="NLY165" s="7"/>
      <c r="NLZ165" s="7"/>
      <c r="NMA165" s="7"/>
      <c r="NMB165" s="7"/>
      <c r="NMC165" s="7"/>
      <c r="NMD165" s="7"/>
      <c r="NME165" s="7"/>
      <c r="NMF165" s="7"/>
      <c r="NMG165" s="7"/>
      <c r="NMH165" s="7"/>
      <c r="NMI165" s="7"/>
      <c r="NMJ165" s="7"/>
      <c r="NMK165" s="7"/>
      <c r="NML165" s="7"/>
      <c r="NMM165" s="7"/>
      <c r="NMN165" s="7"/>
      <c r="NMO165" s="7"/>
      <c r="NMP165" s="7"/>
      <c r="NMQ165" s="7"/>
      <c r="NMR165" s="7"/>
      <c r="NMS165" s="7"/>
      <c r="NMT165" s="7"/>
      <c r="NMU165" s="7"/>
      <c r="NMV165" s="7"/>
      <c r="NMW165" s="7"/>
      <c r="NMX165" s="7"/>
      <c r="NMY165" s="7"/>
      <c r="NMZ165" s="7"/>
      <c r="NNA165" s="7"/>
      <c r="NNB165" s="7"/>
      <c r="NNC165" s="7"/>
      <c r="NND165" s="7"/>
      <c r="NNE165" s="7"/>
      <c r="NNF165" s="7"/>
      <c r="NNG165" s="7"/>
      <c r="NNH165" s="7"/>
      <c r="NNI165" s="7"/>
      <c r="NNJ165" s="7"/>
      <c r="NNK165" s="7"/>
      <c r="NNL165" s="7"/>
      <c r="NNM165" s="7"/>
      <c r="NNN165" s="7"/>
      <c r="NNO165" s="7"/>
      <c r="NNP165" s="7"/>
      <c r="NNQ165" s="7"/>
      <c r="NNR165" s="7"/>
      <c r="NNS165" s="7"/>
      <c r="NNT165" s="7"/>
      <c r="NNU165" s="7"/>
      <c r="NNV165" s="7"/>
      <c r="NNW165" s="7"/>
      <c r="NNX165" s="7"/>
      <c r="NNY165" s="7"/>
      <c r="NNZ165" s="7"/>
      <c r="NOA165" s="7"/>
      <c r="NOB165" s="7"/>
      <c r="NOC165" s="7"/>
      <c r="NOD165" s="7"/>
      <c r="NOE165" s="7"/>
      <c r="NOF165" s="7"/>
      <c r="NOG165" s="7"/>
      <c r="NOH165" s="7"/>
      <c r="NOI165" s="7"/>
      <c r="NOJ165" s="7"/>
      <c r="NOK165" s="7"/>
      <c r="NOL165" s="7"/>
      <c r="NOM165" s="7"/>
      <c r="NON165" s="7"/>
      <c r="NOO165" s="7"/>
      <c r="NOP165" s="7"/>
      <c r="NOQ165" s="7"/>
      <c r="NOR165" s="7"/>
      <c r="NOS165" s="7"/>
      <c r="NOT165" s="7"/>
      <c r="NOU165" s="7"/>
      <c r="NOV165" s="7"/>
      <c r="NOW165" s="7"/>
      <c r="NOX165" s="7"/>
      <c r="NOY165" s="7"/>
      <c r="NOZ165" s="7"/>
      <c r="NPA165" s="7"/>
      <c r="NPB165" s="7"/>
      <c r="NPC165" s="7"/>
      <c r="NPD165" s="7"/>
      <c r="NPE165" s="7"/>
      <c r="NPF165" s="7"/>
      <c r="NPG165" s="7"/>
      <c r="NPH165" s="7"/>
      <c r="NPI165" s="7"/>
      <c r="NPJ165" s="7"/>
      <c r="NPK165" s="7"/>
      <c r="NPL165" s="7"/>
      <c r="NPM165" s="7"/>
      <c r="NPN165" s="7"/>
      <c r="NPO165" s="7"/>
      <c r="NPP165" s="7"/>
      <c r="NPQ165" s="7"/>
      <c r="NPR165" s="7"/>
      <c r="NPS165" s="7"/>
      <c r="NPT165" s="7"/>
      <c r="NPU165" s="7"/>
      <c r="NPV165" s="7"/>
      <c r="NPW165" s="7"/>
      <c r="NPX165" s="7"/>
      <c r="NPY165" s="7"/>
      <c r="NPZ165" s="7"/>
      <c r="NQA165" s="7"/>
      <c r="NQB165" s="7"/>
      <c r="NQC165" s="7"/>
      <c r="NQD165" s="7"/>
      <c r="NQE165" s="7"/>
      <c r="NQF165" s="7"/>
      <c r="NQG165" s="7"/>
      <c r="NQH165" s="7"/>
      <c r="NQI165" s="7"/>
      <c r="NQJ165" s="7"/>
      <c r="NQK165" s="7"/>
      <c r="NQL165" s="7"/>
      <c r="NQM165" s="7"/>
      <c r="NQN165" s="7"/>
      <c r="NQO165" s="7"/>
      <c r="NQP165" s="7"/>
      <c r="NQQ165" s="7"/>
      <c r="NQR165" s="7"/>
      <c r="NQS165" s="7"/>
      <c r="NQT165" s="7"/>
      <c r="NQU165" s="7"/>
      <c r="NQV165" s="7"/>
      <c r="NQW165" s="7"/>
      <c r="NQX165" s="7"/>
      <c r="NQY165" s="7"/>
      <c r="NQZ165" s="7"/>
      <c r="NRA165" s="7"/>
      <c r="NRB165" s="7"/>
      <c r="NRC165" s="7"/>
      <c r="NRD165" s="7"/>
      <c r="NRE165" s="7"/>
      <c r="NRF165" s="7"/>
      <c r="NRG165" s="7"/>
      <c r="NRH165" s="7"/>
      <c r="NRI165" s="7"/>
      <c r="NRJ165" s="7"/>
      <c r="NRK165" s="7"/>
      <c r="NRL165" s="7"/>
      <c r="NRM165" s="7"/>
      <c r="NRN165" s="7"/>
      <c r="NRO165" s="7"/>
      <c r="NRP165" s="7"/>
      <c r="NRQ165" s="7"/>
      <c r="NRR165" s="7"/>
      <c r="NRS165" s="7"/>
      <c r="NRT165" s="7"/>
      <c r="NRU165" s="7"/>
      <c r="NRV165" s="7"/>
      <c r="NRW165" s="7"/>
      <c r="NRX165" s="7"/>
      <c r="NRY165" s="7"/>
      <c r="NRZ165" s="7"/>
      <c r="NSA165" s="7"/>
      <c r="NSB165" s="7"/>
      <c r="NSC165" s="7"/>
      <c r="NSD165" s="7"/>
      <c r="NSE165" s="7"/>
      <c r="NSF165" s="7"/>
      <c r="NSG165" s="7"/>
      <c r="NSH165" s="7"/>
      <c r="NSI165" s="7"/>
      <c r="NSJ165" s="7"/>
      <c r="NSK165" s="7"/>
      <c r="NSL165" s="7"/>
      <c r="NSM165" s="7"/>
      <c r="NSN165" s="7"/>
      <c r="NSO165" s="7"/>
      <c r="NSP165" s="7"/>
      <c r="NSQ165" s="7"/>
      <c r="NSR165" s="7"/>
      <c r="NSS165" s="7"/>
      <c r="NST165" s="7"/>
      <c r="NSU165" s="7"/>
      <c r="NSV165" s="7"/>
      <c r="NSW165" s="7"/>
      <c r="NSX165" s="7"/>
      <c r="NSY165" s="7"/>
      <c r="NSZ165" s="7"/>
      <c r="NTA165" s="7"/>
      <c r="NTB165" s="7"/>
      <c r="NTC165" s="7"/>
      <c r="NTD165" s="7"/>
      <c r="NTE165" s="7"/>
      <c r="NTF165" s="7"/>
      <c r="NTG165" s="7"/>
      <c r="NTH165" s="7"/>
      <c r="NTI165" s="7"/>
      <c r="NTJ165" s="7"/>
      <c r="NTK165" s="7"/>
      <c r="NTL165" s="7"/>
      <c r="NTM165" s="7"/>
      <c r="NTN165" s="7"/>
      <c r="NTO165" s="7"/>
      <c r="NTP165" s="7"/>
      <c r="NTQ165" s="7"/>
      <c r="NTR165" s="7"/>
      <c r="NTS165" s="7"/>
      <c r="NTT165" s="7"/>
      <c r="NTU165" s="7"/>
      <c r="NTV165" s="7"/>
      <c r="NTW165" s="7"/>
      <c r="NTX165" s="7"/>
      <c r="NTY165" s="7"/>
      <c r="NTZ165" s="7"/>
      <c r="NUA165" s="7"/>
      <c r="NUB165" s="7"/>
      <c r="NUC165" s="7"/>
      <c r="NUD165" s="7"/>
      <c r="NUE165" s="7"/>
      <c r="NUF165" s="7"/>
      <c r="NUG165" s="7"/>
      <c r="NUH165" s="7"/>
      <c r="NUI165" s="7"/>
      <c r="NUJ165" s="7"/>
      <c r="NUK165" s="7"/>
      <c r="NUL165" s="7"/>
      <c r="NUM165" s="7"/>
      <c r="NUN165" s="7"/>
      <c r="NUO165" s="7"/>
      <c r="NUP165" s="7"/>
      <c r="NUQ165" s="7"/>
      <c r="NUR165" s="7"/>
      <c r="NUS165" s="7"/>
      <c r="NUT165" s="7"/>
      <c r="NUU165" s="7"/>
      <c r="NUV165" s="7"/>
      <c r="NUW165" s="7"/>
      <c r="NUX165" s="7"/>
      <c r="NUY165" s="7"/>
      <c r="NUZ165" s="7"/>
      <c r="NVA165" s="7"/>
      <c r="NVB165" s="7"/>
      <c r="NVC165" s="7"/>
      <c r="NVD165" s="7"/>
      <c r="NVE165" s="7"/>
      <c r="NVF165" s="7"/>
      <c r="NVG165" s="7"/>
      <c r="NVH165" s="7"/>
      <c r="NVI165" s="7"/>
      <c r="NVJ165" s="7"/>
      <c r="NVK165" s="7"/>
      <c r="NVL165" s="7"/>
      <c r="NVM165" s="7"/>
      <c r="NVN165" s="7"/>
      <c r="NVO165" s="7"/>
      <c r="NVP165" s="7"/>
      <c r="NVQ165" s="7"/>
      <c r="NVR165" s="7"/>
      <c r="NVS165" s="7"/>
      <c r="NVT165" s="7"/>
      <c r="NVU165" s="7"/>
      <c r="NVV165" s="7"/>
      <c r="NVW165" s="7"/>
      <c r="NVX165" s="7"/>
      <c r="NVY165" s="7"/>
      <c r="NVZ165" s="7"/>
      <c r="NWA165" s="7"/>
      <c r="NWB165" s="7"/>
      <c r="NWC165" s="7"/>
      <c r="NWD165" s="7"/>
      <c r="NWE165" s="7"/>
      <c r="NWF165" s="7"/>
      <c r="NWG165" s="7"/>
      <c r="NWH165" s="7"/>
      <c r="NWI165" s="7"/>
      <c r="NWJ165" s="7"/>
      <c r="NWK165" s="7"/>
      <c r="NWL165" s="7"/>
      <c r="NWM165" s="7"/>
      <c r="NWN165" s="7"/>
      <c r="NWO165" s="7"/>
      <c r="NWP165" s="7"/>
      <c r="NWQ165" s="7"/>
      <c r="NWR165" s="7"/>
      <c r="NWS165" s="7"/>
      <c r="NWT165" s="7"/>
      <c r="NWU165" s="7"/>
      <c r="NWV165" s="7"/>
      <c r="NWW165" s="7"/>
      <c r="NWX165" s="7"/>
      <c r="NWY165" s="7"/>
      <c r="NWZ165" s="7"/>
      <c r="NXA165" s="7"/>
      <c r="NXB165" s="7"/>
      <c r="NXC165" s="7"/>
      <c r="NXD165" s="7"/>
      <c r="NXE165" s="7"/>
      <c r="NXF165" s="7"/>
      <c r="NXG165" s="7"/>
      <c r="NXH165" s="7"/>
      <c r="NXI165" s="7"/>
      <c r="NXJ165" s="7"/>
      <c r="NXK165" s="7"/>
      <c r="NXL165" s="7"/>
      <c r="NXM165" s="7"/>
      <c r="NXN165" s="7"/>
      <c r="NXO165" s="7"/>
      <c r="NXP165" s="7"/>
      <c r="NXQ165" s="7"/>
      <c r="NXR165" s="7"/>
      <c r="NXS165" s="7"/>
      <c r="NXT165" s="7"/>
      <c r="NXU165" s="7"/>
      <c r="NXV165" s="7"/>
      <c r="NXW165" s="7"/>
      <c r="NXX165" s="7"/>
      <c r="NXY165" s="7"/>
      <c r="NXZ165" s="7"/>
      <c r="NYA165" s="7"/>
      <c r="NYB165" s="7"/>
      <c r="NYC165" s="7"/>
      <c r="NYD165" s="7"/>
      <c r="NYE165" s="7"/>
      <c r="NYF165" s="7"/>
      <c r="NYG165" s="7"/>
      <c r="NYH165" s="7"/>
      <c r="NYI165" s="7"/>
      <c r="NYJ165" s="7"/>
      <c r="NYK165" s="7"/>
      <c r="NYL165" s="7"/>
      <c r="NYM165" s="7"/>
      <c r="NYN165" s="7"/>
      <c r="NYO165" s="7"/>
      <c r="NYP165" s="7"/>
      <c r="NYQ165" s="7"/>
      <c r="NYR165" s="7"/>
      <c r="NYS165" s="7"/>
      <c r="NYT165" s="7"/>
      <c r="NYU165" s="7"/>
      <c r="NYV165" s="7"/>
      <c r="NYW165" s="7"/>
      <c r="NYX165" s="7"/>
      <c r="NYY165" s="7"/>
      <c r="NYZ165" s="7"/>
      <c r="NZA165" s="7"/>
      <c r="NZB165" s="7"/>
      <c r="NZC165" s="7"/>
      <c r="NZD165" s="7"/>
      <c r="NZE165" s="7"/>
      <c r="NZF165" s="7"/>
      <c r="NZG165" s="7"/>
      <c r="NZH165" s="7"/>
      <c r="NZI165" s="7"/>
      <c r="NZJ165" s="7"/>
      <c r="NZK165" s="7"/>
      <c r="NZL165" s="7"/>
      <c r="NZM165" s="7"/>
      <c r="NZN165" s="7"/>
      <c r="NZO165" s="7"/>
      <c r="NZP165" s="7"/>
      <c r="NZQ165" s="7"/>
      <c r="NZR165" s="7"/>
      <c r="NZS165" s="7"/>
      <c r="NZT165" s="7"/>
      <c r="NZU165" s="7"/>
      <c r="NZV165" s="7"/>
      <c r="NZW165" s="7"/>
      <c r="NZX165" s="7"/>
      <c r="NZY165" s="7"/>
      <c r="NZZ165" s="7"/>
      <c r="OAA165" s="7"/>
      <c r="OAB165" s="7"/>
      <c r="OAC165" s="7"/>
      <c r="OAD165" s="7"/>
      <c r="OAE165" s="7"/>
      <c r="OAF165" s="7"/>
      <c r="OAG165" s="7"/>
      <c r="OAH165" s="7"/>
      <c r="OAI165" s="7"/>
      <c r="OAJ165" s="7"/>
      <c r="OAK165" s="7"/>
      <c r="OAL165" s="7"/>
      <c r="OAM165" s="7"/>
      <c r="OAN165" s="7"/>
      <c r="OAO165" s="7"/>
      <c r="OAP165" s="7"/>
      <c r="OAQ165" s="7"/>
      <c r="OAR165" s="7"/>
      <c r="OAS165" s="7"/>
      <c r="OAT165" s="7"/>
      <c r="OAU165" s="7"/>
      <c r="OAV165" s="7"/>
      <c r="OAW165" s="7"/>
      <c r="OAX165" s="7"/>
      <c r="OAY165" s="7"/>
      <c r="OAZ165" s="7"/>
      <c r="OBA165" s="7"/>
      <c r="OBB165" s="7"/>
      <c r="OBC165" s="7"/>
      <c r="OBD165" s="7"/>
      <c r="OBE165" s="7"/>
      <c r="OBF165" s="7"/>
      <c r="OBG165" s="7"/>
      <c r="OBH165" s="7"/>
      <c r="OBI165" s="7"/>
      <c r="OBJ165" s="7"/>
      <c r="OBK165" s="7"/>
      <c r="OBL165" s="7"/>
      <c r="OBM165" s="7"/>
      <c r="OBN165" s="7"/>
      <c r="OBO165" s="7"/>
      <c r="OBP165" s="7"/>
      <c r="OBQ165" s="7"/>
      <c r="OBR165" s="7"/>
      <c r="OBS165" s="7"/>
      <c r="OBT165" s="7"/>
      <c r="OBU165" s="7"/>
      <c r="OBV165" s="7"/>
      <c r="OBW165" s="7"/>
      <c r="OBX165" s="7"/>
      <c r="OBY165" s="7"/>
      <c r="OBZ165" s="7"/>
      <c r="OCA165" s="7"/>
      <c r="OCB165" s="7"/>
      <c r="OCC165" s="7"/>
      <c r="OCD165" s="7"/>
      <c r="OCE165" s="7"/>
      <c r="OCF165" s="7"/>
      <c r="OCG165" s="7"/>
      <c r="OCH165" s="7"/>
      <c r="OCI165" s="7"/>
      <c r="OCJ165" s="7"/>
      <c r="OCK165" s="7"/>
      <c r="OCL165" s="7"/>
      <c r="OCM165" s="7"/>
      <c r="OCN165" s="7"/>
      <c r="OCO165" s="7"/>
      <c r="OCP165" s="7"/>
      <c r="OCQ165" s="7"/>
      <c r="OCR165" s="7"/>
      <c r="OCS165" s="7"/>
      <c r="OCT165" s="7"/>
      <c r="OCU165" s="7"/>
      <c r="OCV165" s="7"/>
      <c r="OCW165" s="7"/>
      <c r="OCX165" s="7"/>
      <c r="OCY165" s="7"/>
      <c r="OCZ165" s="7"/>
      <c r="ODA165" s="7"/>
      <c r="ODB165" s="7"/>
      <c r="ODC165" s="7"/>
      <c r="ODD165" s="7"/>
      <c r="ODE165" s="7"/>
      <c r="ODF165" s="7"/>
      <c r="ODG165" s="7"/>
      <c r="ODH165" s="7"/>
      <c r="ODI165" s="7"/>
      <c r="ODJ165" s="7"/>
      <c r="ODK165" s="7"/>
      <c r="ODL165" s="7"/>
      <c r="ODM165" s="7"/>
      <c r="ODN165" s="7"/>
      <c r="ODO165" s="7"/>
      <c r="ODP165" s="7"/>
      <c r="ODQ165" s="7"/>
      <c r="ODR165" s="7"/>
      <c r="ODS165" s="7"/>
      <c r="ODT165" s="7"/>
      <c r="ODU165" s="7"/>
      <c r="ODV165" s="7"/>
      <c r="ODW165" s="7"/>
      <c r="ODX165" s="7"/>
      <c r="ODY165" s="7"/>
      <c r="ODZ165" s="7"/>
      <c r="OEA165" s="7"/>
      <c r="OEB165" s="7"/>
      <c r="OEC165" s="7"/>
      <c r="OED165" s="7"/>
      <c r="OEE165" s="7"/>
      <c r="OEF165" s="7"/>
      <c r="OEG165" s="7"/>
      <c r="OEH165" s="7"/>
      <c r="OEI165" s="7"/>
      <c r="OEJ165" s="7"/>
      <c r="OEK165" s="7"/>
      <c r="OEL165" s="7"/>
      <c r="OEM165" s="7"/>
      <c r="OEN165" s="7"/>
      <c r="OEO165" s="7"/>
      <c r="OEP165" s="7"/>
      <c r="OEQ165" s="7"/>
      <c r="OER165" s="7"/>
      <c r="OES165" s="7"/>
      <c r="OET165" s="7"/>
      <c r="OEU165" s="7"/>
      <c r="OEV165" s="7"/>
      <c r="OEW165" s="7"/>
      <c r="OEX165" s="7"/>
      <c r="OEY165" s="7"/>
      <c r="OEZ165" s="7"/>
      <c r="OFA165" s="7"/>
      <c r="OFB165" s="7"/>
      <c r="OFC165" s="7"/>
      <c r="OFD165" s="7"/>
      <c r="OFE165" s="7"/>
      <c r="OFF165" s="7"/>
      <c r="OFG165" s="7"/>
      <c r="OFH165" s="7"/>
      <c r="OFI165" s="7"/>
      <c r="OFJ165" s="7"/>
      <c r="OFK165" s="7"/>
      <c r="OFL165" s="7"/>
      <c r="OFM165" s="7"/>
      <c r="OFN165" s="7"/>
      <c r="OFO165" s="7"/>
      <c r="OFP165" s="7"/>
      <c r="OFQ165" s="7"/>
      <c r="OFR165" s="7"/>
      <c r="OFS165" s="7"/>
      <c r="OFT165" s="7"/>
      <c r="OFU165" s="7"/>
      <c r="OFV165" s="7"/>
      <c r="OFW165" s="7"/>
      <c r="OFX165" s="7"/>
      <c r="OFY165" s="7"/>
      <c r="OFZ165" s="7"/>
      <c r="OGA165" s="7"/>
      <c r="OGB165" s="7"/>
      <c r="OGC165" s="7"/>
      <c r="OGD165" s="7"/>
      <c r="OGE165" s="7"/>
      <c r="OGF165" s="7"/>
      <c r="OGG165" s="7"/>
      <c r="OGH165" s="7"/>
      <c r="OGI165" s="7"/>
      <c r="OGJ165" s="7"/>
      <c r="OGK165" s="7"/>
      <c r="OGL165" s="7"/>
      <c r="OGM165" s="7"/>
      <c r="OGN165" s="7"/>
      <c r="OGO165" s="7"/>
      <c r="OGP165" s="7"/>
      <c r="OGQ165" s="7"/>
      <c r="OGR165" s="7"/>
      <c r="OGS165" s="7"/>
      <c r="OGT165" s="7"/>
      <c r="OGU165" s="7"/>
      <c r="OGV165" s="7"/>
      <c r="OGW165" s="7"/>
      <c r="OGX165" s="7"/>
      <c r="OGY165" s="7"/>
      <c r="OGZ165" s="7"/>
      <c r="OHA165" s="7"/>
      <c r="OHB165" s="7"/>
      <c r="OHC165" s="7"/>
      <c r="OHD165" s="7"/>
      <c r="OHE165" s="7"/>
      <c r="OHF165" s="7"/>
      <c r="OHG165" s="7"/>
      <c r="OHH165" s="7"/>
      <c r="OHI165" s="7"/>
      <c r="OHJ165" s="7"/>
      <c r="OHK165" s="7"/>
      <c r="OHL165" s="7"/>
      <c r="OHM165" s="7"/>
      <c r="OHN165" s="7"/>
      <c r="OHO165" s="7"/>
      <c r="OHP165" s="7"/>
      <c r="OHQ165" s="7"/>
      <c r="OHR165" s="7"/>
      <c r="OHS165" s="7"/>
      <c r="OHT165" s="7"/>
      <c r="OHU165" s="7"/>
      <c r="OHV165" s="7"/>
      <c r="OHW165" s="7"/>
      <c r="OHX165" s="7"/>
      <c r="OHY165" s="7"/>
      <c r="OHZ165" s="7"/>
      <c r="OIA165" s="7"/>
      <c r="OIB165" s="7"/>
      <c r="OIC165" s="7"/>
      <c r="OID165" s="7"/>
      <c r="OIE165" s="7"/>
      <c r="OIF165" s="7"/>
      <c r="OIG165" s="7"/>
      <c r="OIH165" s="7"/>
      <c r="OII165" s="7"/>
      <c r="OIJ165" s="7"/>
      <c r="OIK165" s="7"/>
      <c r="OIL165" s="7"/>
      <c r="OIM165" s="7"/>
      <c r="OIN165" s="7"/>
      <c r="OIO165" s="7"/>
      <c r="OIP165" s="7"/>
      <c r="OIQ165" s="7"/>
      <c r="OIR165" s="7"/>
      <c r="OIS165" s="7"/>
      <c r="OIT165" s="7"/>
      <c r="OIU165" s="7"/>
      <c r="OIV165" s="7"/>
      <c r="OIW165" s="7"/>
      <c r="OIX165" s="7"/>
      <c r="OIY165" s="7"/>
      <c r="OIZ165" s="7"/>
      <c r="OJA165" s="7"/>
      <c r="OJB165" s="7"/>
      <c r="OJC165" s="7"/>
      <c r="OJD165" s="7"/>
      <c r="OJE165" s="7"/>
      <c r="OJF165" s="7"/>
      <c r="OJG165" s="7"/>
      <c r="OJH165" s="7"/>
      <c r="OJI165" s="7"/>
      <c r="OJJ165" s="7"/>
      <c r="OJK165" s="7"/>
      <c r="OJL165" s="7"/>
      <c r="OJM165" s="7"/>
      <c r="OJN165" s="7"/>
      <c r="OJO165" s="7"/>
      <c r="OJP165" s="7"/>
      <c r="OJQ165" s="7"/>
      <c r="OJR165" s="7"/>
      <c r="OJS165" s="7"/>
      <c r="OJT165" s="7"/>
      <c r="OJU165" s="7"/>
      <c r="OJV165" s="7"/>
      <c r="OJW165" s="7"/>
      <c r="OJX165" s="7"/>
      <c r="OJY165" s="7"/>
      <c r="OJZ165" s="7"/>
      <c r="OKA165" s="7"/>
      <c r="OKB165" s="7"/>
      <c r="OKC165" s="7"/>
      <c r="OKD165" s="7"/>
      <c r="OKE165" s="7"/>
      <c r="OKF165" s="7"/>
      <c r="OKG165" s="7"/>
      <c r="OKH165" s="7"/>
      <c r="OKI165" s="7"/>
      <c r="OKJ165" s="7"/>
      <c r="OKK165" s="7"/>
      <c r="OKL165" s="7"/>
      <c r="OKM165" s="7"/>
      <c r="OKN165" s="7"/>
      <c r="OKO165" s="7"/>
      <c r="OKP165" s="7"/>
      <c r="OKQ165" s="7"/>
      <c r="OKR165" s="7"/>
      <c r="OKS165" s="7"/>
      <c r="OKT165" s="7"/>
      <c r="OKU165" s="7"/>
      <c r="OKV165" s="7"/>
      <c r="OKW165" s="7"/>
      <c r="OKX165" s="7"/>
      <c r="OKY165" s="7"/>
      <c r="OKZ165" s="7"/>
      <c r="OLA165" s="7"/>
      <c r="OLB165" s="7"/>
      <c r="OLC165" s="7"/>
      <c r="OLD165" s="7"/>
      <c r="OLE165" s="7"/>
      <c r="OLF165" s="7"/>
      <c r="OLG165" s="7"/>
      <c r="OLH165" s="7"/>
      <c r="OLI165" s="7"/>
      <c r="OLJ165" s="7"/>
      <c r="OLK165" s="7"/>
      <c r="OLL165" s="7"/>
      <c r="OLM165" s="7"/>
      <c r="OLN165" s="7"/>
      <c r="OLO165" s="7"/>
      <c r="OLP165" s="7"/>
      <c r="OLQ165" s="7"/>
      <c r="OLR165" s="7"/>
      <c r="OLS165" s="7"/>
      <c r="OLT165" s="7"/>
      <c r="OLU165" s="7"/>
      <c r="OLV165" s="7"/>
      <c r="OLW165" s="7"/>
      <c r="OLX165" s="7"/>
      <c r="OLY165" s="7"/>
      <c r="OLZ165" s="7"/>
      <c r="OMA165" s="7"/>
      <c r="OMB165" s="7"/>
      <c r="OMC165" s="7"/>
      <c r="OMD165" s="7"/>
      <c r="OME165" s="7"/>
      <c r="OMF165" s="7"/>
      <c r="OMG165" s="7"/>
      <c r="OMH165" s="7"/>
      <c r="OMI165" s="7"/>
      <c r="OMJ165" s="7"/>
      <c r="OMK165" s="7"/>
      <c r="OML165" s="7"/>
      <c r="OMM165" s="7"/>
      <c r="OMN165" s="7"/>
      <c r="OMO165" s="7"/>
      <c r="OMP165" s="7"/>
      <c r="OMQ165" s="7"/>
      <c r="OMR165" s="7"/>
      <c r="OMS165" s="7"/>
      <c r="OMT165" s="7"/>
      <c r="OMU165" s="7"/>
      <c r="OMV165" s="7"/>
      <c r="OMW165" s="7"/>
      <c r="OMX165" s="7"/>
      <c r="OMY165" s="7"/>
      <c r="OMZ165" s="7"/>
      <c r="ONA165" s="7"/>
      <c r="ONB165" s="7"/>
      <c r="ONC165" s="7"/>
      <c r="OND165" s="7"/>
      <c r="ONE165" s="7"/>
      <c r="ONF165" s="7"/>
      <c r="ONG165" s="7"/>
      <c r="ONH165" s="7"/>
      <c r="ONI165" s="7"/>
      <c r="ONJ165" s="7"/>
      <c r="ONK165" s="7"/>
      <c r="ONL165" s="7"/>
      <c r="ONM165" s="7"/>
      <c r="ONN165" s="7"/>
      <c r="ONO165" s="7"/>
      <c r="ONP165" s="7"/>
      <c r="ONQ165" s="7"/>
      <c r="ONR165" s="7"/>
      <c r="ONS165" s="7"/>
      <c r="ONT165" s="7"/>
      <c r="ONU165" s="7"/>
      <c r="ONV165" s="7"/>
      <c r="ONW165" s="7"/>
      <c r="ONX165" s="7"/>
      <c r="ONY165" s="7"/>
      <c r="ONZ165" s="7"/>
      <c r="OOA165" s="7"/>
      <c r="OOB165" s="7"/>
      <c r="OOC165" s="7"/>
      <c r="OOD165" s="7"/>
      <c r="OOE165" s="7"/>
      <c r="OOF165" s="7"/>
      <c r="OOG165" s="7"/>
      <c r="OOH165" s="7"/>
      <c r="OOI165" s="7"/>
      <c r="OOJ165" s="7"/>
      <c r="OOK165" s="7"/>
      <c r="OOL165" s="7"/>
      <c r="OOM165" s="7"/>
      <c r="OON165" s="7"/>
      <c r="OOO165" s="7"/>
      <c r="OOP165" s="7"/>
      <c r="OOQ165" s="7"/>
      <c r="OOR165" s="7"/>
      <c r="OOS165" s="7"/>
      <c r="OOT165" s="7"/>
      <c r="OOU165" s="7"/>
      <c r="OOV165" s="7"/>
      <c r="OOW165" s="7"/>
      <c r="OOX165" s="7"/>
      <c r="OOY165" s="7"/>
      <c r="OOZ165" s="7"/>
      <c r="OPA165" s="7"/>
      <c r="OPB165" s="7"/>
      <c r="OPC165" s="7"/>
      <c r="OPD165" s="7"/>
      <c r="OPE165" s="7"/>
      <c r="OPF165" s="7"/>
      <c r="OPG165" s="7"/>
      <c r="OPH165" s="7"/>
      <c r="OPI165" s="7"/>
      <c r="OPJ165" s="7"/>
      <c r="OPK165" s="7"/>
      <c r="OPL165" s="7"/>
      <c r="OPM165" s="7"/>
      <c r="OPN165" s="7"/>
      <c r="OPO165" s="7"/>
      <c r="OPP165" s="7"/>
      <c r="OPQ165" s="7"/>
      <c r="OPR165" s="7"/>
      <c r="OPS165" s="7"/>
      <c r="OPT165" s="7"/>
      <c r="OPU165" s="7"/>
      <c r="OPV165" s="7"/>
      <c r="OPW165" s="7"/>
      <c r="OPX165" s="7"/>
      <c r="OPY165" s="7"/>
      <c r="OPZ165" s="7"/>
      <c r="OQA165" s="7"/>
      <c r="OQB165" s="7"/>
      <c r="OQC165" s="7"/>
      <c r="OQD165" s="7"/>
      <c r="OQE165" s="7"/>
      <c r="OQF165" s="7"/>
      <c r="OQG165" s="7"/>
      <c r="OQH165" s="7"/>
      <c r="OQI165" s="7"/>
      <c r="OQJ165" s="7"/>
      <c r="OQK165" s="7"/>
      <c r="OQL165" s="7"/>
      <c r="OQM165" s="7"/>
      <c r="OQN165" s="7"/>
      <c r="OQO165" s="7"/>
      <c r="OQP165" s="7"/>
      <c r="OQQ165" s="7"/>
      <c r="OQR165" s="7"/>
      <c r="OQS165" s="7"/>
      <c r="OQT165" s="7"/>
      <c r="OQU165" s="7"/>
      <c r="OQV165" s="7"/>
      <c r="OQW165" s="7"/>
      <c r="OQX165" s="7"/>
      <c r="OQY165" s="7"/>
      <c r="OQZ165" s="7"/>
      <c r="ORA165" s="7"/>
      <c r="ORB165" s="7"/>
      <c r="ORC165" s="7"/>
      <c r="ORD165" s="7"/>
      <c r="ORE165" s="7"/>
      <c r="ORF165" s="7"/>
      <c r="ORG165" s="7"/>
      <c r="ORH165" s="7"/>
      <c r="ORI165" s="7"/>
      <c r="ORJ165" s="7"/>
      <c r="ORK165" s="7"/>
      <c r="ORL165" s="7"/>
      <c r="ORM165" s="7"/>
      <c r="ORN165" s="7"/>
      <c r="ORO165" s="7"/>
      <c r="ORP165" s="7"/>
      <c r="ORQ165" s="7"/>
      <c r="ORR165" s="7"/>
      <c r="ORS165" s="7"/>
      <c r="ORT165" s="7"/>
      <c r="ORU165" s="7"/>
      <c r="ORV165" s="7"/>
      <c r="ORW165" s="7"/>
      <c r="ORX165" s="7"/>
      <c r="ORY165" s="7"/>
      <c r="ORZ165" s="7"/>
      <c r="OSA165" s="7"/>
      <c r="OSB165" s="7"/>
      <c r="OSC165" s="7"/>
      <c r="OSD165" s="7"/>
      <c r="OSE165" s="7"/>
      <c r="OSF165" s="7"/>
      <c r="OSG165" s="7"/>
      <c r="OSH165" s="7"/>
      <c r="OSI165" s="7"/>
      <c r="OSJ165" s="7"/>
      <c r="OSK165" s="7"/>
      <c r="OSL165" s="7"/>
      <c r="OSM165" s="7"/>
      <c r="OSN165" s="7"/>
      <c r="OSO165" s="7"/>
      <c r="OSP165" s="7"/>
      <c r="OSQ165" s="7"/>
      <c r="OSR165" s="7"/>
      <c r="OSS165" s="7"/>
      <c r="OST165" s="7"/>
      <c r="OSU165" s="7"/>
      <c r="OSV165" s="7"/>
      <c r="OSW165" s="7"/>
      <c r="OSX165" s="7"/>
      <c r="OSY165" s="7"/>
      <c r="OSZ165" s="7"/>
      <c r="OTA165" s="7"/>
      <c r="OTB165" s="7"/>
      <c r="OTC165" s="7"/>
      <c r="OTD165" s="7"/>
      <c r="OTE165" s="7"/>
      <c r="OTF165" s="7"/>
      <c r="OTG165" s="7"/>
      <c r="OTH165" s="7"/>
      <c r="OTI165" s="7"/>
      <c r="OTJ165" s="7"/>
      <c r="OTK165" s="7"/>
      <c r="OTL165" s="7"/>
      <c r="OTM165" s="7"/>
      <c r="OTN165" s="7"/>
      <c r="OTO165" s="7"/>
      <c r="OTP165" s="7"/>
      <c r="OTQ165" s="7"/>
      <c r="OTR165" s="7"/>
      <c r="OTS165" s="7"/>
      <c r="OTT165" s="7"/>
      <c r="OTU165" s="7"/>
      <c r="OTV165" s="7"/>
      <c r="OTW165" s="7"/>
      <c r="OTX165" s="7"/>
      <c r="OTY165" s="7"/>
      <c r="OTZ165" s="7"/>
      <c r="OUA165" s="7"/>
      <c r="OUB165" s="7"/>
      <c r="OUC165" s="7"/>
      <c r="OUD165" s="7"/>
      <c r="OUE165" s="7"/>
      <c r="OUF165" s="7"/>
      <c r="OUG165" s="7"/>
      <c r="OUH165" s="7"/>
      <c r="OUI165" s="7"/>
      <c r="OUJ165" s="7"/>
      <c r="OUK165" s="7"/>
      <c r="OUL165" s="7"/>
      <c r="OUM165" s="7"/>
      <c r="OUN165" s="7"/>
      <c r="OUO165" s="7"/>
      <c r="OUP165" s="7"/>
      <c r="OUQ165" s="7"/>
      <c r="OUR165" s="7"/>
      <c r="OUS165" s="7"/>
      <c r="OUT165" s="7"/>
      <c r="OUU165" s="7"/>
      <c r="OUV165" s="7"/>
      <c r="OUW165" s="7"/>
      <c r="OUX165" s="7"/>
      <c r="OUY165" s="7"/>
      <c r="OUZ165" s="7"/>
      <c r="OVA165" s="7"/>
      <c r="OVB165" s="7"/>
      <c r="OVC165" s="7"/>
      <c r="OVD165" s="7"/>
      <c r="OVE165" s="7"/>
      <c r="OVF165" s="7"/>
      <c r="OVG165" s="7"/>
      <c r="OVH165" s="7"/>
      <c r="OVI165" s="7"/>
      <c r="OVJ165" s="7"/>
      <c r="OVK165" s="7"/>
      <c r="OVL165" s="7"/>
      <c r="OVM165" s="7"/>
      <c r="OVN165" s="7"/>
      <c r="OVO165" s="7"/>
      <c r="OVP165" s="7"/>
      <c r="OVQ165" s="7"/>
      <c r="OVR165" s="7"/>
      <c r="OVS165" s="7"/>
      <c r="OVT165" s="7"/>
      <c r="OVU165" s="7"/>
      <c r="OVV165" s="7"/>
      <c r="OVW165" s="7"/>
      <c r="OVX165" s="7"/>
      <c r="OVY165" s="7"/>
      <c r="OVZ165" s="7"/>
      <c r="OWA165" s="7"/>
      <c r="OWB165" s="7"/>
      <c r="OWC165" s="7"/>
      <c r="OWD165" s="7"/>
      <c r="OWE165" s="7"/>
      <c r="OWF165" s="7"/>
      <c r="OWG165" s="7"/>
      <c r="OWH165" s="7"/>
      <c r="OWI165" s="7"/>
      <c r="OWJ165" s="7"/>
      <c r="OWK165" s="7"/>
      <c r="OWL165" s="7"/>
      <c r="OWM165" s="7"/>
      <c r="OWN165" s="7"/>
      <c r="OWO165" s="7"/>
      <c r="OWP165" s="7"/>
      <c r="OWQ165" s="7"/>
      <c r="OWR165" s="7"/>
      <c r="OWS165" s="7"/>
      <c r="OWT165" s="7"/>
      <c r="OWU165" s="7"/>
      <c r="OWV165" s="7"/>
      <c r="OWW165" s="7"/>
      <c r="OWX165" s="7"/>
      <c r="OWY165" s="7"/>
      <c r="OWZ165" s="7"/>
      <c r="OXA165" s="7"/>
      <c r="OXB165" s="7"/>
      <c r="OXC165" s="7"/>
      <c r="OXD165" s="7"/>
      <c r="OXE165" s="7"/>
      <c r="OXF165" s="7"/>
      <c r="OXG165" s="7"/>
      <c r="OXH165" s="7"/>
      <c r="OXI165" s="7"/>
      <c r="OXJ165" s="7"/>
      <c r="OXK165" s="7"/>
      <c r="OXL165" s="7"/>
      <c r="OXM165" s="7"/>
      <c r="OXN165" s="7"/>
      <c r="OXO165" s="7"/>
      <c r="OXP165" s="7"/>
      <c r="OXQ165" s="7"/>
      <c r="OXR165" s="7"/>
      <c r="OXS165" s="7"/>
      <c r="OXT165" s="7"/>
      <c r="OXU165" s="7"/>
      <c r="OXV165" s="7"/>
      <c r="OXW165" s="7"/>
      <c r="OXX165" s="7"/>
      <c r="OXY165" s="7"/>
      <c r="OXZ165" s="7"/>
      <c r="OYA165" s="7"/>
      <c r="OYB165" s="7"/>
      <c r="OYC165" s="7"/>
      <c r="OYD165" s="7"/>
      <c r="OYE165" s="7"/>
      <c r="OYF165" s="7"/>
      <c r="OYG165" s="7"/>
      <c r="OYH165" s="7"/>
      <c r="OYI165" s="7"/>
      <c r="OYJ165" s="7"/>
      <c r="OYK165" s="7"/>
      <c r="OYL165" s="7"/>
      <c r="OYM165" s="7"/>
      <c r="OYN165" s="7"/>
      <c r="OYO165" s="7"/>
      <c r="OYP165" s="7"/>
      <c r="OYQ165" s="7"/>
      <c r="OYR165" s="7"/>
      <c r="OYS165" s="7"/>
      <c r="OYT165" s="7"/>
      <c r="OYU165" s="7"/>
      <c r="OYV165" s="7"/>
      <c r="OYW165" s="7"/>
      <c r="OYX165" s="7"/>
      <c r="OYY165" s="7"/>
      <c r="OYZ165" s="7"/>
      <c r="OZA165" s="7"/>
      <c r="OZB165" s="7"/>
      <c r="OZC165" s="7"/>
      <c r="OZD165" s="7"/>
      <c r="OZE165" s="7"/>
      <c r="OZF165" s="7"/>
      <c r="OZG165" s="7"/>
      <c r="OZH165" s="7"/>
      <c r="OZI165" s="7"/>
      <c r="OZJ165" s="7"/>
      <c r="OZK165" s="7"/>
      <c r="OZL165" s="7"/>
      <c r="OZM165" s="7"/>
      <c r="OZN165" s="7"/>
      <c r="OZO165" s="7"/>
      <c r="OZP165" s="7"/>
      <c r="OZQ165" s="7"/>
      <c r="OZR165" s="7"/>
      <c r="OZS165" s="7"/>
      <c r="OZT165" s="7"/>
      <c r="OZU165" s="7"/>
      <c r="OZV165" s="7"/>
      <c r="OZW165" s="7"/>
      <c r="OZX165" s="7"/>
      <c r="OZY165" s="7"/>
      <c r="OZZ165" s="7"/>
      <c r="PAA165" s="7"/>
      <c r="PAB165" s="7"/>
      <c r="PAC165" s="7"/>
      <c r="PAD165" s="7"/>
      <c r="PAE165" s="7"/>
      <c r="PAF165" s="7"/>
      <c r="PAG165" s="7"/>
      <c r="PAH165" s="7"/>
      <c r="PAI165" s="7"/>
      <c r="PAJ165" s="7"/>
      <c r="PAK165" s="7"/>
      <c r="PAL165" s="7"/>
      <c r="PAM165" s="7"/>
      <c r="PAN165" s="7"/>
      <c r="PAO165" s="7"/>
      <c r="PAP165" s="7"/>
      <c r="PAQ165" s="7"/>
      <c r="PAR165" s="7"/>
      <c r="PAS165" s="7"/>
      <c r="PAT165" s="7"/>
      <c r="PAU165" s="7"/>
      <c r="PAV165" s="7"/>
      <c r="PAW165" s="7"/>
      <c r="PAX165" s="7"/>
      <c r="PAY165" s="7"/>
      <c r="PAZ165" s="7"/>
      <c r="PBA165" s="7"/>
      <c r="PBB165" s="7"/>
      <c r="PBC165" s="7"/>
      <c r="PBD165" s="7"/>
      <c r="PBE165" s="7"/>
      <c r="PBF165" s="7"/>
      <c r="PBG165" s="7"/>
      <c r="PBH165" s="7"/>
      <c r="PBI165" s="7"/>
      <c r="PBJ165" s="7"/>
      <c r="PBK165" s="7"/>
      <c r="PBL165" s="7"/>
      <c r="PBM165" s="7"/>
      <c r="PBN165" s="7"/>
      <c r="PBO165" s="7"/>
      <c r="PBP165" s="7"/>
      <c r="PBQ165" s="7"/>
      <c r="PBR165" s="7"/>
      <c r="PBS165" s="7"/>
      <c r="PBT165" s="7"/>
      <c r="PBU165" s="7"/>
      <c r="PBV165" s="7"/>
      <c r="PBW165" s="7"/>
      <c r="PBX165" s="7"/>
      <c r="PBY165" s="7"/>
      <c r="PBZ165" s="7"/>
      <c r="PCA165" s="7"/>
      <c r="PCB165" s="7"/>
      <c r="PCC165" s="7"/>
      <c r="PCD165" s="7"/>
      <c r="PCE165" s="7"/>
      <c r="PCF165" s="7"/>
      <c r="PCG165" s="7"/>
      <c r="PCH165" s="7"/>
      <c r="PCI165" s="7"/>
      <c r="PCJ165" s="7"/>
      <c r="PCK165" s="7"/>
      <c r="PCL165" s="7"/>
      <c r="PCM165" s="7"/>
      <c r="PCN165" s="7"/>
      <c r="PCO165" s="7"/>
      <c r="PCP165" s="7"/>
      <c r="PCQ165" s="7"/>
      <c r="PCR165" s="7"/>
      <c r="PCS165" s="7"/>
      <c r="PCT165" s="7"/>
      <c r="PCU165" s="7"/>
      <c r="PCV165" s="7"/>
      <c r="PCW165" s="7"/>
      <c r="PCX165" s="7"/>
      <c r="PCY165" s="7"/>
      <c r="PCZ165" s="7"/>
      <c r="PDA165" s="7"/>
      <c r="PDB165" s="7"/>
      <c r="PDC165" s="7"/>
      <c r="PDD165" s="7"/>
      <c r="PDE165" s="7"/>
      <c r="PDF165" s="7"/>
      <c r="PDG165" s="7"/>
      <c r="PDH165" s="7"/>
      <c r="PDI165" s="7"/>
      <c r="PDJ165" s="7"/>
      <c r="PDK165" s="7"/>
      <c r="PDL165" s="7"/>
      <c r="PDM165" s="7"/>
      <c r="PDN165" s="7"/>
      <c r="PDO165" s="7"/>
      <c r="PDP165" s="7"/>
      <c r="PDQ165" s="7"/>
      <c r="PDR165" s="7"/>
      <c r="PDS165" s="7"/>
      <c r="PDT165" s="7"/>
      <c r="PDU165" s="7"/>
      <c r="PDV165" s="7"/>
      <c r="PDW165" s="7"/>
      <c r="PDX165" s="7"/>
      <c r="PDY165" s="7"/>
      <c r="PDZ165" s="7"/>
      <c r="PEA165" s="7"/>
      <c r="PEB165" s="7"/>
      <c r="PEC165" s="7"/>
      <c r="PED165" s="7"/>
      <c r="PEE165" s="7"/>
      <c r="PEF165" s="7"/>
      <c r="PEG165" s="7"/>
      <c r="PEH165" s="7"/>
      <c r="PEI165" s="7"/>
      <c r="PEJ165" s="7"/>
      <c r="PEK165" s="7"/>
      <c r="PEL165" s="7"/>
      <c r="PEM165" s="7"/>
      <c r="PEN165" s="7"/>
      <c r="PEO165" s="7"/>
      <c r="PEP165" s="7"/>
      <c r="PEQ165" s="7"/>
      <c r="PER165" s="7"/>
      <c r="PES165" s="7"/>
      <c r="PET165" s="7"/>
      <c r="PEU165" s="7"/>
      <c r="PEV165" s="7"/>
      <c r="PEW165" s="7"/>
      <c r="PEX165" s="7"/>
      <c r="PEY165" s="7"/>
      <c r="PEZ165" s="7"/>
      <c r="PFA165" s="7"/>
      <c r="PFB165" s="7"/>
      <c r="PFC165" s="7"/>
      <c r="PFD165" s="7"/>
      <c r="PFE165" s="7"/>
      <c r="PFF165" s="7"/>
      <c r="PFG165" s="7"/>
      <c r="PFH165" s="7"/>
      <c r="PFI165" s="7"/>
      <c r="PFJ165" s="7"/>
      <c r="PFK165" s="7"/>
      <c r="PFL165" s="7"/>
      <c r="PFM165" s="7"/>
      <c r="PFN165" s="7"/>
      <c r="PFO165" s="7"/>
      <c r="PFP165" s="7"/>
      <c r="PFQ165" s="7"/>
      <c r="PFR165" s="7"/>
      <c r="PFS165" s="7"/>
      <c r="PFT165" s="7"/>
      <c r="PFU165" s="7"/>
      <c r="PFV165" s="7"/>
      <c r="PFW165" s="7"/>
      <c r="PFX165" s="7"/>
      <c r="PFY165" s="7"/>
      <c r="PFZ165" s="7"/>
      <c r="PGA165" s="7"/>
      <c r="PGB165" s="7"/>
      <c r="PGC165" s="7"/>
      <c r="PGD165" s="7"/>
      <c r="PGE165" s="7"/>
      <c r="PGF165" s="7"/>
      <c r="PGG165" s="7"/>
      <c r="PGH165" s="7"/>
      <c r="PGI165" s="7"/>
      <c r="PGJ165" s="7"/>
      <c r="PGK165" s="7"/>
      <c r="PGL165" s="7"/>
      <c r="PGM165" s="7"/>
      <c r="PGN165" s="7"/>
      <c r="PGO165" s="7"/>
      <c r="PGP165" s="7"/>
      <c r="PGQ165" s="7"/>
      <c r="PGR165" s="7"/>
      <c r="PGS165" s="7"/>
      <c r="PGT165" s="7"/>
      <c r="PGU165" s="7"/>
      <c r="PGV165" s="7"/>
      <c r="PGW165" s="7"/>
      <c r="PGX165" s="7"/>
      <c r="PGY165" s="7"/>
      <c r="PGZ165" s="7"/>
      <c r="PHA165" s="7"/>
      <c r="PHB165" s="7"/>
      <c r="PHC165" s="7"/>
      <c r="PHD165" s="7"/>
      <c r="PHE165" s="7"/>
      <c r="PHF165" s="7"/>
      <c r="PHG165" s="7"/>
      <c r="PHH165" s="7"/>
      <c r="PHI165" s="7"/>
      <c r="PHJ165" s="7"/>
      <c r="PHK165" s="7"/>
      <c r="PHL165" s="7"/>
      <c r="PHM165" s="7"/>
      <c r="PHN165" s="7"/>
      <c r="PHO165" s="7"/>
      <c r="PHP165" s="7"/>
      <c r="PHQ165" s="7"/>
      <c r="PHR165" s="7"/>
      <c r="PHS165" s="7"/>
      <c r="PHT165" s="7"/>
      <c r="PHU165" s="7"/>
      <c r="PHV165" s="7"/>
      <c r="PHW165" s="7"/>
      <c r="PHX165" s="7"/>
      <c r="PHY165" s="7"/>
      <c r="PHZ165" s="7"/>
      <c r="PIA165" s="7"/>
      <c r="PIB165" s="7"/>
      <c r="PIC165" s="7"/>
      <c r="PID165" s="7"/>
      <c r="PIE165" s="7"/>
      <c r="PIF165" s="7"/>
      <c r="PIG165" s="7"/>
      <c r="PIH165" s="7"/>
      <c r="PII165" s="7"/>
      <c r="PIJ165" s="7"/>
      <c r="PIK165" s="7"/>
      <c r="PIL165" s="7"/>
      <c r="PIM165" s="7"/>
      <c r="PIN165" s="7"/>
      <c r="PIO165" s="7"/>
      <c r="PIP165" s="7"/>
      <c r="PIQ165" s="7"/>
      <c r="PIR165" s="7"/>
      <c r="PIS165" s="7"/>
      <c r="PIT165" s="7"/>
      <c r="PIU165" s="7"/>
      <c r="PIV165" s="7"/>
      <c r="PIW165" s="7"/>
      <c r="PIX165" s="7"/>
      <c r="PIY165" s="7"/>
      <c r="PIZ165" s="7"/>
      <c r="PJA165" s="7"/>
      <c r="PJB165" s="7"/>
      <c r="PJC165" s="7"/>
      <c r="PJD165" s="7"/>
      <c r="PJE165" s="7"/>
      <c r="PJF165" s="7"/>
      <c r="PJG165" s="7"/>
      <c r="PJH165" s="7"/>
      <c r="PJI165" s="7"/>
      <c r="PJJ165" s="7"/>
      <c r="PJK165" s="7"/>
      <c r="PJL165" s="7"/>
      <c r="PJM165" s="7"/>
      <c r="PJN165" s="7"/>
      <c r="PJO165" s="7"/>
      <c r="PJP165" s="7"/>
      <c r="PJQ165" s="7"/>
      <c r="PJR165" s="7"/>
      <c r="PJS165" s="7"/>
      <c r="PJT165" s="7"/>
      <c r="PJU165" s="7"/>
      <c r="PJV165" s="7"/>
      <c r="PJW165" s="7"/>
      <c r="PJX165" s="7"/>
      <c r="PJY165" s="7"/>
      <c r="PJZ165" s="7"/>
      <c r="PKA165" s="7"/>
      <c r="PKB165" s="7"/>
      <c r="PKC165" s="7"/>
      <c r="PKD165" s="7"/>
      <c r="PKE165" s="7"/>
      <c r="PKF165" s="7"/>
      <c r="PKG165" s="7"/>
      <c r="PKH165" s="7"/>
      <c r="PKI165" s="7"/>
      <c r="PKJ165" s="7"/>
      <c r="PKK165" s="7"/>
      <c r="PKL165" s="7"/>
      <c r="PKM165" s="7"/>
      <c r="PKN165" s="7"/>
      <c r="PKO165" s="7"/>
      <c r="PKP165" s="7"/>
      <c r="PKQ165" s="7"/>
      <c r="PKR165" s="7"/>
      <c r="PKS165" s="7"/>
      <c r="PKT165" s="7"/>
      <c r="PKU165" s="7"/>
      <c r="PKV165" s="7"/>
      <c r="PKW165" s="7"/>
      <c r="PKX165" s="7"/>
      <c r="PKY165" s="7"/>
      <c r="PKZ165" s="7"/>
      <c r="PLA165" s="7"/>
      <c r="PLB165" s="7"/>
      <c r="PLC165" s="7"/>
      <c r="PLD165" s="7"/>
      <c r="PLE165" s="7"/>
      <c r="PLF165" s="7"/>
      <c r="PLG165" s="7"/>
      <c r="PLH165" s="7"/>
      <c r="PLI165" s="7"/>
      <c r="PLJ165" s="7"/>
      <c r="PLK165" s="7"/>
      <c r="PLL165" s="7"/>
      <c r="PLM165" s="7"/>
      <c r="PLN165" s="7"/>
      <c r="PLO165" s="7"/>
      <c r="PLP165" s="7"/>
      <c r="PLQ165" s="7"/>
      <c r="PLR165" s="7"/>
      <c r="PLS165" s="7"/>
      <c r="PLT165" s="7"/>
      <c r="PLU165" s="7"/>
      <c r="PLV165" s="7"/>
      <c r="PLW165" s="7"/>
      <c r="PLX165" s="7"/>
      <c r="PLY165" s="7"/>
      <c r="PLZ165" s="7"/>
      <c r="PMA165" s="7"/>
      <c r="PMB165" s="7"/>
      <c r="PMC165" s="7"/>
      <c r="PMD165" s="7"/>
      <c r="PME165" s="7"/>
      <c r="PMF165" s="7"/>
      <c r="PMG165" s="7"/>
      <c r="PMH165" s="7"/>
      <c r="PMI165" s="7"/>
      <c r="PMJ165" s="7"/>
      <c r="PMK165" s="7"/>
      <c r="PML165" s="7"/>
      <c r="PMM165" s="7"/>
      <c r="PMN165" s="7"/>
      <c r="PMO165" s="7"/>
      <c r="PMP165" s="7"/>
      <c r="PMQ165" s="7"/>
      <c r="PMR165" s="7"/>
      <c r="PMS165" s="7"/>
      <c r="PMT165" s="7"/>
      <c r="PMU165" s="7"/>
      <c r="PMV165" s="7"/>
      <c r="PMW165" s="7"/>
      <c r="PMX165" s="7"/>
      <c r="PMY165" s="7"/>
      <c r="PMZ165" s="7"/>
      <c r="PNA165" s="7"/>
      <c r="PNB165" s="7"/>
      <c r="PNC165" s="7"/>
      <c r="PND165" s="7"/>
      <c r="PNE165" s="7"/>
      <c r="PNF165" s="7"/>
      <c r="PNG165" s="7"/>
      <c r="PNH165" s="7"/>
      <c r="PNI165" s="7"/>
      <c r="PNJ165" s="7"/>
      <c r="PNK165" s="7"/>
      <c r="PNL165" s="7"/>
      <c r="PNM165" s="7"/>
      <c r="PNN165" s="7"/>
      <c r="PNO165" s="7"/>
      <c r="PNP165" s="7"/>
      <c r="PNQ165" s="7"/>
      <c r="PNR165" s="7"/>
      <c r="PNS165" s="7"/>
      <c r="PNT165" s="7"/>
      <c r="PNU165" s="7"/>
      <c r="PNV165" s="7"/>
      <c r="PNW165" s="7"/>
      <c r="PNX165" s="7"/>
      <c r="PNY165" s="7"/>
      <c r="PNZ165" s="7"/>
      <c r="POA165" s="7"/>
      <c r="POB165" s="7"/>
      <c r="POC165" s="7"/>
      <c r="POD165" s="7"/>
      <c r="POE165" s="7"/>
      <c r="POF165" s="7"/>
      <c r="POG165" s="7"/>
      <c r="POH165" s="7"/>
      <c r="POI165" s="7"/>
      <c r="POJ165" s="7"/>
      <c r="POK165" s="7"/>
      <c r="POL165" s="7"/>
      <c r="POM165" s="7"/>
      <c r="PON165" s="7"/>
      <c r="POO165" s="7"/>
      <c r="POP165" s="7"/>
      <c r="POQ165" s="7"/>
      <c r="POR165" s="7"/>
      <c r="POS165" s="7"/>
      <c r="POT165" s="7"/>
      <c r="POU165" s="7"/>
      <c r="POV165" s="7"/>
      <c r="POW165" s="7"/>
      <c r="POX165" s="7"/>
      <c r="POY165" s="7"/>
      <c r="POZ165" s="7"/>
      <c r="PPA165" s="7"/>
      <c r="PPB165" s="7"/>
      <c r="PPC165" s="7"/>
      <c r="PPD165" s="7"/>
      <c r="PPE165" s="7"/>
      <c r="PPF165" s="7"/>
      <c r="PPG165" s="7"/>
      <c r="PPH165" s="7"/>
      <c r="PPI165" s="7"/>
      <c r="PPJ165" s="7"/>
      <c r="PPK165" s="7"/>
      <c r="PPL165" s="7"/>
      <c r="PPM165" s="7"/>
      <c r="PPN165" s="7"/>
      <c r="PPO165" s="7"/>
      <c r="PPP165" s="7"/>
      <c r="PPQ165" s="7"/>
      <c r="PPR165" s="7"/>
      <c r="PPS165" s="7"/>
      <c r="PPT165" s="7"/>
      <c r="PPU165" s="7"/>
      <c r="PPV165" s="7"/>
      <c r="PPW165" s="7"/>
      <c r="PPX165" s="7"/>
      <c r="PPY165" s="7"/>
      <c r="PPZ165" s="7"/>
      <c r="PQA165" s="7"/>
      <c r="PQB165" s="7"/>
      <c r="PQC165" s="7"/>
      <c r="PQD165" s="7"/>
      <c r="PQE165" s="7"/>
      <c r="PQF165" s="7"/>
      <c r="PQG165" s="7"/>
      <c r="PQH165" s="7"/>
      <c r="PQI165" s="7"/>
      <c r="PQJ165" s="7"/>
      <c r="PQK165" s="7"/>
      <c r="PQL165" s="7"/>
      <c r="PQM165" s="7"/>
      <c r="PQN165" s="7"/>
      <c r="PQO165" s="7"/>
      <c r="PQP165" s="7"/>
      <c r="PQQ165" s="7"/>
      <c r="PQR165" s="7"/>
      <c r="PQS165" s="7"/>
      <c r="PQT165" s="7"/>
      <c r="PQU165" s="7"/>
      <c r="PQV165" s="7"/>
      <c r="PQW165" s="7"/>
      <c r="PQX165" s="7"/>
      <c r="PQY165" s="7"/>
      <c r="PQZ165" s="7"/>
      <c r="PRA165" s="7"/>
      <c r="PRB165" s="7"/>
      <c r="PRC165" s="7"/>
      <c r="PRD165" s="7"/>
      <c r="PRE165" s="7"/>
      <c r="PRF165" s="7"/>
      <c r="PRG165" s="7"/>
      <c r="PRH165" s="7"/>
      <c r="PRI165" s="7"/>
      <c r="PRJ165" s="7"/>
      <c r="PRK165" s="7"/>
      <c r="PRL165" s="7"/>
      <c r="PRM165" s="7"/>
      <c r="PRN165" s="7"/>
      <c r="PRO165" s="7"/>
      <c r="PRP165" s="7"/>
      <c r="PRQ165" s="7"/>
      <c r="PRR165" s="7"/>
      <c r="PRS165" s="7"/>
      <c r="PRT165" s="7"/>
      <c r="PRU165" s="7"/>
      <c r="PRV165" s="7"/>
      <c r="PRW165" s="7"/>
      <c r="PRX165" s="7"/>
      <c r="PRY165" s="7"/>
      <c r="PRZ165" s="7"/>
      <c r="PSA165" s="7"/>
      <c r="PSB165" s="7"/>
      <c r="PSC165" s="7"/>
      <c r="PSD165" s="7"/>
      <c r="PSE165" s="7"/>
      <c r="PSF165" s="7"/>
      <c r="PSG165" s="7"/>
      <c r="PSH165" s="7"/>
      <c r="PSI165" s="7"/>
      <c r="PSJ165" s="7"/>
      <c r="PSK165" s="7"/>
      <c r="PSL165" s="7"/>
      <c r="PSM165" s="7"/>
      <c r="PSN165" s="7"/>
      <c r="PSO165" s="7"/>
      <c r="PSP165" s="7"/>
      <c r="PSQ165" s="7"/>
      <c r="PSR165" s="7"/>
      <c r="PSS165" s="7"/>
      <c r="PST165" s="7"/>
      <c r="PSU165" s="7"/>
      <c r="PSV165" s="7"/>
      <c r="PSW165" s="7"/>
      <c r="PSX165" s="7"/>
      <c r="PSY165" s="7"/>
      <c r="PSZ165" s="7"/>
      <c r="PTA165" s="7"/>
      <c r="PTB165" s="7"/>
      <c r="PTC165" s="7"/>
      <c r="PTD165" s="7"/>
      <c r="PTE165" s="7"/>
      <c r="PTF165" s="7"/>
      <c r="PTG165" s="7"/>
      <c r="PTH165" s="7"/>
      <c r="PTI165" s="7"/>
      <c r="PTJ165" s="7"/>
      <c r="PTK165" s="7"/>
      <c r="PTL165" s="7"/>
      <c r="PTM165" s="7"/>
      <c r="PTN165" s="7"/>
      <c r="PTO165" s="7"/>
      <c r="PTP165" s="7"/>
      <c r="PTQ165" s="7"/>
      <c r="PTR165" s="7"/>
      <c r="PTS165" s="7"/>
      <c r="PTT165" s="7"/>
      <c r="PTU165" s="7"/>
      <c r="PTV165" s="7"/>
      <c r="PTW165" s="7"/>
      <c r="PTX165" s="7"/>
      <c r="PTY165" s="7"/>
      <c r="PTZ165" s="7"/>
      <c r="PUA165" s="7"/>
      <c r="PUB165" s="7"/>
      <c r="PUC165" s="7"/>
      <c r="PUD165" s="7"/>
      <c r="PUE165" s="7"/>
      <c r="PUF165" s="7"/>
      <c r="PUG165" s="7"/>
      <c r="PUH165" s="7"/>
      <c r="PUI165" s="7"/>
      <c r="PUJ165" s="7"/>
      <c r="PUK165" s="7"/>
      <c r="PUL165" s="7"/>
      <c r="PUM165" s="7"/>
      <c r="PUN165" s="7"/>
      <c r="PUO165" s="7"/>
      <c r="PUP165" s="7"/>
      <c r="PUQ165" s="7"/>
      <c r="PUR165" s="7"/>
      <c r="PUS165" s="7"/>
      <c r="PUT165" s="7"/>
      <c r="PUU165" s="7"/>
      <c r="PUV165" s="7"/>
      <c r="PUW165" s="7"/>
      <c r="PUX165" s="7"/>
      <c r="PUY165" s="7"/>
      <c r="PUZ165" s="7"/>
      <c r="PVA165" s="7"/>
      <c r="PVB165" s="7"/>
      <c r="PVC165" s="7"/>
      <c r="PVD165" s="7"/>
      <c r="PVE165" s="7"/>
      <c r="PVF165" s="7"/>
      <c r="PVG165" s="7"/>
      <c r="PVH165" s="7"/>
      <c r="PVI165" s="7"/>
      <c r="PVJ165" s="7"/>
      <c r="PVK165" s="7"/>
      <c r="PVL165" s="7"/>
      <c r="PVM165" s="7"/>
      <c r="PVN165" s="7"/>
      <c r="PVO165" s="7"/>
      <c r="PVP165" s="7"/>
      <c r="PVQ165" s="7"/>
      <c r="PVR165" s="7"/>
      <c r="PVS165" s="7"/>
      <c r="PVT165" s="7"/>
      <c r="PVU165" s="7"/>
      <c r="PVV165" s="7"/>
      <c r="PVW165" s="7"/>
      <c r="PVX165" s="7"/>
      <c r="PVY165" s="7"/>
      <c r="PVZ165" s="7"/>
      <c r="PWA165" s="7"/>
      <c r="PWB165" s="7"/>
      <c r="PWC165" s="7"/>
      <c r="PWD165" s="7"/>
      <c r="PWE165" s="7"/>
      <c r="PWF165" s="7"/>
      <c r="PWG165" s="7"/>
      <c r="PWH165" s="7"/>
      <c r="PWI165" s="7"/>
      <c r="PWJ165" s="7"/>
      <c r="PWK165" s="7"/>
      <c r="PWL165" s="7"/>
      <c r="PWM165" s="7"/>
      <c r="PWN165" s="7"/>
      <c r="PWO165" s="7"/>
      <c r="PWP165" s="7"/>
      <c r="PWQ165" s="7"/>
      <c r="PWR165" s="7"/>
      <c r="PWS165" s="7"/>
      <c r="PWT165" s="7"/>
      <c r="PWU165" s="7"/>
      <c r="PWV165" s="7"/>
      <c r="PWW165" s="7"/>
      <c r="PWX165" s="7"/>
      <c r="PWY165" s="7"/>
      <c r="PWZ165" s="7"/>
      <c r="PXA165" s="7"/>
      <c r="PXB165" s="7"/>
      <c r="PXC165" s="7"/>
      <c r="PXD165" s="7"/>
      <c r="PXE165" s="7"/>
      <c r="PXF165" s="7"/>
      <c r="PXG165" s="7"/>
      <c r="PXH165" s="7"/>
      <c r="PXI165" s="7"/>
      <c r="PXJ165" s="7"/>
      <c r="PXK165" s="7"/>
      <c r="PXL165" s="7"/>
      <c r="PXM165" s="7"/>
      <c r="PXN165" s="7"/>
      <c r="PXO165" s="7"/>
      <c r="PXP165" s="7"/>
      <c r="PXQ165" s="7"/>
      <c r="PXR165" s="7"/>
      <c r="PXS165" s="7"/>
      <c r="PXT165" s="7"/>
      <c r="PXU165" s="7"/>
      <c r="PXV165" s="7"/>
      <c r="PXW165" s="7"/>
      <c r="PXX165" s="7"/>
      <c r="PXY165" s="7"/>
      <c r="PXZ165" s="7"/>
      <c r="PYA165" s="7"/>
      <c r="PYB165" s="7"/>
      <c r="PYC165" s="7"/>
      <c r="PYD165" s="7"/>
      <c r="PYE165" s="7"/>
      <c r="PYF165" s="7"/>
      <c r="PYG165" s="7"/>
      <c r="PYH165" s="7"/>
      <c r="PYI165" s="7"/>
      <c r="PYJ165" s="7"/>
      <c r="PYK165" s="7"/>
      <c r="PYL165" s="7"/>
      <c r="PYM165" s="7"/>
      <c r="PYN165" s="7"/>
      <c r="PYO165" s="7"/>
      <c r="PYP165" s="7"/>
      <c r="PYQ165" s="7"/>
      <c r="PYR165" s="7"/>
      <c r="PYS165" s="7"/>
      <c r="PYT165" s="7"/>
      <c r="PYU165" s="7"/>
      <c r="PYV165" s="7"/>
      <c r="PYW165" s="7"/>
      <c r="PYX165" s="7"/>
      <c r="PYY165" s="7"/>
      <c r="PYZ165" s="7"/>
      <c r="PZA165" s="7"/>
      <c r="PZB165" s="7"/>
      <c r="PZC165" s="7"/>
      <c r="PZD165" s="7"/>
      <c r="PZE165" s="7"/>
      <c r="PZF165" s="7"/>
      <c r="PZG165" s="7"/>
      <c r="PZH165" s="7"/>
      <c r="PZI165" s="7"/>
      <c r="PZJ165" s="7"/>
      <c r="PZK165" s="7"/>
      <c r="PZL165" s="7"/>
      <c r="PZM165" s="7"/>
      <c r="PZN165" s="7"/>
      <c r="PZO165" s="7"/>
      <c r="PZP165" s="7"/>
      <c r="PZQ165" s="7"/>
      <c r="PZR165" s="7"/>
      <c r="PZS165" s="7"/>
      <c r="PZT165" s="7"/>
      <c r="PZU165" s="7"/>
      <c r="PZV165" s="7"/>
      <c r="PZW165" s="7"/>
      <c r="PZX165" s="7"/>
      <c r="PZY165" s="7"/>
      <c r="PZZ165" s="7"/>
      <c r="QAA165" s="7"/>
      <c r="QAB165" s="7"/>
      <c r="QAC165" s="7"/>
      <c r="QAD165" s="7"/>
      <c r="QAE165" s="7"/>
      <c r="QAF165" s="7"/>
      <c r="QAG165" s="7"/>
      <c r="QAH165" s="7"/>
      <c r="QAI165" s="7"/>
      <c r="QAJ165" s="7"/>
      <c r="QAK165" s="7"/>
      <c r="QAL165" s="7"/>
      <c r="QAM165" s="7"/>
      <c r="QAN165" s="7"/>
      <c r="QAO165" s="7"/>
      <c r="QAP165" s="7"/>
      <c r="QAQ165" s="7"/>
      <c r="QAR165" s="7"/>
      <c r="QAS165" s="7"/>
      <c r="QAT165" s="7"/>
      <c r="QAU165" s="7"/>
      <c r="QAV165" s="7"/>
      <c r="QAW165" s="7"/>
      <c r="QAX165" s="7"/>
      <c r="QAY165" s="7"/>
      <c r="QAZ165" s="7"/>
      <c r="QBA165" s="7"/>
      <c r="QBB165" s="7"/>
      <c r="QBC165" s="7"/>
      <c r="QBD165" s="7"/>
      <c r="QBE165" s="7"/>
      <c r="QBF165" s="7"/>
      <c r="QBG165" s="7"/>
      <c r="QBH165" s="7"/>
      <c r="QBI165" s="7"/>
      <c r="QBJ165" s="7"/>
      <c r="QBK165" s="7"/>
      <c r="QBL165" s="7"/>
      <c r="QBM165" s="7"/>
      <c r="QBN165" s="7"/>
      <c r="QBO165" s="7"/>
      <c r="QBP165" s="7"/>
      <c r="QBQ165" s="7"/>
      <c r="QBR165" s="7"/>
      <c r="QBS165" s="7"/>
      <c r="QBT165" s="7"/>
      <c r="QBU165" s="7"/>
      <c r="QBV165" s="7"/>
      <c r="QBW165" s="7"/>
      <c r="QBX165" s="7"/>
      <c r="QBY165" s="7"/>
      <c r="QBZ165" s="7"/>
      <c r="QCA165" s="7"/>
      <c r="QCB165" s="7"/>
      <c r="QCC165" s="7"/>
      <c r="QCD165" s="7"/>
      <c r="QCE165" s="7"/>
      <c r="QCF165" s="7"/>
      <c r="QCG165" s="7"/>
      <c r="QCH165" s="7"/>
      <c r="QCI165" s="7"/>
      <c r="QCJ165" s="7"/>
      <c r="QCK165" s="7"/>
      <c r="QCL165" s="7"/>
      <c r="QCM165" s="7"/>
      <c r="QCN165" s="7"/>
      <c r="QCO165" s="7"/>
      <c r="QCP165" s="7"/>
      <c r="QCQ165" s="7"/>
      <c r="QCR165" s="7"/>
      <c r="QCS165" s="7"/>
      <c r="QCT165" s="7"/>
      <c r="QCU165" s="7"/>
      <c r="QCV165" s="7"/>
      <c r="QCW165" s="7"/>
      <c r="QCX165" s="7"/>
      <c r="QCY165" s="7"/>
      <c r="QCZ165" s="7"/>
      <c r="QDA165" s="7"/>
      <c r="QDB165" s="7"/>
      <c r="QDC165" s="7"/>
      <c r="QDD165" s="7"/>
      <c r="QDE165" s="7"/>
      <c r="QDF165" s="7"/>
      <c r="QDG165" s="7"/>
      <c r="QDH165" s="7"/>
      <c r="QDI165" s="7"/>
      <c r="QDJ165" s="7"/>
      <c r="QDK165" s="7"/>
      <c r="QDL165" s="7"/>
      <c r="QDM165" s="7"/>
      <c r="QDN165" s="7"/>
      <c r="QDO165" s="7"/>
      <c r="QDP165" s="7"/>
      <c r="QDQ165" s="7"/>
      <c r="QDR165" s="7"/>
      <c r="QDS165" s="7"/>
      <c r="QDT165" s="7"/>
      <c r="QDU165" s="7"/>
      <c r="QDV165" s="7"/>
      <c r="QDW165" s="7"/>
      <c r="QDX165" s="7"/>
      <c r="QDY165" s="7"/>
      <c r="QDZ165" s="7"/>
      <c r="QEA165" s="7"/>
      <c r="QEB165" s="7"/>
      <c r="QEC165" s="7"/>
      <c r="QED165" s="7"/>
      <c r="QEE165" s="7"/>
      <c r="QEF165" s="7"/>
      <c r="QEG165" s="7"/>
      <c r="QEH165" s="7"/>
      <c r="QEI165" s="7"/>
      <c r="QEJ165" s="7"/>
      <c r="QEK165" s="7"/>
      <c r="QEL165" s="7"/>
      <c r="QEM165" s="7"/>
      <c r="QEN165" s="7"/>
      <c r="QEO165" s="7"/>
      <c r="QEP165" s="7"/>
      <c r="QEQ165" s="7"/>
      <c r="QER165" s="7"/>
      <c r="QES165" s="7"/>
      <c r="QET165" s="7"/>
      <c r="QEU165" s="7"/>
      <c r="QEV165" s="7"/>
      <c r="QEW165" s="7"/>
      <c r="QEX165" s="7"/>
      <c r="QEY165" s="7"/>
      <c r="QEZ165" s="7"/>
      <c r="QFA165" s="7"/>
      <c r="QFB165" s="7"/>
      <c r="QFC165" s="7"/>
      <c r="QFD165" s="7"/>
      <c r="QFE165" s="7"/>
      <c r="QFF165" s="7"/>
      <c r="QFG165" s="7"/>
      <c r="QFH165" s="7"/>
      <c r="QFI165" s="7"/>
      <c r="QFJ165" s="7"/>
      <c r="QFK165" s="7"/>
      <c r="QFL165" s="7"/>
      <c r="QFM165" s="7"/>
      <c r="QFN165" s="7"/>
      <c r="QFO165" s="7"/>
      <c r="QFP165" s="7"/>
      <c r="QFQ165" s="7"/>
      <c r="QFR165" s="7"/>
      <c r="QFS165" s="7"/>
      <c r="QFT165" s="7"/>
      <c r="QFU165" s="7"/>
      <c r="QFV165" s="7"/>
      <c r="QFW165" s="7"/>
      <c r="QFX165" s="7"/>
      <c r="QFY165" s="7"/>
      <c r="QFZ165" s="7"/>
      <c r="QGA165" s="7"/>
      <c r="QGB165" s="7"/>
      <c r="QGC165" s="7"/>
      <c r="QGD165" s="7"/>
      <c r="QGE165" s="7"/>
      <c r="QGF165" s="7"/>
      <c r="QGG165" s="7"/>
      <c r="QGH165" s="7"/>
      <c r="QGI165" s="7"/>
      <c r="QGJ165" s="7"/>
      <c r="QGK165" s="7"/>
      <c r="QGL165" s="7"/>
      <c r="QGM165" s="7"/>
      <c r="QGN165" s="7"/>
      <c r="QGO165" s="7"/>
      <c r="QGP165" s="7"/>
      <c r="QGQ165" s="7"/>
      <c r="QGR165" s="7"/>
      <c r="QGS165" s="7"/>
      <c r="QGT165" s="7"/>
      <c r="QGU165" s="7"/>
      <c r="QGV165" s="7"/>
      <c r="QGW165" s="7"/>
      <c r="QGX165" s="7"/>
      <c r="QGY165" s="7"/>
      <c r="QGZ165" s="7"/>
      <c r="QHA165" s="7"/>
      <c r="QHB165" s="7"/>
      <c r="QHC165" s="7"/>
      <c r="QHD165" s="7"/>
      <c r="QHE165" s="7"/>
      <c r="QHF165" s="7"/>
      <c r="QHG165" s="7"/>
      <c r="QHH165" s="7"/>
      <c r="QHI165" s="7"/>
      <c r="QHJ165" s="7"/>
      <c r="QHK165" s="7"/>
      <c r="QHL165" s="7"/>
      <c r="QHM165" s="7"/>
      <c r="QHN165" s="7"/>
      <c r="QHO165" s="7"/>
      <c r="QHP165" s="7"/>
      <c r="QHQ165" s="7"/>
      <c r="QHR165" s="7"/>
      <c r="QHS165" s="7"/>
      <c r="QHT165" s="7"/>
      <c r="QHU165" s="7"/>
      <c r="QHV165" s="7"/>
      <c r="QHW165" s="7"/>
      <c r="QHX165" s="7"/>
      <c r="QHY165" s="7"/>
      <c r="QHZ165" s="7"/>
      <c r="QIA165" s="7"/>
      <c r="QIB165" s="7"/>
      <c r="QIC165" s="7"/>
      <c r="QID165" s="7"/>
      <c r="QIE165" s="7"/>
      <c r="QIF165" s="7"/>
      <c r="QIG165" s="7"/>
      <c r="QIH165" s="7"/>
      <c r="QII165" s="7"/>
      <c r="QIJ165" s="7"/>
      <c r="QIK165" s="7"/>
      <c r="QIL165" s="7"/>
      <c r="QIM165" s="7"/>
      <c r="QIN165" s="7"/>
      <c r="QIO165" s="7"/>
      <c r="QIP165" s="7"/>
      <c r="QIQ165" s="7"/>
      <c r="QIR165" s="7"/>
      <c r="QIS165" s="7"/>
      <c r="QIT165" s="7"/>
      <c r="QIU165" s="7"/>
      <c r="QIV165" s="7"/>
      <c r="QIW165" s="7"/>
      <c r="QIX165" s="7"/>
      <c r="QIY165" s="7"/>
      <c r="QIZ165" s="7"/>
      <c r="QJA165" s="7"/>
      <c r="QJB165" s="7"/>
      <c r="QJC165" s="7"/>
      <c r="QJD165" s="7"/>
      <c r="QJE165" s="7"/>
      <c r="QJF165" s="7"/>
      <c r="QJG165" s="7"/>
      <c r="QJH165" s="7"/>
      <c r="QJI165" s="7"/>
      <c r="QJJ165" s="7"/>
      <c r="QJK165" s="7"/>
      <c r="QJL165" s="7"/>
      <c r="QJM165" s="7"/>
      <c r="QJN165" s="7"/>
      <c r="QJO165" s="7"/>
      <c r="QJP165" s="7"/>
      <c r="QJQ165" s="7"/>
      <c r="QJR165" s="7"/>
      <c r="QJS165" s="7"/>
      <c r="QJT165" s="7"/>
      <c r="QJU165" s="7"/>
      <c r="QJV165" s="7"/>
      <c r="QJW165" s="7"/>
      <c r="QJX165" s="7"/>
      <c r="QJY165" s="7"/>
      <c r="QJZ165" s="7"/>
      <c r="QKA165" s="7"/>
      <c r="QKB165" s="7"/>
      <c r="QKC165" s="7"/>
      <c r="QKD165" s="7"/>
      <c r="QKE165" s="7"/>
      <c r="QKF165" s="7"/>
      <c r="QKG165" s="7"/>
      <c r="QKH165" s="7"/>
      <c r="QKI165" s="7"/>
      <c r="QKJ165" s="7"/>
      <c r="QKK165" s="7"/>
      <c r="QKL165" s="7"/>
      <c r="QKM165" s="7"/>
      <c r="QKN165" s="7"/>
      <c r="QKO165" s="7"/>
      <c r="QKP165" s="7"/>
      <c r="QKQ165" s="7"/>
      <c r="QKR165" s="7"/>
      <c r="QKS165" s="7"/>
      <c r="QKT165" s="7"/>
      <c r="QKU165" s="7"/>
      <c r="QKV165" s="7"/>
      <c r="QKW165" s="7"/>
      <c r="QKX165" s="7"/>
      <c r="QKY165" s="7"/>
      <c r="QKZ165" s="7"/>
      <c r="QLA165" s="7"/>
      <c r="QLB165" s="7"/>
      <c r="QLC165" s="7"/>
      <c r="QLD165" s="7"/>
      <c r="QLE165" s="7"/>
      <c r="QLF165" s="7"/>
      <c r="QLG165" s="7"/>
      <c r="QLH165" s="7"/>
      <c r="QLI165" s="7"/>
      <c r="QLJ165" s="7"/>
      <c r="QLK165" s="7"/>
      <c r="QLL165" s="7"/>
      <c r="QLM165" s="7"/>
      <c r="QLN165" s="7"/>
      <c r="QLO165" s="7"/>
      <c r="QLP165" s="7"/>
      <c r="QLQ165" s="7"/>
      <c r="QLR165" s="7"/>
      <c r="QLS165" s="7"/>
      <c r="QLT165" s="7"/>
      <c r="QLU165" s="7"/>
      <c r="QLV165" s="7"/>
      <c r="QLW165" s="7"/>
      <c r="QLX165" s="7"/>
      <c r="QLY165" s="7"/>
      <c r="QLZ165" s="7"/>
      <c r="QMA165" s="7"/>
      <c r="QMB165" s="7"/>
      <c r="QMC165" s="7"/>
      <c r="QMD165" s="7"/>
      <c r="QME165" s="7"/>
      <c r="QMF165" s="7"/>
      <c r="QMG165" s="7"/>
      <c r="QMH165" s="7"/>
      <c r="QMI165" s="7"/>
      <c r="QMJ165" s="7"/>
      <c r="QMK165" s="7"/>
      <c r="QML165" s="7"/>
      <c r="QMM165" s="7"/>
      <c r="QMN165" s="7"/>
      <c r="QMO165" s="7"/>
      <c r="QMP165" s="7"/>
      <c r="QMQ165" s="7"/>
      <c r="QMR165" s="7"/>
      <c r="QMS165" s="7"/>
      <c r="QMT165" s="7"/>
      <c r="QMU165" s="7"/>
      <c r="QMV165" s="7"/>
      <c r="QMW165" s="7"/>
      <c r="QMX165" s="7"/>
      <c r="QMY165" s="7"/>
      <c r="QMZ165" s="7"/>
      <c r="QNA165" s="7"/>
      <c r="QNB165" s="7"/>
      <c r="QNC165" s="7"/>
      <c r="QND165" s="7"/>
      <c r="QNE165" s="7"/>
      <c r="QNF165" s="7"/>
      <c r="QNG165" s="7"/>
      <c r="QNH165" s="7"/>
      <c r="QNI165" s="7"/>
      <c r="QNJ165" s="7"/>
      <c r="QNK165" s="7"/>
      <c r="QNL165" s="7"/>
      <c r="QNM165" s="7"/>
      <c r="QNN165" s="7"/>
      <c r="QNO165" s="7"/>
      <c r="QNP165" s="7"/>
      <c r="QNQ165" s="7"/>
      <c r="QNR165" s="7"/>
      <c r="QNS165" s="7"/>
      <c r="QNT165" s="7"/>
      <c r="QNU165" s="7"/>
      <c r="QNV165" s="7"/>
      <c r="QNW165" s="7"/>
      <c r="QNX165" s="7"/>
      <c r="QNY165" s="7"/>
      <c r="QNZ165" s="7"/>
      <c r="QOA165" s="7"/>
      <c r="QOB165" s="7"/>
      <c r="QOC165" s="7"/>
      <c r="QOD165" s="7"/>
      <c r="QOE165" s="7"/>
      <c r="QOF165" s="7"/>
      <c r="QOG165" s="7"/>
      <c r="QOH165" s="7"/>
      <c r="QOI165" s="7"/>
      <c r="QOJ165" s="7"/>
      <c r="QOK165" s="7"/>
      <c r="QOL165" s="7"/>
      <c r="QOM165" s="7"/>
      <c r="QON165" s="7"/>
      <c r="QOO165" s="7"/>
      <c r="QOP165" s="7"/>
      <c r="QOQ165" s="7"/>
      <c r="QOR165" s="7"/>
      <c r="QOS165" s="7"/>
      <c r="QOT165" s="7"/>
      <c r="QOU165" s="7"/>
      <c r="QOV165" s="7"/>
      <c r="QOW165" s="7"/>
      <c r="QOX165" s="7"/>
      <c r="QOY165" s="7"/>
      <c r="QOZ165" s="7"/>
      <c r="QPA165" s="7"/>
      <c r="QPB165" s="7"/>
      <c r="QPC165" s="7"/>
      <c r="QPD165" s="7"/>
      <c r="QPE165" s="7"/>
      <c r="QPF165" s="7"/>
      <c r="QPG165" s="7"/>
      <c r="QPH165" s="7"/>
      <c r="QPI165" s="7"/>
      <c r="QPJ165" s="7"/>
      <c r="QPK165" s="7"/>
      <c r="QPL165" s="7"/>
      <c r="QPM165" s="7"/>
      <c r="QPN165" s="7"/>
      <c r="QPO165" s="7"/>
      <c r="QPP165" s="7"/>
      <c r="QPQ165" s="7"/>
      <c r="QPR165" s="7"/>
      <c r="QPS165" s="7"/>
      <c r="QPT165" s="7"/>
      <c r="QPU165" s="7"/>
      <c r="QPV165" s="7"/>
      <c r="QPW165" s="7"/>
      <c r="QPX165" s="7"/>
      <c r="QPY165" s="7"/>
      <c r="QPZ165" s="7"/>
      <c r="QQA165" s="7"/>
      <c r="QQB165" s="7"/>
      <c r="QQC165" s="7"/>
      <c r="QQD165" s="7"/>
      <c r="QQE165" s="7"/>
      <c r="QQF165" s="7"/>
      <c r="QQG165" s="7"/>
      <c r="QQH165" s="7"/>
      <c r="QQI165" s="7"/>
      <c r="QQJ165" s="7"/>
      <c r="QQK165" s="7"/>
      <c r="QQL165" s="7"/>
      <c r="QQM165" s="7"/>
      <c r="QQN165" s="7"/>
      <c r="QQO165" s="7"/>
      <c r="QQP165" s="7"/>
      <c r="QQQ165" s="7"/>
      <c r="QQR165" s="7"/>
      <c r="QQS165" s="7"/>
      <c r="QQT165" s="7"/>
      <c r="QQU165" s="7"/>
      <c r="QQV165" s="7"/>
      <c r="QQW165" s="7"/>
      <c r="QQX165" s="7"/>
      <c r="QQY165" s="7"/>
      <c r="QQZ165" s="7"/>
      <c r="QRA165" s="7"/>
      <c r="QRB165" s="7"/>
      <c r="QRC165" s="7"/>
      <c r="QRD165" s="7"/>
      <c r="QRE165" s="7"/>
      <c r="QRF165" s="7"/>
      <c r="QRG165" s="7"/>
      <c r="QRH165" s="7"/>
      <c r="QRI165" s="7"/>
      <c r="QRJ165" s="7"/>
      <c r="QRK165" s="7"/>
      <c r="QRL165" s="7"/>
      <c r="QRM165" s="7"/>
      <c r="QRN165" s="7"/>
      <c r="QRO165" s="7"/>
      <c r="QRP165" s="7"/>
      <c r="QRQ165" s="7"/>
      <c r="QRR165" s="7"/>
      <c r="QRS165" s="7"/>
      <c r="QRT165" s="7"/>
      <c r="QRU165" s="7"/>
      <c r="QRV165" s="7"/>
      <c r="QRW165" s="7"/>
      <c r="QRX165" s="7"/>
      <c r="QRY165" s="7"/>
      <c r="QRZ165" s="7"/>
      <c r="QSA165" s="7"/>
      <c r="QSB165" s="7"/>
      <c r="QSC165" s="7"/>
      <c r="QSD165" s="7"/>
      <c r="QSE165" s="7"/>
      <c r="QSF165" s="7"/>
      <c r="QSG165" s="7"/>
      <c r="QSH165" s="7"/>
      <c r="QSI165" s="7"/>
      <c r="QSJ165" s="7"/>
      <c r="QSK165" s="7"/>
      <c r="QSL165" s="7"/>
      <c r="QSM165" s="7"/>
      <c r="QSN165" s="7"/>
      <c r="QSO165" s="7"/>
      <c r="QSP165" s="7"/>
      <c r="QSQ165" s="7"/>
      <c r="QSR165" s="7"/>
      <c r="QSS165" s="7"/>
      <c r="QST165" s="7"/>
      <c r="QSU165" s="7"/>
      <c r="QSV165" s="7"/>
      <c r="QSW165" s="7"/>
      <c r="QSX165" s="7"/>
      <c r="QSY165" s="7"/>
      <c r="QSZ165" s="7"/>
      <c r="QTA165" s="7"/>
      <c r="QTB165" s="7"/>
      <c r="QTC165" s="7"/>
      <c r="QTD165" s="7"/>
      <c r="QTE165" s="7"/>
      <c r="QTF165" s="7"/>
      <c r="QTG165" s="7"/>
      <c r="QTH165" s="7"/>
      <c r="QTI165" s="7"/>
      <c r="QTJ165" s="7"/>
      <c r="QTK165" s="7"/>
      <c r="QTL165" s="7"/>
      <c r="QTM165" s="7"/>
      <c r="QTN165" s="7"/>
      <c r="QTO165" s="7"/>
      <c r="QTP165" s="7"/>
      <c r="QTQ165" s="7"/>
      <c r="QTR165" s="7"/>
      <c r="QTS165" s="7"/>
      <c r="QTT165" s="7"/>
      <c r="QTU165" s="7"/>
      <c r="QTV165" s="7"/>
      <c r="QTW165" s="7"/>
      <c r="QTX165" s="7"/>
      <c r="QTY165" s="7"/>
      <c r="QTZ165" s="7"/>
      <c r="QUA165" s="7"/>
      <c r="QUB165" s="7"/>
      <c r="QUC165" s="7"/>
      <c r="QUD165" s="7"/>
      <c r="QUE165" s="7"/>
      <c r="QUF165" s="7"/>
      <c r="QUG165" s="7"/>
      <c r="QUH165" s="7"/>
      <c r="QUI165" s="7"/>
      <c r="QUJ165" s="7"/>
      <c r="QUK165" s="7"/>
      <c r="QUL165" s="7"/>
      <c r="QUM165" s="7"/>
      <c r="QUN165" s="7"/>
      <c r="QUO165" s="7"/>
      <c r="QUP165" s="7"/>
      <c r="QUQ165" s="7"/>
      <c r="QUR165" s="7"/>
      <c r="QUS165" s="7"/>
      <c r="QUT165" s="7"/>
      <c r="QUU165" s="7"/>
      <c r="QUV165" s="7"/>
      <c r="QUW165" s="7"/>
      <c r="QUX165" s="7"/>
      <c r="QUY165" s="7"/>
      <c r="QUZ165" s="7"/>
      <c r="QVA165" s="7"/>
      <c r="QVB165" s="7"/>
      <c r="QVC165" s="7"/>
      <c r="QVD165" s="7"/>
      <c r="QVE165" s="7"/>
      <c r="QVF165" s="7"/>
      <c r="QVG165" s="7"/>
      <c r="QVH165" s="7"/>
      <c r="QVI165" s="7"/>
      <c r="QVJ165" s="7"/>
      <c r="QVK165" s="7"/>
      <c r="QVL165" s="7"/>
      <c r="QVM165" s="7"/>
      <c r="QVN165" s="7"/>
      <c r="QVO165" s="7"/>
      <c r="QVP165" s="7"/>
      <c r="QVQ165" s="7"/>
      <c r="QVR165" s="7"/>
      <c r="QVS165" s="7"/>
      <c r="QVT165" s="7"/>
      <c r="QVU165" s="7"/>
      <c r="QVV165" s="7"/>
      <c r="QVW165" s="7"/>
      <c r="QVX165" s="7"/>
      <c r="QVY165" s="7"/>
      <c r="QVZ165" s="7"/>
      <c r="QWA165" s="7"/>
      <c r="QWB165" s="7"/>
      <c r="QWC165" s="7"/>
      <c r="QWD165" s="7"/>
      <c r="QWE165" s="7"/>
      <c r="QWF165" s="7"/>
      <c r="QWG165" s="7"/>
      <c r="QWH165" s="7"/>
      <c r="QWI165" s="7"/>
      <c r="QWJ165" s="7"/>
      <c r="QWK165" s="7"/>
      <c r="QWL165" s="7"/>
      <c r="QWM165" s="7"/>
      <c r="QWN165" s="7"/>
      <c r="QWO165" s="7"/>
      <c r="QWP165" s="7"/>
      <c r="QWQ165" s="7"/>
      <c r="QWR165" s="7"/>
      <c r="QWS165" s="7"/>
      <c r="QWT165" s="7"/>
      <c r="QWU165" s="7"/>
      <c r="QWV165" s="7"/>
      <c r="QWW165" s="7"/>
      <c r="QWX165" s="7"/>
      <c r="QWY165" s="7"/>
      <c r="QWZ165" s="7"/>
      <c r="QXA165" s="7"/>
      <c r="QXB165" s="7"/>
      <c r="QXC165" s="7"/>
      <c r="QXD165" s="7"/>
      <c r="QXE165" s="7"/>
      <c r="QXF165" s="7"/>
      <c r="QXG165" s="7"/>
      <c r="QXH165" s="7"/>
      <c r="QXI165" s="7"/>
      <c r="QXJ165" s="7"/>
      <c r="QXK165" s="7"/>
      <c r="QXL165" s="7"/>
      <c r="QXM165" s="7"/>
      <c r="QXN165" s="7"/>
      <c r="QXO165" s="7"/>
      <c r="QXP165" s="7"/>
      <c r="QXQ165" s="7"/>
      <c r="QXR165" s="7"/>
      <c r="QXS165" s="7"/>
      <c r="QXT165" s="7"/>
      <c r="QXU165" s="7"/>
      <c r="QXV165" s="7"/>
      <c r="QXW165" s="7"/>
      <c r="QXX165" s="7"/>
      <c r="QXY165" s="7"/>
      <c r="QXZ165" s="7"/>
      <c r="QYA165" s="7"/>
      <c r="QYB165" s="7"/>
      <c r="QYC165" s="7"/>
      <c r="QYD165" s="7"/>
      <c r="QYE165" s="7"/>
      <c r="QYF165" s="7"/>
      <c r="QYG165" s="7"/>
      <c r="QYH165" s="7"/>
      <c r="QYI165" s="7"/>
      <c r="QYJ165" s="7"/>
      <c r="QYK165" s="7"/>
      <c r="QYL165" s="7"/>
      <c r="QYM165" s="7"/>
      <c r="QYN165" s="7"/>
      <c r="QYO165" s="7"/>
      <c r="QYP165" s="7"/>
      <c r="QYQ165" s="7"/>
      <c r="QYR165" s="7"/>
      <c r="QYS165" s="7"/>
      <c r="QYT165" s="7"/>
      <c r="QYU165" s="7"/>
      <c r="QYV165" s="7"/>
      <c r="QYW165" s="7"/>
      <c r="QYX165" s="7"/>
      <c r="QYY165" s="7"/>
      <c r="QYZ165" s="7"/>
      <c r="QZA165" s="7"/>
      <c r="QZB165" s="7"/>
      <c r="QZC165" s="7"/>
      <c r="QZD165" s="7"/>
      <c r="QZE165" s="7"/>
      <c r="QZF165" s="7"/>
      <c r="QZG165" s="7"/>
      <c r="QZH165" s="7"/>
      <c r="QZI165" s="7"/>
      <c r="QZJ165" s="7"/>
      <c r="QZK165" s="7"/>
      <c r="QZL165" s="7"/>
      <c r="QZM165" s="7"/>
      <c r="QZN165" s="7"/>
      <c r="QZO165" s="7"/>
      <c r="QZP165" s="7"/>
      <c r="QZQ165" s="7"/>
      <c r="QZR165" s="7"/>
      <c r="QZS165" s="7"/>
      <c r="QZT165" s="7"/>
      <c r="QZU165" s="7"/>
      <c r="QZV165" s="7"/>
      <c r="QZW165" s="7"/>
      <c r="QZX165" s="7"/>
      <c r="QZY165" s="7"/>
      <c r="QZZ165" s="7"/>
      <c r="RAA165" s="7"/>
      <c r="RAB165" s="7"/>
      <c r="RAC165" s="7"/>
      <c r="RAD165" s="7"/>
      <c r="RAE165" s="7"/>
      <c r="RAF165" s="7"/>
      <c r="RAG165" s="7"/>
      <c r="RAH165" s="7"/>
      <c r="RAI165" s="7"/>
      <c r="RAJ165" s="7"/>
      <c r="RAK165" s="7"/>
      <c r="RAL165" s="7"/>
      <c r="RAM165" s="7"/>
      <c r="RAN165" s="7"/>
      <c r="RAO165" s="7"/>
      <c r="RAP165" s="7"/>
      <c r="RAQ165" s="7"/>
      <c r="RAR165" s="7"/>
      <c r="RAS165" s="7"/>
      <c r="RAT165" s="7"/>
      <c r="RAU165" s="7"/>
      <c r="RAV165" s="7"/>
      <c r="RAW165" s="7"/>
      <c r="RAX165" s="7"/>
      <c r="RAY165" s="7"/>
      <c r="RAZ165" s="7"/>
      <c r="RBA165" s="7"/>
      <c r="RBB165" s="7"/>
      <c r="RBC165" s="7"/>
      <c r="RBD165" s="7"/>
      <c r="RBE165" s="7"/>
      <c r="RBF165" s="7"/>
      <c r="RBG165" s="7"/>
      <c r="RBH165" s="7"/>
      <c r="RBI165" s="7"/>
      <c r="RBJ165" s="7"/>
      <c r="RBK165" s="7"/>
      <c r="RBL165" s="7"/>
      <c r="RBM165" s="7"/>
      <c r="RBN165" s="7"/>
      <c r="RBO165" s="7"/>
      <c r="RBP165" s="7"/>
      <c r="RBQ165" s="7"/>
      <c r="RBR165" s="7"/>
      <c r="RBS165" s="7"/>
      <c r="RBT165" s="7"/>
      <c r="RBU165" s="7"/>
      <c r="RBV165" s="7"/>
      <c r="RBW165" s="7"/>
      <c r="RBX165" s="7"/>
      <c r="RBY165" s="7"/>
      <c r="RBZ165" s="7"/>
      <c r="RCA165" s="7"/>
      <c r="RCB165" s="7"/>
      <c r="RCC165" s="7"/>
      <c r="RCD165" s="7"/>
      <c r="RCE165" s="7"/>
      <c r="RCF165" s="7"/>
      <c r="RCG165" s="7"/>
      <c r="RCH165" s="7"/>
      <c r="RCI165" s="7"/>
      <c r="RCJ165" s="7"/>
      <c r="RCK165" s="7"/>
      <c r="RCL165" s="7"/>
      <c r="RCM165" s="7"/>
      <c r="RCN165" s="7"/>
      <c r="RCO165" s="7"/>
      <c r="RCP165" s="7"/>
      <c r="RCQ165" s="7"/>
      <c r="RCR165" s="7"/>
      <c r="RCS165" s="7"/>
      <c r="RCT165" s="7"/>
      <c r="RCU165" s="7"/>
      <c r="RCV165" s="7"/>
      <c r="RCW165" s="7"/>
      <c r="RCX165" s="7"/>
      <c r="RCY165" s="7"/>
      <c r="RCZ165" s="7"/>
      <c r="RDA165" s="7"/>
      <c r="RDB165" s="7"/>
      <c r="RDC165" s="7"/>
      <c r="RDD165" s="7"/>
      <c r="RDE165" s="7"/>
      <c r="RDF165" s="7"/>
      <c r="RDG165" s="7"/>
      <c r="RDH165" s="7"/>
      <c r="RDI165" s="7"/>
      <c r="RDJ165" s="7"/>
      <c r="RDK165" s="7"/>
      <c r="RDL165" s="7"/>
      <c r="RDM165" s="7"/>
      <c r="RDN165" s="7"/>
      <c r="RDO165" s="7"/>
      <c r="RDP165" s="7"/>
      <c r="RDQ165" s="7"/>
      <c r="RDR165" s="7"/>
      <c r="RDS165" s="7"/>
      <c r="RDT165" s="7"/>
      <c r="RDU165" s="7"/>
      <c r="RDV165" s="7"/>
      <c r="RDW165" s="7"/>
      <c r="RDX165" s="7"/>
      <c r="RDY165" s="7"/>
      <c r="RDZ165" s="7"/>
      <c r="REA165" s="7"/>
      <c r="REB165" s="7"/>
      <c r="REC165" s="7"/>
      <c r="RED165" s="7"/>
      <c r="REE165" s="7"/>
      <c r="REF165" s="7"/>
      <c r="REG165" s="7"/>
      <c r="REH165" s="7"/>
      <c r="REI165" s="7"/>
      <c r="REJ165" s="7"/>
      <c r="REK165" s="7"/>
      <c r="REL165" s="7"/>
      <c r="REM165" s="7"/>
      <c r="REN165" s="7"/>
      <c r="REO165" s="7"/>
      <c r="REP165" s="7"/>
      <c r="REQ165" s="7"/>
      <c r="RER165" s="7"/>
      <c r="RES165" s="7"/>
      <c r="RET165" s="7"/>
      <c r="REU165" s="7"/>
      <c r="REV165" s="7"/>
      <c r="REW165" s="7"/>
      <c r="REX165" s="7"/>
      <c r="REY165" s="7"/>
      <c r="REZ165" s="7"/>
      <c r="RFA165" s="7"/>
      <c r="RFB165" s="7"/>
      <c r="RFC165" s="7"/>
      <c r="RFD165" s="7"/>
      <c r="RFE165" s="7"/>
      <c r="RFF165" s="7"/>
      <c r="RFG165" s="7"/>
      <c r="RFH165" s="7"/>
      <c r="RFI165" s="7"/>
      <c r="RFJ165" s="7"/>
      <c r="RFK165" s="7"/>
      <c r="RFL165" s="7"/>
      <c r="RFM165" s="7"/>
      <c r="RFN165" s="7"/>
      <c r="RFO165" s="7"/>
      <c r="RFP165" s="7"/>
      <c r="RFQ165" s="7"/>
      <c r="RFR165" s="7"/>
      <c r="RFS165" s="7"/>
      <c r="RFT165" s="7"/>
      <c r="RFU165" s="7"/>
      <c r="RFV165" s="7"/>
      <c r="RFW165" s="7"/>
      <c r="RFX165" s="7"/>
      <c r="RFY165" s="7"/>
      <c r="RFZ165" s="7"/>
      <c r="RGA165" s="7"/>
      <c r="RGB165" s="7"/>
      <c r="RGC165" s="7"/>
      <c r="RGD165" s="7"/>
      <c r="RGE165" s="7"/>
      <c r="RGF165" s="7"/>
      <c r="RGG165" s="7"/>
      <c r="RGH165" s="7"/>
      <c r="RGI165" s="7"/>
      <c r="RGJ165" s="7"/>
      <c r="RGK165" s="7"/>
      <c r="RGL165" s="7"/>
      <c r="RGM165" s="7"/>
      <c r="RGN165" s="7"/>
      <c r="RGO165" s="7"/>
      <c r="RGP165" s="7"/>
      <c r="RGQ165" s="7"/>
      <c r="RGR165" s="7"/>
      <c r="RGS165" s="7"/>
      <c r="RGT165" s="7"/>
      <c r="RGU165" s="7"/>
      <c r="RGV165" s="7"/>
      <c r="RGW165" s="7"/>
      <c r="RGX165" s="7"/>
      <c r="RGY165" s="7"/>
      <c r="RGZ165" s="7"/>
      <c r="RHA165" s="7"/>
      <c r="RHB165" s="7"/>
      <c r="RHC165" s="7"/>
      <c r="RHD165" s="7"/>
      <c r="RHE165" s="7"/>
      <c r="RHF165" s="7"/>
      <c r="RHG165" s="7"/>
      <c r="RHH165" s="7"/>
      <c r="RHI165" s="7"/>
      <c r="RHJ165" s="7"/>
      <c r="RHK165" s="7"/>
      <c r="RHL165" s="7"/>
      <c r="RHM165" s="7"/>
      <c r="RHN165" s="7"/>
      <c r="RHO165" s="7"/>
      <c r="RHP165" s="7"/>
      <c r="RHQ165" s="7"/>
      <c r="RHR165" s="7"/>
      <c r="RHS165" s="7"/>
      <c r="RHT165" s="7"/>
      <c r="RHU165" s="7"/>
      <c r="RHV165" s="7"/>
      <c r="RHW165" s="7"/>
      <c r="RHX165" s="7"/>
      <c r="RHY165" s="7"/>
      <c r="RHZ165" s="7"/>
      <c r="RIA165" s="7"/>
      <c r="RIB165" s="7"/>
      <c r="RIC165" s="7"/>
      <c r="RID165" s="7"/>
      <c r="RIE165" s="7"/>
      <c r="RIF165" s="7"/>
      <c r="RIG165" s="7"/>
      <c r="RIH165" s="7"/>
      <c r="RII165" s="7"/>
      <c r="RIJ165" s="7"/>
      <c r="RIK165" s="7"/>
      <c r="RIL165" s="7"/>
      <c r="RIM165" s="7"/>
      <c r="RIN165" s="7"/>
      <c r="RIO165" s="7"/>
      <c r="RIP165" s="7"/>
      <c r="RIQ165" s="7"/>
      <c r="RIR165" s="7"/>
      <c r="RIS165" s="7"/>
      <c r="RIT165" s="7"/>
      <c r="RIU165" s="7"/>
      <c r="RIV165" s="7"/>
      <c r="RIW165" s="7"/>
      <c r="RIX165" s="7"/>
      <c r="RIY165" s="7"/>
      <c r="RIZ165" s="7"/>
      <c r="RJA165" s="7"/>
      <c r="RJB165" s="7"/>
      <c r="RJC165" s="7"/>
      <c r="RJD165" s="7"/>
      <c r="RJE165" s="7"/>
      <c r="RJF165" s="7"/>
      <c r="RJG165" s="7"/>
      <c r="RJH165" s="7"/>
      <c r="RJI165" s="7"/>
      <c r="RJJ165" s="7"/>
      <c r="RJK165" s="7"/>
      <c r="RJL165" s="7"/>
      <c r="RJM165" s="7"/>
      <c r="RJN165" s="7"/>
      <c r="RJO165" s="7"/>
      <c r="RJP165" s="7"/>
      <c r="RJQ165" s="7"/>
      <c r="RJR165" s="7"/>
      <c r="RJS165" s="7"/>
      <c r="RJT165" s="7"/>
      <c r="RJU165" s="7"/>
      <c r="RJV165" s="7"/>
      <c r="RJW165" s="7"/>
      <c r="RJX165" s="7"/>
      <c r="RJY165" s="7"/>
      <c r="RJZ165" s="7"/>
      <c r="RKA165" s="7"/>
      <c r="RKB165" s="7"/>
      <c r="RKC165" s="7"/>
      <c r="RKD165" s="7"/>
      <c r="RKE165" s="7"/>
      <c r="RKF165" s="7"/>
      <c r="RKG165" s="7"/>
      <c r="RKH165" s="7"/>
      <c r="RKI165" s="7"/>
      <c r="RKJ165" s="7"/>
      <c r="RKK165" s="7"/>
      <c r="RKL165" s="7"/>
      <c r="RKM165" s="7"/>
      <c r="RKN165" s="7"/>
      <c r="RKO165" s="7"/>
      <c r="RKP165" s="7"/>
      <c r="RKQ165" s="7"/>
      <c r="RKR165" s="7"/>
      <c r="RKS165" s="7"/>
      <c r="RKT165" s="7"/>
      <c r="RKU165" s="7"/>
      <c r="RKV165" s="7"/>
      <c r="RKW165" s="7"/>
      <c r="RKX165" s="7"/>
      <c r="RKY165" s="7"/>
      <c r="RKZ165" s="7"/>
      <c r="RLA165" s="7"/>
      <c r="RLB165" s="7"/>
      <c r="RLC165" s="7"/>
      <c r="RLD165" s="7"/>
      <c r="RLE165" s="7"/>
      <c r="RLF165" s="7"/>
      <c r="RLG165" s="7"/>
      <c r="RLH165" s="7"/>
      <c r="RLI165" s="7"/>
      <c r="RLJ165" s="7"/>
      <c r="RLK165" s="7"/>
      <c r="RLL165" s="7"/>
      <c r="RLM165" s="7"/>
      <c r="RLN165" s="7"/>
      <c r="RLO165" s="7"/>
      <c r="RLP165" s="7"/>
      <c r="RLQ165" s="7"/>
      <c r="RLR165" s="7"/>
      <c r="RLS165" s="7"/>
      <c r="RLT165" s="7"/>
      <c r="RLU165" s="7"/>
      <c r="RLV165" s="7"/>
      <c r="RLW165" s="7"/>
      <c r="RLX165" s="7"/>
      <c r="RLY165" s="7"/>
      <c r="RLZ165" s="7"/>
      <c r="RMA165" s="7"/>
      <c r="RMB165" s="7"/>
      <c r="RMC165" s="7"/>
      <c r="RMD165" s="7"/>
      <c r="RME165" s="7"/>
      <c r="RMF165" s="7"/>
      <c r="RMG165" s="7"/>
      <c r="RMH165" s="7"/>
      <c r="RMI165" s="7"/>
      <c r="RMJ165" s="7"/>
      <c r="RMK165" s="7"/>
      <c r="RML165" s="7"/>
      <c r="RMM165" s="7"/>
      <c r="RMN165" s="7"/>
      <c r="RMO165" s="7"/>
      <c r="RMP165" s="7"/>
      <c r="RMQ165" s="7"/>
      <c r="RMR165" s="7"/>
      <c r="RMS165" s="7"/>
      <c r="RMT165" s="7"/>
      <c r="RMU165" s="7"/>
      <c r="RMV165" s="7"/>
      <c r="RMW165" s="7"/>
      <c r="RMX165" s="7"/>
      <c r="RMY165" s="7"/>
      <c r="RMZ165" s="7"/>
      <c r="RNA165" s="7"/>
      <c r="RNB165" s="7"/>
      <c r="RNC165" s="7"/>
      <c r="RND165" s="7"/>
      <c r="RNE165" s="7"/>
      <c r="RNF165" s="7"/>
      <c r="RNG165" s="7"/>
      <c r="RNH165" s="7"/>
      <c r="RNI165" s="7"/>
      <c r="RNJ165" s="7"/>
      <c r="RNK165" s="7"/>
      <c r="RNL165" s="7"/>
      <c r="RNM165" s="7"/>
      <c r="RNN165" s="7"/>
      <c r="RNO165" s="7"/>
      <c r="RNP165" s="7"/>
      <c r="RNQ165" s="7"/>
      <c r="RNR165" s="7"/>
      <c r="RNS165" s="7"/>
      <c r="RNT165" s="7"/>
      <c r="RNU165" s="7"/>
      <c r="RNV165" s="7"/>
      <c r="RNW165" s="7"/>
      <c r="RNX165" s="7"/>
      <c r="RNY165" s="7"/>
      <c r="RNZ165" s="7"/>
      <c r="ROA165" s="7"/>
      <c r="ROB165" s="7"/>
      <c r="ROC165" s="7"/>
      <c r="ROD165" s="7"/>
      <c r="ROE165" s="7"/>
      <c r="ROF165" s="7"/>
      <c r="ROG165" s="7"/>
      <c r="ROH165" s="7"/>
      <c r="ROI165" s="7"/>
      <c r="ROJ165" s="7"/>
      <c r="ROK165" s="7"/>
      <c r="ROL165" s="7"/>
      <c r="ROM165" s="7"/>
      <c r="RON165" s="7"/>
      <c r="ROO165" s="7"/>
      <c r="ROP165" s="7"/>
      <c r="ROQ165" s="7"/>
      <c r="ROR165" s="7"/>
      <c r="ROS165" s="7"/>
      <c r="ROT165" s="7"/>
      <c r="ROU165" s="7"/>
      <c r="ROV165" s="7"/>
      <c r="ROW165" s="7"/>
      <c r="ROX165" s="7"/>
      <c r="ROY165" s="7"/>
      <c r="ROZ165" s="7"/>
      <c r="RPA165" s="7"/>
      <c r="RPB165" s="7"/>
      <c r="RPC165" s="7"/>
      <c r="RPD165" s="7"/>
      <c r="RPE165" s="7"/>
      <c r="RPF165" s="7"/>
      <c r="RPG165" s="7"/>
      <c r="RPH165" s="7"/>
      <c r="RPI165" s="7"/>
      <c r="RPJ165" s="7"/>
      <c r="RPK165" s="7"/>
      <c r="RPL165" s="7"/>
      <c r="RPM165" s="7"/>
      <c r="RPN165" s="7"/>
      <c r="RPO165" s="7"/>
      <c r="RPP165" s="7"/>
      <c r="RPQ165" s="7"/>
      <c r="RPR165" s="7"/>
      <c r="RPS165" s="7"/>
      <c r="RPT165" s="7"/>
      <c r="RPU165" s="7"/>
      <c r="RPV165" s="7"/>
      <c r="RPW165" s="7"/>
      <c r="RPX165" s="7"/>
      <c r="RPY165" s="7"/>
      <c r="RPZ165" s="7"/>
      <c r="RQA165" s="7"/>
      <c r="RQB165" s="7"/>
      <c r="RQC165" s="7"/>
      <c r="RQD165" s="7"/>
      <c r="RQE165" s="7"/>
      <c r="RQF165" s="7"/>
      <c r="RQG165" s="7"/>
      <c r="RQH165" s="7"/>
      <c r="RQI165" s="7"/>
      <c r="RQJ165" s="7"/>
      <c r="RQK165" s="7"/>
      <c r="RQL165" s="7"/>
      <c r="RQM165" s="7"/>
      <c r="RQN165" s="7"/>
      <c r="RQO165" s="7"/>
      <c r="RQP165" s="7"/>
      <c r="RQQ165" s="7"/>
      <c r="RQR165" s="7"/>
      <c r="RQS165" s="7"/>
      <c r="RQT165" s="7"/>
      <c r="RQU165" s="7"/>
      <c r="RQV165" s="7"/>
      <c r="RQW165" s="7"/>
      <c r="RQX165" s="7"/>
      <c r="RQY165" s="7"/>
      <c r="RQZ165" s="7"/>
      <c r="RRA165" s="7"/>
      <c r="RRB165" s="7"/>
      <c r="RRC165" s="7"/>
      <c r="RRD165" s="7"/>
      <c r="RRE165" s="7"/>
      <c r="RRF165" s="7"/>
      <c r="RRG165" s="7"/>
      <c r="RRH165" s="7"/>
      <c r="RRI165" s="7"/>
      <c r="RRJ165" s="7"/>
      <c r="RRK165" s="7"/>
      <c r="RRL165" s="7"/>
      <c r="RRM165" s="7"/>
      <c r="RRN165" s="7"/>
      <c r="RRO165" s="7"/>
      <c r="RRP165" s="7"/>
      <c r="RRQ165" s="7"/>
      <c r="RRR165" s="7"/>
      <c r="RRS165" s="7"/>
      <c r="RRT165" s="7"/>
      <c r="RRU165" s="7"/>
      <c r="RRV165" s="7"/>
      <c r="RRW165" s="7"/>
      <c r="RRX165" s="7"/>
      <c r="RRY165" s="7"/>
      <c r="RRZ165" s="7"/>
      <c r="RSA165" s="7"/>
      <c r="RSB165" s="7"/>
      <c r="RSC165" s="7"/>
      <c r="RSD165" s="7"/>
      <c r="RSE165" s="7"/>
      <c r="RSF165" s="7"/>
      <c r="RSG165" s="7"/>
      <c r="RSH165" s="7"/>
      <c r="RSI165" s="7"/>
      <c r="RSJ165" s="7"/>
      <c r="RSK165" s="7"/>
      <c r="RSL165" s="7"/>
      <c r="RSM165" s="7"/>
      <c r="RSN165" s="7"/>
      <c r="RSO165" s="7"/>
      <c r="RSP165" s="7"/>
      <c r="RSQ165" s="7"/>
      <c r="RSR165" s="7"/>
      <c r="RSS165" s="7"/>
      <c r="RST165" s="7"/>
      <c r="RSU165" s="7"/>
      <c r="RSV165" s="7"/>
      <c r="RSW165" s="7"/>
      <c r="RSX165" s="7"/>
      <c r="RSY165" s="7"/>
      <c r="RSZ165" s="7"/>
      <c r="RTA165" s="7"/>
      <c r="RTB165" s="7"/>
      <c r="RTC165" s="7"/>
      <c r="RTD165" s="7"/>
      <c r="RTE165" s="7"/>
      <c r="RTF165" s="7"/>
      <c r="RTG165" s="7"/>
      <c r="RTH165" s="7"/>
      <c r="RTI165" s="7"/>
      <c r="RTJ165" s="7"/>
      <c r="RTK165" s="7"/>
      <c r="RTL165" s="7"/>
      <c r="RTM165" s="7"/>
      <c r="RTN165" s="7"/>
      <c r="RTO165" s="7"/>
      <c r="RTP165" s="7"/>
      <c r="RTQ165" s="7"/>
      <c r="RTR165" s="7"/>
      <c r="RTS165" s="7"/>
      <c r="RTT165" s="7"/>
      <c r="RTU165" s="7"/>
      <c r="RTV165" s="7"/>
      <c r="RTW165" s="7"/>
      <c r="RTX165" s="7"/>
      <c r="RTY165" s="7"/>
      <c r="RTZ165" s="7"/>
      <c r="RUA165" s="7"/>
      <c r="RUB165" s="7"/>
      <c r="RUC165" s="7"/>
      <c r="RUD165" s="7"/>
      <c r="RUE165" s="7"/>
      <c r="RUF165" s="7"/>
      <c r="RUG165" s="7"/>
      <c r="RUH165" s="7"/>
      <c r="RUI165" s="7"/>
      <c r="RUJ165" s="7"/>
      <c r="RUK165" s="7"/>
      <c r="RUL165" s="7"/>
      <c r="RUM165" s="7"/>
      <c r="RUN165" s="7"/>
      <c r="RUO165" s="7"/>
      <c r="RUP165" s="7"/>
      <c r="RUQ165" s="7"/>
      <c r="RUR165" s="7"/>
      <c r="RUS165" s="7"/>
      <c r="RUT165" s="7"/>
      <c r="RUU165" s="7"/>
      <c r="RUV165" s="7"/>
      <c r="RUW165" s="7"/>
      <c r="RUX165" s="7"/>
      <c r="RUY165" s="7"/>
      <c r="RUZ165" s="7"/>
      <c r="RVA165" s="7"/>
      <c r="RVB165" s="7"/>
      <c r="RVC165" s="7"/>
      <c r="RVD165" s="7"/>
      <c r="RVE165" s="7"/>
      <c r="RVF165" s="7"/>
      <c r="RVG165" s="7"/>
      <c r="RVH165" s="7"/>
      <c r="RVI165" s="7"/>
      <c r="RVJ165" s="7"/>
      <c r="RVK165" s="7"/>
      <c r="RVL165" s="7"/>
      <c r="RVM165" s="7"/>
      <c r="RVN165" s="7"/>
      <c r="RVO165" s="7"/>
      <c r="RVP165" s="7"/>
      <c r="RVQ165" s="7"/>
      <c r="RVR165" s="7"/>
      <c r="RVS165" s="7"/>
      <c r="RVT165" s="7"/>
      <c r="RVU165" s="7"/>
      <c r="RVV165" s="7"/>
      <c r="RVW165" s="7"/>
      <c r="RVX165" s="7"/>
      <c r="RVY165" s="7"/>
      <c r="RVZ165" s="7"/>
      <c r="RWA165" s="7"/>
      <c r="RWB165" s="7"/>
      <c r="RWC165" s="7"/>
      <c r="RWD165" s="7"/>
      <c r="RWE165" s="7"/>
      <c r="RWF165" s="7"/>
      <c r="RWG165" s="7"/>
      <c r="RWH165" s="7"/>
      <c r="RWI165" s="7"/>
      <c r="RWJ165" s="7"/>
      <c r="RWK165" s="7"/>
      <c r="RWL165" s="7"/>
      <c r="RWM165" s="7"/>
      <c r="RWN165" s="7"/>
      <c r="RWO165" s="7"/>
      <c r="RWP165" s="7"/>
      <c r="RWQ165" s="7"/>
      <c r="RWR165" s="7"/>
      <c r="RWS165" s="7"/>
      <c r="RWT165" s="7"/>
      <c r="RWU165" s="7"/>
      <c r="RWV165" s="7"/>
      <c r="RWW165" s="7"/>
      <c r="RWX165" s="7"/>
      <c r="RWY165" s="7"/>
      <c r="RWZ165" s="7"/>
      <c r="RXA165" s="7"/>
      <c r="RXB165" s="7"/>
      <c r="RXC165" s="7"/>
      <c r="RXD165" s="7"/>
      <c r="RXE165" s="7"/>
      <c r="RXF165" s="7"/>
      <c r="RXG165" s="7"/>
      <c r="RXH165" s="7"/>
      <c r="RXI165" s="7"/>
      <c r="RXJ165" s="7"/>
      <c r="RXK165" s="7"/>
      <c r="RXL165" s="7"/>
      <c r="RXM165" s="7"/>
      <c r="RXN165" s="7"/>
      <c r="RXO165" s="7"/>
      <c r="RXP165" s="7"/>
      <c r="RXQ165" s="7"/>
      <c r="RXR165" s="7"/>
      <c r="RXS165" s="7"/>
      <c r="RXT165" s="7"/>
      <c r="RXU165" s="7"/>
      <c r="RXV165" s="7"/>
      <c r="RXW165" s="7"/>
      <c r="RXX165" s="7"/>
      <c r="RXY165" s="7"/>
      <c r="RXZ165" s="7"/>
      <c r="RYA165" s="7"/>
      <c r="RYB165" s="7"/>
      <c r="RYC165" s="7"/>
      <c r="RYD165" s="7"/>
      <c r="RYE165" s="7"/>
      <c r="RYF165" s="7"/>
      <c r="RYG165" s="7"/>
      <c r="RYH165" s="7"/>
      <c r="RYI165" s="7"/>
      <c r="RYJ165" s="7"/>
      <c r="RYK165" s="7"/>
      <c r="RYL165" s="7"/>
      <c r="RYM165" s="7"/>
      <c r="RYN165" s="7"/>
      <c r="RYO165" s="7"/>
      <c r="RYP165" s="7"/>
      <c r="RYQ165" s="7"/>
      <c r="RYR165" s="7"/>
      <c r="RYS165" s="7"/>
      <c r="RYT165" s="7"/>
      <c r="RYU165" s="7"/>
      <c r="RYV165" s="7"/>
      <c r="RYW165" s="7"/>
      <c r="RYX165" s="7"/>
      <c r="RYY165" s="7"/>
      <c r="RYZ165" s="7"/>
      <c r="RZA165" s="7"/>
      <c r="RZB165" s="7"/>
      <c r="RZC165" s="7"/>
      <c r="RZD165" s="7"/>
      <c r="RZE165" s="7"/>
      <c r="RZF165" s="7"/>
      <c r="RZG165" s="7"/>
      <c r="RZH165" s="7"/>
      <c r="RZI165" s="7"/>
      <c r="RZJ165" s="7"/>
      <c r="RZK165" s="7"/>
      <c r="RZL165" s="7"/>
      <c r="RZM165" s="7"/>
      <c r="RZN165" s="7"/>
      <c r="RZO165" s="7"/>
      <c r="RZP165" s="7"/>
      <c r="RZQ165" s="7"/>
      <c r="RZR165" s="7"/>
      <c r="RZS165" s="7"/>
      <c r="RZT165" s="7"/>
      <c r="RZU165" s="7"/>
      <c r="RZV165" s="7"/>
      <c r="RZW165" s="7"/>
      <c r="RZX165" s="7"/>
      <c r="RZY165" s="7"/>
      <c r="RZZ165" s="7"/>
      <c r="SAA165" s="7"/>
      <c r="SAB165" s="7"/>
      <c r="SAC165" s="7"/>
      <c r="SAD165" s="7"/>
      <c r="SAE165" s="7"/>
      <c r="SAF165" s="7"/>
      <c r="SAG165" s="7"/>
      <c r="SAH165" s="7"/>
      <c r="SAI165" s="7"/>
      <c r="SAJ165" s="7"/>
      <c r="SAK165" s="7"/>
      <c r="SAL165" s="7"/>
      <c r="SAM165" s="7"/>
      <c r="SAN165" s="7"/>
      <c r="SAO165" s="7"/>
      <c r="SAP165" s="7"/>
      <c r="SAQ165" s="7"/>
      <c r="SAR165" s="7"/>
      <c r="SAS165" s="7"/>
      <c r="SAT165" s="7"/>
      <c r="SAU165" s="7"/>
      <c r="SAV165" s="7"/>
      <c r="SAW165" s="7"/>
      <c r="SAX165" s="7"/>
      <c r="SAY165" s="7"/>
      <c r="SAZ165" s="7"/>
      <c r="SBA165" s="7"/>
      <c r="SBB165" s="7"/>
      <c r="SBC165" s="7"/>
      <c r="SBD165" s="7"/>
      <c r="SBE165" s="7"/>
      <c r="SBF165" s="7"/>
      <c r="SBG165" s="7"/>
      <c r="SBH165" s="7"/>
      <c r="SBI165" s="7"/>
      <c r="SBJ165" s="7"/>
      <c r="SBK165" s="7"/>
      <c r="SBL165" s="7"/>
      <c r="SBM165" s="7"/>
      <c r="SBN165" s="7"/>
      <c r="SBO165" s="7"/>
      <c r="SBP165" s="7"/>
      <c r="SBQ165" s="7"/>
      <c r="SBR165" s="7"/>
      <c r="SBS165" s="7"/>
      <c r="SBT165" s="7"/>
      <c r="SBU165" s="7"/>
      <c r="SBV165" s="7"/>
      <c r="SBW165" s="7"/>
      <c r="SBX165" s="7"/>
      <c r="SBY165" s="7"/>
      <c r="SBZ165" s="7"/>
      <c r="SCA165" s="7"/>
      <c r="SCB165" s="7"/>
      <c r="SCC165" s="7"/>
      <c r="SCD165" s="7"/>
      <c r="SCE165" s="7"/>
      <c r="SCF165" s="7"/>
      <c r="SCG165" s="7"/>
      <c r="SCH165" s="7"/>
      <c r="SCI165" s="7"/>
      <c r="SCJ165" s="7"/>
      <c r="SCK165" s="7"/>
      <c r="SCL165" s="7"/>
      <c r="SCM165" s="7"/>
      <c r="SCN165" s="7"/>
      <c r="SCO165" s="7"/>
      <c r="SCP165" s="7"/>
      <c r="SCQ165" s="7"/>
      <c r="SCR165" s="7"/>
      <c r="SCS165" s="7"/>
      <c r="SCT165" s="7"/>
      <c r="SCU165" s="7"/>
      <c r="SCV165" s="7"/>
      <c r="SCW165" s="7"/>
      <c r="SCX165" s="7"/>
      <c r="SCY165" s="7"/>
      <c r="SCZ165" s="7"/>
      <c r="SDA165" s="7"/>
      <c r="SDB165" s="7"/>
      <c r="SDC165" s="7"/>
      <c r="SDD165" s="7"/>
      <c r="SDE165" s="7"/>
      <c r="SDF165" s="7"/>
      <c r="SDG165" s="7"/>
      <c r="SDH165" s="7"/>
      <c r="SDI165" s="7"/>
      <c r="SDJ165" s="7"/>
      <c r="SDK165" s="7"/>
      <c r="SDL165" s="7"/>
      <c r="SDM165" s="7"/>
      <c r="SDN165" s="7"/>
      <c r="SDO165" s="7"/>
      <c r="SDP165" s="7"/>
      <c r="SDQ165" s="7"/>
      <c r="SDR165" s="7"/>
      <c r="SDS165" s="7"/>
      <c r="SDT165" s="7"/>
      <c r="SDU165" s="7"/>
      <c r="SDV165" s="7"/>
      <c r="SDW165" s="7"/>
      <c r="SDX165" s="7"/>
      <c r="SDY165" s="7"/>
      <c r="SDZ165" s="7"/>
      <c r="SEA165" s="7"/>
      <c r="SEB165" s="7"/>
      <c r="SEC165" s="7"/>
      <c r="SED165" s="7"/>
      <c r="SEE165" s="7"/>
      <c r="SEF165" s="7"/>
      <c r="SEG165" s="7"/>
      <c r="SEH165" s="7"/>
      <c r="SEI165" s="7"/>
      <c r="SEJ165" s="7"/>
      <c r="SEK165" s="7"/>
      <c r="SEL165" s="7"/>
      <c r="SEM165" s="7"/>
      <c r="SEN165" s="7"/>
      <c r="SEO165" s="7"/>
      <c r="SEP165" s="7"/>
      <c r="SEQ165" s="7"/>
      <c r="SER165" s="7"/>
      <c r="SES165" s="7"/>
      <c r="SET165" s="7"/>
      <c r="SEU165" s="7"/>
      <c r="SEV165" s="7"/>
      <c r="SEW165" s="7"/>
      <c r="SEX165" s="7"/>
      <c r="SEY165" s="7"/>
      <c r="SEZ165" s="7"/>
      <c r="SFA165" s="7"/>
      <c r="SFB165" s="7"/>
      <c r="SFC165" s="7"/>
      <c r="SFD165" s="7"/>
      <c r="SFE165" s="7"/>
      <c r="SFF165" s="7"/>
      <c r="SFG165" s="7"/>
      <c r="SFH165" s="7"/>
      <c r="SFI165" s="7"/>
      <c r="SFJ165" s="7"/>
      <c r="SFK165" s="7"/>
      <c r="SFL165" s="7"/>
      <c r="SFM165" s="7"/>
      <c r="SFN165" s="7"/>
      <c r="SFO165" s="7"/>
      <c r="SFP165" s="7"/>
      <c r="SFQ165" s="7"/>
      <c r="SFR165" s="7"/>
      <c r="SFS165" s="7"/>
      <c r="SFT165" s="7"/>
      <c r="SFU165" s="7"/>
      <c r="SFV165" s="7"/>
      <c r="SFW165" s="7"/>
      <c r="SFX165" s="7"/>
      <c r="SFY165" s="7"/>
      <c r="SFZ165" s="7"/>
      <c r="SGA165" s="7"/>
      <c r="SGB165" s="7"/>
      <c r="SGC165" s="7"/>
      <c r="SGD165" s="7"/>
      <c r="SGE165" s="7"/>
      <c r="SGF165" s="7"/>
      <c r="SGG165" s="7"/>
      <c r="SGH165" s="7"/>
      <c r="SGI165" s="7"/>
      <c r="SGJ165" s="7"/>
      <c r="SGK165" s="7"/>
      <c r="SGL165" s="7"/>
      <c r="SGM165" s="7"/>
      <c r="SGN165" s="7"/>
      <c r="SGO165" s="7"/>
      <c r="SGP165" s="7"/>
      <c r="SGQ165" s="7"/>
      <c r="SGR165" s="7"/>
      <c r="SGS165" s="7"/>
      <c r="SGT165" s="7"/>
      <c r="SGU165" s="7"/>
      <c r="SGV165" s="7"/>
      <c r="SGW165" s="7"/>
      <c r="SGX165" s="7"/>
      <c r="SGY165" s="7"/>
      <c r="SGZ165" s="7"/>
      <c r="SHA165" s="7"/>
      <c r="SHB165" s="7"/>
      <c r="SHC165" s="7"/>
      <c r="SHD165" s="7"/>
      <c r="SHE165" s="7"/>
      <c r="SHF165" s="7"/>
      <c r="SHG165" s="7"/>
      <c r="SHH165" s="7"/>
      <c r="SHI165" s="7"/>
      <c r="SHJ165" s="7"/>
      <c r="SHK165" s="7"/>
      <c r="SHL165" s="7"/>
      <c r="SHM165" s="7"/>
      <c r="SHN165" s="7"/>
      <c r="SHO165" s="7"/>
      <c r="SHP165" s="7"/>
      <c r="SHQ165" s="7"/>
      <c r="SHR165" s="7"/>
      <c r="SHS165" s="7"/>
      <c r="SHT165" s="7"/>
      <c r="SHU165" s="7"/>
      <c r="SHV165" s="7"/>
      <c r="SHW165" s="7"/>
      <c r="SHX165" s="7"/>
      <c r="SHY165" s="7"/>
      <c r="SHZ165" s="7"/>
      <c r="SIA165" s="7"/>
      <c r="SIB165" s="7"/>
      <c r="SIC165" s="7"/>
      <c r="SID165" s="7"/>
      <c r="SIE165" s="7"/>
      <c r="SIF165" s="7"/>
      <c r="SIG165" s="7"/>
      <c r="SIH165" s="7"/>
      <c r="SII165" s="7"/>
      <c r="SIJ165" s="7"/>
      <c r="SIK165" s="7"/>
      <c r="SIL165" s="7"/>
      <c r="SIM165" s="7"/>
      <c r="SIN165" s="7"/>
      <c r="SIO165" s="7"/>
      <c r="SIP165" s="7"/>
      <c r="SIQ165" s="7"/>
      <c r="SIR165" s="7"/>
      <c r="SIS165" s="7"/>
      <c r="SIT165" s="7"/>
      <c r="SIU165" s="7"/>
      <c r="SIV165" s="7"/>
      <c r="SIW165" s="7"/>
      <c r="SIX165" s="7"/>
      <c r="SIY165" s="7"/>
      <c r="SIZ165" s="7"/>
      <c r="SJA165" s="7"/>
      <c r="SJB165" s="7"/>
      <c r="SJC165" s="7"/>
      <c r="SJD165" s="7"/>
      <c r="SJE165" s="7"/>
      <c r="SJF165" s="7"/>
      <c r="SJG165" s="7"/>
      <c r="SJH165" s="7"/>
      <c r="SJI165" s="7"/>
      <c r="SJJ165" s="7"/>
      <c r="SJK165" s="7"/>
      <c r="SJL165" s="7"/>
      <c r="SJM165" s="7"/>
      <c r="SJN165" s="7"/>
      <c r="SJO165" s="7"/>
      <c r="SJP165" s="7"/>
      <c r="SJQ165" s="7"/>
      <c r="SJR165" s="7"/>
      <c r="SJS165" s="7"/>
      <c r="SJT165" s="7"/>
      <c r="SJU165" s="7"/>
      <c r="SJV165" s="7"/>
      <c r="SJW165" s="7"/>
      <c r="SJX165" s="7"/>
      <c r="SJY165" s="7"/>
      <c r="SJZ165" s="7"/>
      <c r="SKA165" s="7"/>
      <c r="SKB165" s="7"/>
      <c r="SKC165" s="7"/>
      <c r="SKD165" s="7"/>
      <c r="SKE165" s="7"/>
      <c r="SKF165" s="7"/>
      <c r="SKG165" s="7"/>
      <c r="SKH165" s="7"/>
      <c r="SKI165" s="7"/>
      <c r="SKJ165" s="7"/>
      <c r="SKK165" s="7"/>
      <c r="SKL165" s="7"/>
      <c r="SKM165" s="7"/>
      <c r="SKN165" s="7"/>
      <c r="SKO165" s="7"/>
      <c r="SKP165" s="7"/>
      <c r="SKQ165" s="7"/>
      <c r="SKR165" s="7"/>
      <c r="SKS165" s="7"/>
      <c r="SKT165" s="7"/>
      <c r="SKU165" s="7"/>
      <c r="SKV165" s="7"/>
      <c r="SKW165" s="7"/>
      <c r="SKX165" s="7"/>
      <c r="SKY165" s="7"/>
      <c r="SKZ165" s="7"/>
      <c r="SLA165" s="7"/>
      <c r="SLB165" s="7"/>
      <c r="SLC165" s="7"/>
      <c r="SLD165" s="7"/>
      <c r="SLE165" s="7"/>
      <c r="SLF165" s="7"/>
      <c r="SLG165" s="7"/>
      <c r="SLH165" s="7"/>
      <c r="SLI165" s="7"/>
      <c r="SLJ165" s="7"/>
      <c r="SLK165" s="7"/>
      <c r="SLL165" s="7"/>
      <c r="SLM165" s="7"/>
      <c r="SLN165" s="7"/>
      <c r="SLO165" s="7"/>
      <c r="SLP165" s="7"/>
      <c r="SLQ165" s="7"/>
      <c r="SLR165" s="7"/>
      <c r="SLS165" s="7"/>
      <c r="SLT165" s="7"/>
      <c r="SLU165" s="7"/>
      <c r="SLV165" s="7"/>
      <c r="SLW165" s="7"/>
      <c r="SLX165" s="7"/>
      <c r="SLY165" s="7"/>
      <c r="SLZ165" s="7"/>
      <c r="SMA165" s="7"/>
      <c r="SMB165" s="7"/>
      <c r="SMC165" s="7"/>
      <c r="SMD165" s="7"/>
      <c r="SME165" s="7"/>
      <c r="SMF165" s="7"/>
      <c r="SMG165" s="7"/>
      <c r="SMH165" s="7"/>
      <c r="SMI165" s="7"/>
      <c r="SMJ165" s="7"/>
      <c r="SMK165" s="7"/>
      <c r="SML165" s="7"/>
      <c r="SMM165" s="7"/>
      <c r="SMN165" s="7"/>
      <c r="SMO165" s="7"/>
      <c r="SMP165" s="7"/>
      <c r="SMQ165" s="7"/>
      <c r="SMR165" s="7"/>
      <c r="SMS165" s="7"/>
      <c r="SMT165" s="7"/>
      <c r="SMU165" s="7"/>
      <c r="SMV165" s="7"/>
      <c r="SMW165" s="7"/>
      <c r="SMX165" s="7"/>
      <c r="SMY165" s="7"/>
      <c r="SMZ165" s="7"/>
      <c r="SNA165" s="7"/>
      <c r="SNB165" s="7"/>
      <c r="SNC165" s="7"/>
      <c r="SND165" s="7"/>
      <c r="SNE165" s="7"/>
      <c r="SNF165" s="7"/>
      <c r="SNG165" s="7"/>
      <c r="SNH165" s="7"/>
      <c r="SNI165" s="7"/>
      <c r="SNJ165" s="7"/>
      <c r="SNK165" s="7"/>
      <c r="SNL165" s="7"/>
      <c r="SNM165" s="7"/>
      <c r="SNN165" s="7"/>
      <c r="SNO165" s="7"/>
      <c r="SNP165" s="7"/>
      <c r="SNQ165" s="7"/>
      <c r="SNR165" s="7"/>
      <c r="SNS165" s="7"/>
      <c r="SNT165" s="7"/>
      <c r="SNU165" s="7"/>
      <c r="SNV165" s="7"/>
      <c r="SNW165" s="7"/>
      <c r="SNX165" s="7"/>
      <c r="SNY165" s="7"/>
      <c r="SNZ165" s="7"/>
      <c r="SOA165" s="7"/>
      <c r="SOB165" s="7"/>
      <c r="SOC165" s="7"/>
      <c r="SOD165" s="7"/>
      <c r="SOE165" s="7"/>
      <c r="SOF165" s="7"/>
      <c r="SOG165" s="7"/>
      <c r="SOH165" s="7"/>
      <c r="SOI165" s="7"/>
      <c r="SOJ165" s="7"/>
      <c r="SOK165" s="7"/>
      <c r="SOL165" s="7"/>
      <c r="SOM165" s="7"/>
      <c r="SON165" s="7"/>
      <c r="SOO165" s="7"/>
      <c r="SOP165" s="7"/>
      <c r="SOQ165" s="7"/>
      <c r="SOR165" s="7"/>
      <c r="SOS165" s="7"/>
      <c r="SOT165" s="7"/>
      <c r="SOU165" s="7"/>
      <c r="SOV165" s="7"/>
      <c r="SOW165" s="7"/>
      <c r="SOX165" s="7"/>
      <c r="SOY165" s="7"/>
      <c r="SOZ165" s="7"/>
      <c r="SPA165" s="7"/>
      <c r="SPB165" s="7"/>
      <c r="SPC165" s="7"/>
      <c r="SPD165" s="7"/>
      <c r="SPE165" s="7"/>
      <c r="SPF165" s="7"/>
      <c r="SPG165" s="7"/>
      <c r="SPH165" s="7"/>
      <c r="SPI165" s="7"/>
      <c r="SPJ165" s="7"/>
      <c r="SPK165" s="7"/>
      <c r="SPL165" s="7"/>
      <c r="SPM165" s="7"/>
      <c r="SPN165" s="7"/>
      <c r="SPO165" s="7"/>
      <c r="SPP165" s="7"/>
      <c r="SPQ165" s="7"/>
      <c r="SPR165" s="7"/>
      <c r="SPS165" s="7"/>
      <c r="SPT165" s="7"/>
      <c r="SPU165" s="7"/>
      <c r="SPV165" s="7"/>
      <c r="SPW165" s="7"/>
      <c r="SPX165" s="7"/>
      <c r="SPY165" s="7"/>
      <c r="SPZ165" s="7"/>
      <c r="SQA165" s="7"/>
      <c r="SQB165" s="7"/>
      <c r="SQC165" s="7"/>
      <c r="SQD165" s="7"/>
      <c r="SQE165" s="7"/>
      <c r="SQF165" s="7"/>
      <c r="SQG165" s="7"/>
      <c r="SQH165" s="7"/>
      <c r="SQI165" s="7"/>
      <c r="SQJ165" s="7"/>
      <c r="SQK165" s="7"/>
      <c r="SQL165" s="7"/>
      <c r="SQM165" s="7"/>
      <c r="SQN165" s="7"/>
      <c r="SQO165" s="7"/>
      <c r="SQP165" s="7"/>
      <c r="SQQ165" s="7"/>
      <c r="SQR165" s="7"/>
      <c r="SQS165" s="7"/>
      <c r="SQT165" s="7"/>
      <c r="SQU165" s="7"/>
      <c r="SQV165" s="7"/>
      <c r="SQW165" s="7"/>
      <c r="SQX165" s="7"/>
      <c r="SQY165" s="7"/>
      <c r="SQZ165" s="7"/>
      <c r="SRA165" s="7"/>
      <c r="SRB165" s="7"/>
      <c r="SRC165" s="7"/>
      <c r="SRD165" s="7"/>
      <c r="SRE165" s="7"/>
      <c r="SRF165" s="7"/>
      <c r="SRG165" s="7"/>
      <c r="SRH165" s="7"/>
      <c r="SRI165" s="7"/>
      <c r="SRJ165" s="7"/>
      <c r="SRK165" s="7"/>
      <c r="SRL165" s="7"/>
      <c r="SRM165" s="7"/>
      <c r="SRN165" s="7"/>
      <c r="SRO165" s="7"/>
      <c r="SRP165" s="7"/>
      <c r="SRQ165" s="7"/>
      <c r="SRR165" s="7"/>
      <c r="SRS165" s="7"/>
      <c r="SRT165" s="7"/>
      <c r="SRU165" s="7"/>
      <c r="SRV165" s="7"/>
      <c r="SRW165" s="7"/>
      <c r="SRX165" s="7"/>
      <c r="SRY165" s="7"/>
      <c r="SRZ165" s="7"/>
      <c r="SSA165" s="7"/>
      <c r="SSB165" s="7"/>
      <c r="SSC165" s="7"/>
      <c r="SSD165" s="7"/>
      <c r="SSE165" s="7"/>
      <c r="SSF165" s="7"/>
      <c r="SSG165" s="7"/>
      <c r="SSH165" s="7"/>
      <c r="SSI165" s="7"/>
      <c r="SSJ165" s="7"/>
      <c r="SSK165" s="7"/>
      <c r="SSL165" s="7"/>
      <c r="SSM165" s="7"/>
      <c r="SSN165" s="7"/>
      <c r="SSO165" s="7"/>
      <c r="SSP165" s="7"/>
      <c r="SSQ165" s="7"/>
      <c r="SSR165" s="7"/>
      <c r="SSS165" s="7"/>
      <c r="SST165" s="7"/>
      <c r="SSU165" s="7"/>
      <c r="SSV165" s="7"/>
      <c r="SSW165" s="7"/>
      <c r="SSX165" s="7"/>
      <c r="SSY165" s="7"/>
      <c r="SSZ165" s="7"/>
      <c r="STA165" s="7"/>
      <c r="STB165" s="7"/>
      <c r="STC165" s="7"/>
      <c r="STD165" s="7"/>
      <c r="STE165" s="7"/>
      <c r="STF165" s="7"/>
      <c r="STG165" s="7"/>
      <c r="STH165" s="7"/>
      <c r="STI165" s="7"/>
      <c r="STJ165" s="7"/>
      <c r="STK165" s="7"/>
      <c r="STL165" s="7"/>
      <c r="STM165" s="7"/>
      <c r="STN165" s="7"/>
      <c r="STO165" s="7"/>
      <c r="STP165" s="7"/>
      <c r="STQ165" s="7"/>
      <c r="STR165" s="7"/>
      <c r="STS165" s="7"/>
      <c r="STT165" s="7"/>
      <c r="STU165" s="7"/>
      <c r="STV165" s="7"/>
      <c r="STW165" s="7"/>
      <c r="STX165" s="7"/>
      <c r="STY165" s="7"/>
      <c r="STZ165" s="7"/>
      <c r="SUA165" s="7"/>
      <c r="SUB165" s="7"/>
      <c r="SUC165" s="7"/>
      <c r="SUD165" s="7"/>
      <c r="SUE165" s="7"/>
      <c r="SUF165" s="7"/>
      <c r="SUG165" s="7"/>
      <c r="SUH165" s="7"/>
      <c r="SUI165" s="7"/>
      <c r="SUJ165" s="7"/>
      <c r="SUK165" s="7"/>
      <c r="SUL165" s="7"/>
      <c r="SUM165" s="7"/>
      <c r="SUN165" s="7"/>
      <c r="SUO165" s="7"/>
      <c r="SUP165" s="7"/>
      <c r="SUQ165" s="7"/>
      <c r="SUR165" s="7"/>
      <c r="SUS165" s="7"/>
      <c r="SUT165" s="7"/>
      <c r="SUU165" s="7"/>
      <c r="SUV165" s="7"/>
      <c r="SUW165" s="7"/>
      <c r="SUX165" s="7"/>
      <c r="SUY165" s="7"/>
      <c r="SUZ165" s="7"/>
      <c r="SVA165" s="7"/>
      <c r="SVB165" s="7"/>
      <c r="SVC165" s="7"/>
      <c r="SVD165" s="7"/>
      <c r="SVE165" s="7"/>
      <c r="SVF165" s="7"/>
      <c r="SVG165" s="7"/>
      <c r="SVH165" s="7"/>
      <c r="SVI165" s="7"/>
      <c r="SVJ165" s="7"/>
      <c r="SVK165" s="7"/>
      <c r="SVL165" s="7"/>
      <c r="SVM165" s="7"/>
      <c r="SVN165" s="7"/>
      <c r="SVO165" s="7"/>
      <c r="SVP165" s="7"/>
      <c r="SVQ165" s="7"/>
      <c r="SVR165" s="7"/>
      <c r="SVS165" s="7"/>
      <c r="SVT165" s="7"/>
      <c r="SVU165" s="7"/>
      <c r="SVV165" s="7"/>
      <c r="SVW165" s="7"/>
      <c r="SVX165" s="7"/>
      <c r="SVY165" s="7"/>
      <c r="SVZ165" s="7"/>
      <c r="SWA165" s="7"/>
      <c r="SWB165" s="7"/>
      <c r="SWC165" s="7"/>
      <c r="SWD165" s="7"/>
      <c r="SWE165" s="7"/>
      <c r="SWF165" s="7"/>
      <c r="SWG165" s="7"/>
      <c r="SWH165" s="7"/>
      <c r="SWI165" s="7"/>
      <c r="SWJ165" s="7"/>
      <c r="SWK165" s="7"/>
      <c r="SWL165" s="7"/>
      <c r="SWM165" s="7"/>
      <c r="SWN165" s="7"/>
      <c r="SWO165" s="7"/>
      <c r="SWP165" s="7"/>
      <c r="SWQ165" s="7"/>
      <c r="SWR165" s="7"/>
      <c r="SWS165" s="7"/>
      <c r="SWT165" s="7"/>
      <c r="SWU165" s="7"/>
      <c r="SWV165" s="7"/>
      <c r="SWW165" s="7"/>
      <c r="SWX165" s="7"/>
      <c r="SWY165" s="7"/>
      <c r="SWZ165" s="7"/>
      <c r="SXA165" s="7"/>
      <c r="SXB165" s="7"/>
      <c r="SXC165" s="7"/>
      <c r="SXD165" s="7"/>
      <c r="SXE165" s="7"/>
      <c r="SXF165" s="7"/>
      <c r="SXG165" s="7"/>
      <c r="SXH165" s="7"/>
      <c r="SXI165" s="7"/>
      <c r="SXJ165" s="7"/>
      <c r="SXK165" s="7"/>
      <c r="SXL165" s="7"/>
      <c r="SXM165" s="7"/>
      <c r="SXN165" s="7"/>
      <c r="SXO165" s="7"/>
      <c r="SXP165" s="7"/>
      <c r="SXQ165" s="7"/>
      <c r="SXR165" s="7"/>
      <c r="SXS165" s="7"/>
      <c r="SXT165" s="7"/>
      <c r="SXU165" s="7"/>
      <c r="SXV165" s="7"/>
      <c r="SXW165" s="7"/>
      <c r="SXX165" s="7"/>
      <c r="SXY165" s="7"/>
      <c r="SXZ165" s="7"/>
      <c r="SYA165" s="7"/>
      <c r="SYB165" s="7"/>
      <c r="SYC165" s="7"/>
      <c r="SYD165" s="7"/>
      <c r="SYE165" s="7"/>
      <c r="SYF165" s="7"/>
      <c r="SYG165" s="7"/>
      <c r="SYH165" s="7"/>
      <c r="SYI165" s="7"/>
      <c r="SYJ165" s="7"/>
      <c r="SYK165" s="7"/>
      <c r="SYL165" s="7"/>
      <c r="SYM165" s="7"/>
      <c r="SYN165" s="7"/>
      <c r="SYO165" s="7"/>
      <c r="SYP165" s="7"/>
      <c r="SYQ165" s="7"/>
      <c r="SYR165" s="7"/>
      <c r="SYS165" s="7"/>
      <c r="SYT165" s="7"/>
      <c r="SYU165" s="7"/>
      <c r="SYV165" s="7"/>
      <c r="SYW165" s="7"/>
      <c r="SYX165" s="7"/>
      <c r="SYY165" s="7"/>
      <c r="SYZ165" s="7"/>
      <c r="SZA165" s="7"/>
      <c r="SZB165" s="7"/>
      <c r="SZC165" s="7"/>
      <c r="SZD165" s="7"/>
      <c r="SZE165" s="7"/>
      <c r="SZF165" s="7"/>
      <c r="SZG165" s="7"/>
      <c r="SZH165" s="7"/>
      <c r="SZI165" s="7"/>
      <c r="SZJ165" s="7"/>
      <c r="SZK165" s="7"/>
      <c r="SZL165" s="7"/>
      <c r="SZM165" s="7"/>
      <c r="SZN165" s="7"/>
      <c r="SZO165" s="7"/>
      <c r="SZP165" s="7"/>
      <c r="SZQ165" s="7"/>
      <c r="SZR165" s="7"/>
      <c r="SZS165" s="7"/>
      <c r="SZT165" s="7"/>
      <c r="SZU165" s="7"/>
      <c r="SZV165" s="7"/>
      <c r="SZW165" s="7"/>
      <c r="SZX165" s="7"/>
      <c r="SZY165" s="7"/>
      <c r="SZZ165" s="7"/>
      <c r="TAA165" s="7"/>
      <c r="TAB165" s="7"/>
      <c r="TAC165" s="7"/>
      <c r="TAD165" s="7"/>
      <c r="TAE165" s="7"/>
      <c r="TAF165" s="7"/>
      <c r="TAG165" s="7"/>
      <c r="TAH165" s="7"/>
      <c r="TAI165" s="7"/>
      <c r="TAJ165" s="7"/>
      <c r="TAK165" s="7"/>
      <c r="TAL165" s="7"/>
      <c r="TAM165" s="7"/>
      <c r="TAN165" s="7"/>
      <c r="TAO165" s="7"/>
      <c r="TAP165" s="7"/>
      <c r="TAQ165" s="7"/>
      <c r="TAR165" s="7"/>
      <c r="TAS165" s="7"/>
      <c r="TAT165" s="7"/>
      <c r="TAU165" s="7"/>
      <c r="TAV165" s="7"/>
      <c r="TAW165" s="7"/>
      <c r="TAX165" s="7"/>
      <c r="TAY165" s="7"/>
      <c r="TAZ165" s="7"/>
      <c r="TBA165" s="7"/>
      <c r="TBB165" s="7"/>
      <c r="TBC165" s="7"/>
      <c r="TBD165" s="7"/>
      <c r="TBE165" s="7"/>
      <c r="TBF165" s="7"/>
      <c r="TBG165" s="7"/>
      <c r="TBH165" s="7"/>
      <c r="TBI165" s="7"/>
      <c r="TBJ165" s="7"/>
      <c r="TBK165" s="7"/>
      <c r="TBL165" s="7"/>
      <c r="TBM165" s="7"/>
      <c r="TBN165" s="7"/>
      <c r="TBO165" s="7"/>
      <c r="TBP165" s="7"/>
      <c r="TBQ165" s="7"/>
      <c r="TBR165" s="7"/>
      <c r="TBS165" s="7"/>
      <c r="TBT165" s="7"/>
      <c r="TBU165" s="7"/>
      <c r="TBV165" s="7"/>
      <c r="TBW165" s="7"/>
      <c r="TBX165" s="7"/>
      <c r="TBY165" s="7"/>
      <c r="TBZ165" s="7"/>
      <c r="TCA165" s="7"/>
      <c r="TCB165" s="7"/>
      <c r="TCC165" s="7"/>
      <c r="TCD165" s="7"/>
      <c r="TCE165" s="7"/>
      <c r="TCF165" s="7"/>
      <c r="TCG165" s="7"/>
      <c r="TCH165" s="7"/>
      <c r="TCI165" s="7"/>
      <c r="TCJ165" s="7"/>
      <c r="TCK165" s="7"/>
      <c r="TCL165" s="7"/>
      <c r="TCM165" s="7"/>
      <c r="TCN165" s="7"/>
      <c r="TCO165" s="7"/>
      <c r="TCP165" s="7"/>
      <c r="TCQ165" s="7"/>
      <c r="TCR165" s="7"/>
      <c r="TCS165" s="7"/>
      <c r="TCT165" s="7"/>
      <c r="TCU165" s="7"/>
      <c r="TCV165" s="7"/>
      <c r="TCW165" s="7"/>
      <c r="TCX165" s="7"/>
      <c r="TCY165" s="7"/>
      <c r="TCZ165" s="7"/>
      <c r="TDA165" s="7"/>
      <c r="TDB165" s="7"/>
      <c r="TDC165" s="7"/>
      <c r="TDD165" s="7"/>
      <c r="TDE165" s="7"/>
      <c r="TDF165" s="7"/>
      <c r="TDG165" s="7"/>
      <c r="TDH165" s="7"/>
      <c r="TDI165" s="7"/>
      <c r="TDJ165" s="7"/>
      <c r="TDK165" s="7"/>
      <c r="TDL165" s="7"/>
      <c r="TDM165" s="7"/>
      <c r="TDN165" s="7"/>
      <c r="TDO165" s="7"/>
      <c r="TDP165" s="7"/>
      <c r="TDQ165" s="7"/>
      <c r="TDR165" s="7"/>
      <c r="TDS165" s="7"/>
      <c r="TDT165" s="7"/>
      <c r="TDU165" s="7"/>
      <c r="TDV165" s="7"/>
      <c r="TDW165" s="7"/>
      <c r="TDX165" s="7"/>
      <c r="TDY165" s="7"/>
      <c r="TDZ165" s="7"/>
      <c r="TEA165" s="7"/>
      <c r="TEB165" s="7"/>
      <c r="TEC165" s="7"/>
      <c r="TED165" s="7"/>
      <c r="TEE165" s="7"/>
      <c r="TEF165" s="7"/>
      <c r="TEG165" s="7"/>
      <c r="TEH165" s="7"/>
      <c r="TEI165" s="7"/>
      <c r="TEJ165" s="7"/>
      <c r="TEK165" s="7"/>
      <c r="TEL165" s="7"/>
      <c r="TEM165" s="7"/>
      <c r="TEN165" s="7"/>
      <c r="TEO165" s="7"/>
      <c r="TEP165" s="7"/>
      <c r="TEQ165" s="7"/>
      <c r="TER165" s="7"/>
      <c r="TES165" s="7"/>
      <c r="TET165" s="7"/>
      <c r="TEU165" s="7"/>
      <c r="TEV165" s="7"/>
      <c r="TEW165" s="7"/>
      <c r="TEX165" s="7"/>
      <c r="TEY165" s="7"/>
      <c r="TEZ165" s="7"/>
      <c r="TFA165" s="7"/>
      <c r="TFB165" s="7"/>
      <c r="TFC165" s="7"/>
      <c r="TFD165" s="7"/>
      <c r="TFE165" s="7"/>
      <c r="TFF165" s="7"/>
      <c r="TFG165" s="7"/>
      <c r="TFH165" s="7"/>
      <c r="TFI165" s="7"/>
      <c r="TFJ165" s="7"/>
      <c r="TFK165" s="7"/>
      <c r="TFL165" s="7"/>
      <c r="TFM165" s="7"/>
      <c r="TFN165" s="7"/>
      <c r="TFO165" s="7"/>
      <c r="TFP165" s="7"/>
      <c r="TFQ165" s="7"/>
      <c r="TFR165" s="7"/>
      <c r="TFS165" s="7"/>
      <c r="TFT165" s="7"/>
      <c r="TFU165" s="7"/>
      <c r="TFV165" s="7"/>
      <c r="TFW165" s="7"/>
      <c r="TFX165" s="7"/>
      <c r="TFY165" s="7"/>
      <c r="TFZ165" s="7"/>
      <c r="TGA165" s="7"/>
      <c r="TGB165" s="7"/>
      <c r="TGC165" s="7"/>
      <c r="TGD165" s="7"/>
      <c r="TGE165" s="7"/>
      <c r="TGF165" s="7"/>
      <c r="TGG165" s="7"/>
      <c r="TGH165" s="7"/>
      <c r="TGI165" s="7"/>
      <c r="TGJ165" s="7"/>
      <c r="TGK165" s="7"/>
      <c r="TGL165" s="7"/>
      <c r="TGM165" s="7"/>
      <c r="TGN165" s="7"/>
      <c r="TGO165" s="7"/>
      <c r="TGP165" s="7"/>
      <c r="TGQ165" s="7"/>
      <c r="TGR165" s="7"/>
      <c r="TGS165" s="7"/>
      <c r="TGT165" s="7"/>
      <c r="TGU165" s="7"/>
      <c r="TGV165" s="7"/>
      <c r="TGW165" s="7"/>
      <c r="TGX165" s="7"/>
      <c r="TGY165" s="7"/>
      <c r="TGZ165" s="7"/>
      <c r="THA165" s="7"/>
      <c r="THB165" s="7"/>
      <c r="THC165" s="7"/>
      <c r="THD165" s="7"/>
      <c r="THE165" s="7"/>
      <c r="THF165" s="7"/>
      <c r="THG165" s="7"/>
      <c r="THH165" s="7"/>
      <c r="THI165" s="7"/>
      <c r="THJ165" s="7"/>
      <c r="THK165" s="7"/>
      <c r="THL165" s="7"/>
      <c r="THM165" s="7"/>
      <c r="THN165" s="7"/>
      <c r="THO165" s="7"/>
      <c r="THP165" s="7"/>
      <c r="THQ165" s="7"/>
      <c r="THR165" s="7"/>
      <c r="THS165" s="7"/>
      <c r="THT165" s="7"/>
      <c r="THU165" s="7"/>
      <c r="THV165" s="7"/>
      <c r="THW165" s="7"/>
      <c r="THX165" s="7"/>
      <c r="THY165" s="7"/>
      <c r="THZ165" s="7"/>
      <c r="TIA165" s="7"/>
      <c r="TIB165" s="7"/>
      <c r="TIC165" s="7"/>
      <c r="TID165" s="7"/>
      <c r="TIE165" s="7"/>
      <c r="TIF165" s="7"/>
      <c r="TIG165" s="7"/>
      <c r="TIH165" s="7"/>
      <c r="TII165" s="7"/>
      <c r="TIJ165" s="7"/>
      <c r="TIK165" s="7"/>
      <c r="TIL165" s="7"/>
      <c r="TIM165" s="7"/>
      <c r="TIN165" s="7"/>
      <c r="TIO165" s="7"/>
      <c r="TIP165" s="7"/>
      <c r="TIQ165" s="7"/>
      <c r="TIR165" s="7"/>
      <c r="TIS165" s="7"/>
      <c r="TIT165" s="7"/>
      <c r="TIU165" s="7"/>
      <c r="TIV165" s="7"/>
      <c r="TIW165" s="7"/>
      <c r="TIX165" s="7"/>
      <c r="TIY165" s="7"/>
      <c r="TIZ165" s="7"/>
      <c r="TJA165" s="7"/>
      <c r="TJB165" s="7"/>
      <c r="TJC165" s="7"/>
      <c r="TJD165" s="7"/>
      <c r="TJE165" s="7"/>
      <c r="TJF165" s="7"/>
      <c r="TJG165" s="7"/>
      <c r="TJH165" s="7"/>
      <c r="TJI165" s="7"/>
      <c r="TJJ165" s="7"/>
      <c r="TJK165" s="7"/>
      <c r="TJL165" s="7"/>
      <c r="TJM165" s="7"/>
      <c r="TJN165" s="7"/>
      <c r="TJO165" s="7"/>
      <c r="TJP165" s="7"/>
      <c r="TJQ165" s="7"/>
      <c r="TJR165" s="7"/>
      <c r="TJS165" s="7"/>
      <c r="TJT165" s="7"/>
      <c r="TJU165" s="7"/>
      <c r="TJV165" s="7"/>
      <c r="TJW165" s="7"/>
      <c r="TJX165" s="7"/>
      <c r="TJY165" s="7"/>
      <c r="TJZ165" s="7"/>
      <c r="TKA165" s="7"/>
      <c r="TKB165" s="7"/>
      <c r="TKC165" s="7"/>
      <c r="TKD165" s="7"/>
      <c r="TKE165" s="7"/>
      <c r="TKF165" s="7"/>
      <c r="TKG165" s="7"/>
      <c r="TKH165" s="7"/>
      <c r="TKI165" s="7"/>
      <c r="TKJ165" s="7"/>
      <c r="TKK165" s="7"/>
      <c r="TKL165" s="7"/>
      <c r="TKM165" s="7"/>
      <c r="TKN165" s="7"/>
      <c r="TKO165" s="7"/>
      <c r="TKP165" s="7"/>
      <c r="TKQ165" s="7"/>
      <c r="TKR165" s="7"/>
      <c r="TKS165" s="7"/>
      <c r="TKT165" s="7"/>
      <c r="TKU165" s="7"/>
      <c r="TKV165" s="7"/>
      <c r="TKW165" s="7"/>
      <c r="TKX165" s="7"/>
      <c r="TKY165" s="7"/>
      <c r="TKZ165" s="7"/>
      <c r="TLA165" s="7"/>
      <c r="TLB165" s="7"/>
      <c r="TLC165" s="7"/>
      <c r="TLD165" s="7"/>
      <c r="TLE165" s="7"/>
      <c r="TLF165" s="7"/>
      <c r="TLG165" s="7"/>
      <c r="TLH165" s="7"/>
      <c r="TLI165" s="7"/>
      <c r="TLJ165" s="7"/>
      <c r="TLK165" s="7"/>
      <c r="TLL165" s="7"/>
      <c r="TLM165" s="7"/>
      <c r="TLN165" s="7"/>
      <c r="TLO165" s="7"/>
      <c r="TLP165" s="7"/>
      <c r="TLQ165" s="7"/>
      <c r="TLR165" s="7"/>
      <c r="TLS165" s="7"/>
      <c r="TLT165" s="7"/>
      <c r="TLU165" s="7"/>
      <c r="TLV165" s="7"/>
      <c r="TLW165" s="7"/>
      <c r="TLX165" s="7"/>
      <c r="TLY165" s="7"/>
      <c r="TLZ165" s="7"/>
      <c r="TMA165" s="7"/>
      <c r="TMB165" s="7"/>
      <c r="TMC165" s="7"/>
      <c r="TMD165" s="7"/>
      <c r="TME165" s="7"/>
      <c r="TMF165" s="7"/>
      <c r="TMG165" s="7"/>
      <c r="TMH165" s="7"/>
      <c r="TMI165" s="7"/>
      <c r="TMJ165" s="7"/>
      <c r="TMK165" s="7"/>
      <c r="TML165" s="7"/>
      <c r="TMM165" s="7"/>
      <c r="TMN165" s="7"/>
      <c r="TMO165" s="7"/>
      <c r="TMP165" s="7"/>
      <c r="TMQ165" s="7"/>
      <c r="TMR165" s="7"/>
      <c r="TMS165" s="7"/>
      <c r="TMT165" s="7"/>
      <c r="TMU165" s="7"/>
      <c r="TMV165" s="7"/>
      <c r="TMW165" s="7"/>
      <c r="TMX165" s="7"/>
      <c r="TMY165" s="7"/>
      <c r="TMZ165" s="7"/>
      <c r="TNA165" s="7"/>
      <c r="TNB165" s="7"/>
      <c r="TNC165" s="7"/>
      <c r="TND165" s="7"/>
      <c r="TNE165" s="7"/>
      <c r="TNF165" s="7"/>
      <c r="TNG165" s="7"/>
      <c r="TNH165" s="7"/>
      <c r="TNI165" s="7"/>
      <c r="TNJ165" s="7"/>
      <c r="TNK165" s="7"/>
      <c r="TNL165" s="7"/>
      <c r="TNM165" s="7"/>
      <c r="TNN165" s="7"/>
      <c r="TNO165" s="7"/>
      <c r="TNP165" s="7"/>
      <c r="TNQ165" s="7"/>
      <c r="TNR165" s="7"/>
      <c r="TNS165" s="7"/>
      <c r="TNT165" s="7"/>
      <c r="TNU165" s="7"/>
      <c r="TNV165" s="7"/>
      <c r="TNW165" s="7"/>
      <c r="TNX165" s="7"/>
      <c r="TNY165" s="7"/>
      <c r="TNZ165" s="7"/>
      <c r="TOA165" s="7"/>
      <c r="TOB165" s="7"/>
      <c r="TOC165" s="7"/>
      <c r="TOD165" s="7"/>
      <c r="TOE165" s="7"/>
      <c r="TOF165" s="7"/>
      <c r="TOG165" s="7"/>
      <c r="TOH165" s="7"/>
      <c r="TOI165" s="7"/>
      <c r="TOJ165" s="7"/>
      <c r="TOK165" s="7"/>
      <c r="TOL165" s="7"/>
      <c r="TOM165" s="7"/>
      <c r="TON165" s="7"/>
      <c r="TOO165" s="7"/>
      <c r="TOP165" s="7"/>
      <c r="TOQ165" s="7"/>
      <c r="TOR165" s="7"/>
      <c r="TOS165" s="7"/>
      <c r="TOT165" s="7"/>
      <c r="TOU165" s="7"/>
      <c r="TOV165" s="7"/>
      <c r="TOW165" s="7"/>
      <c r="TOX165" s="7"/>
      <c r="TOY165" s="7"/>
      <c r="TOZ165" s="7"/>
      <c r="TPA165" s="7"/>
      <c r="TPB165" s="7"/>
      <c r="TPC165" s="7"/>
      <c r="TPD165" s="7"/>
      <c r="TPE165" s="7"/>
      <c r="TPF165" s="7"/>
      <c r="TPG165" s="7"/>
      <c r="TPH165" s="7"/>
      <c r="TPI165" s="7"/>
      <c r="TPJ165" s="7"/>
      <c r="TPK165" s="7"/>
      <c r="TPL165" s="7"/>
      <c r="TPM165" s="7"/>
      <c r="TPN165" s="7"/>
      <c r="TPO165" s="7"/>
      <c r="TPP165" s="7"/>
      <c r="TPQ165" s="7"/>
      <c r="TPR165" s="7"/>
      <c r="TPS165" s="7"/>
      <c r="TPT165" s="7"/>
      <c r="TPU165" s="7"/>
      <c r="TPV165" s="7"/>
      <c r="TPW165" s="7"/>
      <c r="TPX165" s="7"/>
      <c r="TPY165" s="7"/>
      <c r="TPZ165" s="7"/>
      <c r="TQA165" s="7"/>
      <c r="TQB165" s="7"/>
      <c r="TQC165" s="7"/>
      <c r="TQD165" s="7"/>
      <c r="TQE165" s="7"/>
      <c r="TQF165" s="7"/>
      <c r="TQG165" s="7"/>
      <c r="TQH165" s="7"/>
      <c r="TQI165" s="7"/>
      <c r="TQJ165" s="7"/>
      <c r="TQK165" s="7"/>
      <c r="TQL165" s="7"/>
      <c r="TQM165" s="7"/>
      <c r="TQN165" s="7"/>
      <c r="TQO165" s="7"/>
      <c r="TQP165" s="7"/>
      <c r="TQQ165" s="7"/>
      <c r="TQR165" s="7"/>
      <c r="TQS165" s="7"/>
      <c r="TQT165" s="7"/>
      <c r="TQU165" s="7"/>
      <c r="TQV165" s="7"/>
      <c r="TQW165" s="7"/>
      <c r="TQX165" s="7"/>
      <c r="TQY165" s="7"/>
      <c r="TQZ165" s="7"/>
      <c r="TRA165" s="7"/>
      <c r="TRB165" s="7"/>
      <c r="TRC165" s="7"/>
      <c r="TRD165" s="7"/>
      <c r="TRE165" s="7"/>
      <c r="TRF165" s="7"/>
      <c r="TRG165" s="7"/>
      <c r="TRH165" s="7"/>
      <c r="TRI165" s="7"/>
      <c r="TRJ165" s="7"/>
      <c r="TRK165" s="7"/>
      <c r="TRL165" s="7"/>
      <c r="TRM165" s="7"/>
      <c r="TRN165" s="7"/>
      <c r="TRO165" s="7"/>
      <c r="TRP165" s="7"/>
      <c r="TRQ165" s="7"/>
      <c r="TRR165" s="7"/>
      <c r="TRS165" s="7"/>
      <c r="TRT165" s="7"/>
      <c r="TRU165" s="7"/>
      <c r="TRV165" s="7"/>
      <c r="TRW165" s="7"/>
      <c r="TRX165" s="7"/>
      <c r="TRY165" s="7"/>
      <c r="TRZ165" s="7"/>
      <c r="TSA165" s="7"/>
      <c r="TSB165" s="7"/>
      <c r="TSC165" s="7"/>
      <c r="TSD165" s="7"/>
      <c r="TSE165" s="7"/>
      <c r="TSF165" s="7"/>
      <c r="TSG165" s="7"/>
      <c r="TSH165" s="7"/>
      <c r="TSI165" s="7"/>
      <c r="TSJ165" s="7"/>
      <c r="TSK165" s="7"/>
      <c r="TSL165" s="7"/>
      <c r="TSM165" s="7"/>
      <c r="TSN165" s="7"/>
      <c r="TSO165" s="7"/>
      <c r="TSP165" s="7"/>
      <c r="TSQ165" s="7"/>
      <c r="TSR165" s="7"/>
      <c r="TSS165" s="7"/>
      <c r="TST165" s="7"/>
      <c r="TSU165" s="7"/>
      <c r="TSV165" s="7"/>
      <c r="TSW165" s="7"/>
      <c r="TSX165" s="7"/>
      <c r="TSY165" s="7"/>
      <c r="TSZ165" s="7"/>
      <c r="TTA165" s="7"/>
      <c r="TTB165" s="7"/>
      <c r="TTC165" s="7"/>
      <c r="TTD165" s="7"/>
      <c r="TTE165" s="7"/>
      <c r="TTF165" s="7"/>
      <c r="TTG165" s="7"/>
      <c r="TTH165" s="7"/>
      <c r="TTI165" s="7"/>
      <c r="TTJ165" s="7"/>
      <c r="TTK165" s="7"/>
      <c r="TTL165" s="7"/>
      <c r="TTM165" s="7"/>
      <c r="TTN165" s="7"/>
      <c r="TTO165" s="7"/>
      <c r="TTP165" s="7"/>
      <c r="TTQ165" s="7"/>
      <c r="TTR165" s="7"/>
      <c r="TTS165" s="7"/>
      <c r="TTT165" s="7"/>
      <c r="TTU165" s="7"/>
      <c r="TTV165" s="7"/>
      <c r="TTW165" s="7"/>
      <c r="TTX165" s="7"/>
      <c r="TTY165" s="7"/>
      <c r="TTZ165" s="7"/>
      <c r="TUA165" s="7"/>
      <c r="TUB165" s="7"/>
      <c r="TUC165" s="7"/>
      <c r="TUD165" s="7"/>
      <c r="TUE165" s="7"/>
      <c r="TUF165" s="7"/>
      <c r="TUG165" s="7"/>
      <c r="TUH165" s="7"/>
      <c r="TUI165" s="7"/>
      <c r="TUJ165" s="7"/>
      <c r="TUK165" s="7"/>
      <c r="TUL165" s="7"/>
      <c r="TUM165" s="7"/>
      <c r="TUN165" s="7"/>
      <c r="TUO165" s="7"/>
      <c r="TUP165" s="7"/>
      <c r="TUQ165" s="7"/>
      <c r="TUR165" s="7"/>
      <c r="TUS165" s="7"/>
      <c r="TUT165" s="7"/>
      <c r="TUU165" s="7"/>
      <c r="TUV165" s="7"/>
      <c r="TUW165" s="7"/>
      <c r="TUX165" s="7"/>
      <c r="TUY165" s="7"/>
      <c r="TUZ165" s="7"/>
      <c r="TVA165" s="7"/>
      <c r="TVB165" s="7"/>
      <c r="TVC165" s="7"/>
      <c r="TVD165" s="7"/>
      <c r="TVE165" s="7"/>
      <c r="TVF165" s="7"/>
      <c r="TVG165" s="7"/>
      <c r="TVH165" s="7"/>
      <c r="TVI165" s="7"/>
      <c r="TVJ165" s="7"/>
      <c r="TVK165" s="7"/>
      <c r="TVL165" s="7"/>
      <c r="TVM165" s="7"/>
      <c r="TVN165" s="7"/>
      <c r="TVO165" s="7"/>
      <c r="TVP165" s="7"/>
      <c r="TVQ165" s="7"/>
      <c r="TVR165" s="7"/>
      <c r="TVS165" s="7"/>
      <c r="TVT165" s="7"/>
      <c r="TVU165" s="7"/>
      <c r="TVV165" s="7"/>
      <c r="TVW165" s="7"/>
      <c r="TVX165" s="7"/>
      <c r="TVY165" s="7"/>
      <c r="TVZ165" s="7"/>
      <c r="TWA165" s="7"/>
      <c r="TWB165" s="7"/>
      <c r="TWC165" s="7"/>
      <c r="TWD165" s="7"/>
      <c r="TWE165" s="7"/>
      <c r="TWF165" s="7"/>
      <c r="TWG165" s="7"/>
      <c r="TWH165" s="7"/>
      <c r="TWI165" s="7"/>
      <c r="TWJ165" s="7"/>
      <c r="TWK165" s="7"/>
      <c r="TWL165" s="7"/>
      <c r="TWM165" s="7"/>
      <c r="TWN165" s="7"/>
      <c r="TWO165" s="7"/>
      <c r="TWP165" s="7"/>
      <c r="TWQ165" s="7"/>
      <c r="TWR165" s="7"/>
      <c r="TWS165" s="7"/>
      <c r="TWT165" s="7"/>
      <c r="TWU165" s="7"/>
      <c r="TWV165" s="7"/>
      <c r="TWW165" s="7"/>
      <c r="TWX165" s="7"/>
      <c r="TWY165" s="7"/>
      <c r="TWZ165" s="7"/>
      <c r="TXA165" s="7"/>
      <c r="TXB165" s="7"/>
      <c r="TXC165" s="7"/>
      <c r="TXD165" s="7"/>
      <c r="TXE165" s="7"/>
      <c r="TXF165" s="7"/>
      <c r="TXG165" s="7"/>
      <c r="TXH165" s="7"/>
      <c r="TXI165" s="7"/>
      <c r="TXJ165" s="7"/>
      <c r="TXK165" s="7"/>
      <c r="TXL165" s="7"/>
      <c r="TXM165" s="7"/>
      <c r="TXN165" s="7"/>
      <c r="TXO165" s="7"/>
      <c r="TXP165" s="7"/>
      <c r="TXQ165" s="7"/>
      <c r="TXR165" s="7"/>
      <c r="TXS165" s="7"/>
      <c r="TXT165" s="7"/>
      <c r="TXU165" s="7"/>
      <c r="TXV165" s="7"/>
      <c r="TXW165" s="7"/>
      <c r="TXX165" s="7"/>
      <c r="TXY165" s="7"/>
      <c r="TXZ165" s="7"/>
      <c r="TYA165" s="7"/>
      <c r="TYB165" s="7"/>
      <c r="TYC165" s="7"/>
      <c r="TYD165" s="7"/>
      <c r="TYE165" s="7"/>
      <c r="TYF165" s="7"/>
      <c r="TYG165" s="7"/>
      <c r="TYH165" s="7"/>
      <c r="TYI165" s="7"/>
      <c r="TYJ165" s="7"/>
      <c r="TYK165" s="7"/>
      <c r="TYL165" s="7"/>
      <c r="TYM165" s="7"/>
      <c r="TYN165" s="7"/>
      <c r="TYO165" s="7"/>
      <c r="TYP165" s="7"/>
      <c r="TYQ165" s="7"/>
      <c r="TYR165" s="7"/>
      <c r="TYS165" s="7"/>
      <c r="TYT165" s="7"/>
      <c r="TYU165" s="7"/>
      <c r="TYV165" s="7"/>
      <c r="TYW165" s="7"/>
      <c r="TYX165" s="7"/>
      <c r="TYY165" s="7"/>
      <c r="TYZ165" s="7"/>
      <c r="TZA165" s="7"/>
      <c r="TZB165" s="7"/>
      <c r="TZC165" s="7"/>
      <c r="TZD165" s="7"/>
      <c r="TZE165" s="7"/>
      <c r="TZF165" s="7"/>
      <c r="TZG165" s="7"/>
      <c r="TZH165" s="7"/>
      <c r="TZI165" s="7"/>
      <c r="TZJ165" s="7"/>
      <c r="TZK165" s="7"/>
      <c r="TZL165" s="7"/>
      <c r="TZM165" s="7"/>
      <c r="TZN165" s="7"/>
      <c r="TZO165" s="7"/>
      <c r="TZP165" s="7"/>
      <c r="TZQ165" s="7"/>
      <c r="TZR165" s="7"/>
      <c r="TZS165" s="7"/>
      <c r="TZT165" s="7"/>
      <c r="TZU165" s="7"/>
      <c r="TZV165" s="7"/>
      <c r="TZW165" s="7"/>
      <c r="TZX165" s="7"/>
      <c r="TZY165" s="7"/>
      <c r="TZZ165" s="7"/>
      <c r="UAA165" s="7"/>
      <c r="UAB165" s="7"/>
      <c r="UAC165" s="7"/>
      <c r="UAD165" s="7"/>
      <c r="UAE165" s="7"/>
      <c r="UAF165" s="7"/>
      <c r="UAG165" s="7"/>
      <c r="UAH165" s="7"/>
      <c r="UAI165" s="7"/>
      <c r="UAJ165" s="7"/>
      <c r="UAK165" s="7"/>
      <c r="UAL165" s="7"/>
      <c r="UAM165" s="7"/>
      <c r="UAN165" s="7"/>
      <c r="UAO165" s="7"/>
      <c r="UAP165" s="7"/>
      <c r="UAQ165" s="7"/>
      <c r="UAR165" s="7"/>
      <c r="UAS165" s="7"/>
      <c r="UAT165" s="7"/>
      <c r="UAU165" s="7"/>
      <c r="UAV165" s="7"/>
      <c r="UAW165" s="7"/>
      <c r="UAX165" s="7"/>
      <c r="UAY165" s="7"/>
      <c r="UAZ165" s="7"/>
      <c r="UBA165" s="7"/>
      <c r="UBB165" s="7"/>
      <c r="UBC165" s="7"/>
      <c r="UBD165" s="7"/>
      <c r="UBE165" s="7"/>
      <c r="UBF165" s="7"/>
      <c r="UBG165" s="7"/>
      <c r="UBH165" s="7"/>
      <c r="UBI165" s="7"/>
      <c r="UBJ165" s="7"/>
      <c r="UBK165" s="7"/>
      <c r="UBL165" s="7"/>
      <c r="UBM165" s="7"/>
      <c r="UBN165" s="7"/>
      <c r="UBO165" s="7"/>
      <c r="UBP165" s="7"/>
      <c r="UBQ165" s="7"/>
      <c r="UBR165" s="7"/>
      <c r="UBS165" s="7"/>
      <c r="UBT165" s="7"/>
      <c r="UBU165" s="7"/>
      <c r="UBV165" s="7"/>
      <c r="UBW165" s="7"/>
      <c r="UBX165" s="7"/>
      <c r="UBY165" s="7"/>
      <c r="UBZ165" s="7"/>
      <c r="UCA165" s="7"/>
      <c r="UCB165" s="7"/>
      <c r="UCC165" s="7"/>
      <c r="UCD165" s="7"/>
      <c r="UCE165" s="7"/>
      <c r="UCF165" s="7"/>
      <c r="UCG165" s="7"/>
      <c r="UCH165" s="7"/>
      <c r="UCI165" s="7"/>
      <c r="UCJ165" s="7"/>
      <c r="UCK165" s="7"/>
      <c r="UCL165" s="7"/>
      <c r="UCM165" s="7"/>
      <c r="UCN165" s="7"/>
      <c r="UCO165" s="7"/>
      <c r="UCP165" s="7"/>
      <c r="UCQ165" s="7"/>
      <c r="UCR165" s="7"/>
      <c r="UCS165" s="7"/>
      <c r="UCT165" s="7"/>
      <c r="UCU165" s="7"/>
      <c r="UCV165" s="7"/>
      <c r="UCW165" s="7"/>
      <c r="UCX165" s="7"/>
      <c r="UCY165" s="7"/>
      <c r="UCZ165" s="7"/>
      <c r="UDA165" s="7"/>
      <c r="UDB165" s="7"/>
      <c r="UDC165" s="7"/>
      <c r="UDD165" s="7"/>
      <c r="UDE165" s="7"/>
      <c r="UDF165" s="7"/>
      <c r="UDG165" s="7"/>
      <c r="UDH165" s="7"/>
      <c r="UDI165" s="7"/>
      <c r="UDJ165" s="7"/>
      <c r="UDK165" s="7"/>
      <c r="UDL165" s="7"/>
      <c r="UDM165" s="7"/>
      <c r="UDN165" s="7"/>
      <c r="UDO165" s="7"/>
      <c r="UDP165" s="7"/>
      <c r="UDQ165" s="7"/>
      <c r="UDR165" s="7"/>
      <c r="UDS165" s="7"/>
      <c r="UDT165" s="7"/>
      <c r="UDU165" s="7"/>
      <c r="UDV165" s="7"/>
      <c r="UDW165" s="7"/>
      <c r="UDX165" s="7"/>
      <c r="UDY165" s="7"/>
      <c r="UDZ165" s="7"/>
      <c r="UEA165" s="7"/>
      <c r="UEB165" s="7"/>
      <c r="UEC165" s="7"/>
      <c r="UED165" s="7"/>
      <c r="UEE165" s="7"/>
      <c r="UEF165" s="7"/>
      <c r="UEG165" s="7"/>
      <c r="UEH165" s="7"/>
      <c r="UEI165" s="7"/>
      <c r="UEJ165" s="7"/>
      <c r="UEK165" s="7"/>
      <c r="UEL165" s="7"/>
      <c r="UEM165" s="7"/>
      <c r="UEN165" s="7"/>
      <c r="UEO165" s="7"/>
      <c r="UEP165" s="7"/>
      <c r="UEQ165" s="7"/>
      <c r="UER165" s="7"/>
      <c r="UES165" s="7"/>
      <c r="UET165" s="7"/>
      <c r="UEU165" s="7"/>
      <c r="UEV165" s="7"/>
      <c r="UEW165" s="7"/>
      <c r="UEX165" s="7"/>
      <c r="UEY165" s="7"/>
      <c r="UEZ165" s="7"/>
      <c r="UFA165" s="7"/>
      <c r="UFB165" s="7"/>
      <c r="UFC165" s="7"/>
      <c r="UFD165" s="7"/>
      <c r="UFE165" s="7"/>
      <c r="UFF165" s="7"/>
      <c r="UFG165" s="7"/>
      <c r="UFH165" s="7"/>
      <c r="UFI165" s="7"/>
      <c r="UFJ165" s="7"/>
      <c r="UFK165" s="7"/>
      <c r="UFL165" s="7"/>
      <c r="UFM165" s="7"/>
      <c r="UFN165" s="7"/>
      <c r="UFO165" s="7"/>
      <c r="UFP165" s="7"/>
      <c r="UFQ165" s="7"/>
      <c r="UFR165" s="7"/>
      <c r="UFS165" s="7"/>
      <c r="UFT165" s="7"/>
      <c r="UFU165" s="7"/>
      <c r="UFV165" s="7"/>
      <c r="UFW165" s="7"/>
      <c r="UFX165" s="7"/>
      <c r="UFY165" s="7"/>
      <c r="UFZ165" s="7"/>
      <c r="UGA165" s="7"/>
      <c r="UGB165" s="7"/>
      <c r="UGC165" s="7"/>
      <c r="UGD165" s="7"/>
      <c r="UGE165" s="7"/>
      <c r="UGF165" s="7"/>
      <c r="UGG165" s="7"/>
      <c r="UGH165" s="7"/>
      <c r="UGI165" s="7"/>
      <c r="UGJ165" s="7"/>
      <c r="UGK165" s="7"/>
      <c r="UGL165" s="7"/>
      <c r="UGM165" s="7"/>
      <c r="UGN165" s="7"/>
      <c r="UGO165" s="7"/>
      <c r="UGP165" s="7"/>
      <c r="UGQ165" s="7"/>
      <c r="UGR165" s="7"/>
      <c r="UGS165" s="7"/>
      <c r="UGT165" s="7"/>
      <c r="UGU165" s="7"/>
      <c r="UGV165" s="7"/>
      <c r="UGW165" s="7"/>
      <c r="UGX165" s="7"/>
      <c r="UGY165" s="7"/>
      <c r="UGZ165" s="7"/>
      <c r="UHA165" s="7"/>
      <c r="UHB165" s="7"/>
      <c r="UHC165" s="7"/>
      <c r="UHD165" s="7"/>
      <c r="UHE165" s="7"/>
      <c r="UHF165" s="7"/>
      <c r="UHG165" s="7"/>
      <c r="UHH165" s="7"/>
      <c r="UHI165" s="7"/>
      <c r="UHJ165" s="7"/>
      <c r="UHK165" s="7"/>
      <c r="UHL165" s="7"/>
      <c r="UHM165" s="7"/>
      <c r="UHN165" s="7"/>
      <c r="UHO165" s="7"/>
      <c r="UHP165" s="7"/>
      <c r="UHQ165" s="7"/>
      <c r="UHR165" s="7"/>
      <c r="UHS165" s="7"/>
      <c r="UHT165" s="7"/>
      <c r="UHU165" s="7"/>
      <c r="UHV165" s="7"/>
      <c r="UHW165" s="7"/>
      <c r="UHX165" s="7"/>
      <c r="UHY165" s="7"/>
      <c r="UHZ165" s="7"/>
      <c r="UIA165" s="7"/>
      <c r="UIB165" s="7"/>
      <c r="UIC165" s="7"/>
      <c r="UID165" s="7"/>
      <c r="UIE165" s="7"/>
      <c r="UIF165" s="7"/>
      <c r="UIG165" s="7"/>
      <c r="UIH165" s="7"/>
      <c r="UII165" s="7"/>
      <c r="UIJ165" s="7"/>
      <c r="UIK165" s="7"/>
      <c r="UIL165" s="7"/>
      <c r="UIM165" s="7"/>
      <c r="UIN165" s="7"/>
      <c r="UIO165" s="7"/>
      <c r="UIP165" s="7"/>
      <c r="UIQ165" s="7"/>
      <c r="UIR165" s="7"/>
      <c r="UIS165" s="7"/>
      <c r="UIT165" s="7"/>
      <c r="UIU165" s="7"/>
      <c r="UIV165" s="7"/>
      <c r="UIW165" s="7"/>
      <c r="UIX165" s="7"/>
      <c r="UIY165" s="7"/>
      <c r="UIZ165" s="7"/>
      <c r="UJA165" s="7"/>
      <c r="UJB165" s="7"/>
      <c r="UJC165" s="7"/>
      <c r="UJD165" s="7"/>
      <c r="UJE165" s="7"/>
      <c r="UJF165" s="7"/>
      <c r="UJG165" s="7"/>
      <c r="UJH165" s="7"/>
      <c r="UJI165" s="7"/>
      <c r="UJJ165" s="7"/>
      <c r="UJK165" s="7"/>
      <c r="UJL165" s="7"/>
      <c r="UJM165" s="7"/>
      <c r="UJN165" s="7"/>
      <c r="UJO165" s="7"/>
      <c r="UJP165" s="7"/>
      <c r="UJQ165" s="7"/>
      <c r="UJR165" s="7"/>
      <c r="UJS165" s="7"/>
      <c r="UJT165" s="7"/>
      <c r="UJU165" s="7"/>
      <c r="UJV165" s="7"/>
      <c r="UJW165" s="7"/>
      <c r="UJX165" s="7"/>
      <c r="UJY165" s="7"/>
      <c r="UJZ165" s="7"/>
      <c r="UKA165" s="7"/>
      <c r="UKB165" s="7"/>
      <c r="UKC165" s="7"/>
      <c r="UKD165" s="7"/>
      <c r="UKE165" s="7"/>
      <c r="UKF165" s="7"/>
      <c r="UKG165" s="7"/>
      <c r="UKH165" s="7"/>
      <c r="UKI165" s="7"/>
      <c r="UKJ165" s="7"/>
      <c r="UKK165" s="7"/>
      <c r="UKL165" s="7"/>
      <c r="UKM165" s="7"/>
      <c r="UKN165" s="7"/>
      <c r="UKO165" s="7"/>
      <c r="UKP165" s="7"/>
      <c r="UKQ165" s="7"/>
      <c r="UKR165" s="7"/>
      <c r="UKS165" s="7"/>
      <c r="UKT165" s="7"/>
      <c r="UKU165" s="7"/>
      <c r="UKV165" s="7"/>
      <c r="UKW165" s="7"/>
      <c r="UKX165" s="7"/>
      <c r="UKY165" s="7"/>
      <c r="UKZ165" s="7"/>
      <c r="ULA165" s="7"/>
      <c r="ULB165" s="7"/>
      <c r="ULC165" s="7"/>
      <c r="ULD165" s="7"/>
      <c r="ULE165" s="7"/>
      <c r="ULF165" s="7"/>
      <c r="ULG165" s="7"/>
      <c r="ULH165" s="7"/>
      <c r="ULI165" s="7"/>
      <c r="ULJ165" s="7"/>
      <c r="ULK165" s="7"/>
      <c r="ULL165" s="7"/>
      <c r="ULM165" s="7"/>
      <c r="ULN165" s="7"/>
      <c r="ULO165" s="7"/>
      <c r="ULP165" s="7"/>
      <c r="ULQ165" s="7"/>
      <c r="ULR165" s="7"/>
      <c r="ULS165" s="7"/>
      <c r="ULT165" s="7"/>
      <c r="ULU165" s="7"/>
      <c r="ULV165" s="7"/>
      <c r="ULW165" s="7"/>
      <c r="ULX165" s="7"/>
      <c r="ULY165" s="7"/>
      <c r="ULZ165" s="7"/>
      <c r="UMA165" s="7"/>
      <c r="UMB165" s="7"/>
      <c r="UMC165" s="7"/>
      <c r="UMD165" s="7"/>
      <c r="UME165" s="7"/>
      <c r="UMF165" s="7"/>
      <c r="UMG165" s="7"/>
      <c r="UMH165" s="7"/>
      <c r="UMI165" s="7"/>
      <c r="UMJ165" s="7"/>
      <c r="UMK165" s="7"/>
      <c r="UML165" s="7"/>
      <c r="UMM165" s="7"/>
      <c r="UMN165" s="7"/>
      <c r="UMO165" s="7"/>
      <c r="UMP165" s="7"/>
      <c r="UMQ165" s="7"/>
      <c r="UMR165" s="7"/>
      <c r="UMS165" s="7"/>
      <c r="UMT165" s="7"/>
      <c r="UMU165" s="7"/>
      <c r="UMV165" s="7"/>
      <c r="UMW165" s="7"/>
      <c r="UMX165" s="7"/>
      <c r="UMY165" s="7"/>
      <c r="UMZ165" s="7"/>
      <c r="UNA165" s="7"/>
      <c r="UNB165" s="7"/>
      <c r="UNC165" s="7"/>
      <c r="UND165" s="7"/>
      <c r="UNE165" s="7"/>
      <c r="UNF165" s="7"/>
      <c r="UNG165" s="7"/>
      <c r="UNH165" s="7"/>
      <c r="UNI165" s="7"/>
      <c r="UNJ165" s="7"/>
      <c r="UNK165" s="7"/>
      <c r="UNL165" s="7"/>
      <c r="UNM165" s="7"/>
      <c r="UNN165" s="7"/>
      <c r="UNO165" s="7"/>
      <c r="UNP165" s="7"/>
      <c r="UNQ165" s="7"/>
      <c r="UNR165" s="7"/>
      <c r="UNS165" s="7"/>
      <c r="UNT165" s="7"/>
      <c r="UNU165" s="7"/>
      <c r="UNV165" s="7"/>
      <c r="UNW165" s="7"/>
      <c r="UNX165" s="7"/>
      <c r="UNY165" s="7"/>
      <c r="UNZ165" s="7"/>
      <c r="UOA165" s="7"/>
      <c r="UOB165" s="7"/>
      <c r="UOC165" s="7"/>
      <c r="UOD165" s="7"/>
      <c r="UOE165" s="7"/>
      <c r="UOF165" s="7"/>
      <c r="UOG165" s="7"/>
      <c r="UOH165" s="7"/>
      <c r="UOI165" s="7"/>
      <c r="UOJ165" s="7"/>
      <c r="UOK165" s="7"/>
      <c r="UOL165" s="7"/>
      <c r="UOM165" s="7"/>
      <c r="UON165" s="7"/>
      <c r="UOO165" s="7"/>
      <c r="UOP165" s="7"/>
      <c r="UOQ165" s="7"/>
      <c r="UOR165" s="7"/>
      <c r="UOS165" s="7"/>
      <c r="UOT165" s="7"/>
      <c r="UOU165" s="7"/>
      <c r="UOV165" s="7"/>
      <c r="UOW165" s="7"/>
      <c r="UOX165" s="7"/>
      <c r="UOY165" s="7"/>
      <c r="UOZ165" s="7"/>
      <c r="UPA165" s="7"/>
      <c r="UPB165" s="7"/>
      <c r="UPC165" s="7"/>
      <c r="UPD165" s="7"/>
      <c r="UPE165" s="7"/>
      <c r="UPF165" s="7"/>
      <c r="UPG165" s="7"/>
      <c r="UPH165" s="7"/>
      <c r="UPI165" s="7"/>
      <c r="UPJ165" s="7"/>
      <c r="UPK165" s="7"/>
      <c r="UPL165" s="7"/>
      <c r="UPM165" s="7"/>
      <c r="UPN165" s="7"/>
      <c r="UPO165" s="7"/>
      <c r="UPP165" s="7"/>
      <c r="UPQ165" s="7"/>
      <c r="UPR165" s="7"/>
      <c r="UPS165" s="7"/>
      <c r="UPT165" s="7"/>
      <c r="UPU165" s="7"/>
      <c r="UPV165" s="7"/>
      <c r="UPW165" s="7"/>
      <c r="UPX165" s="7"/>
      <c r="UPY165" s="7"/>
      <c r="UPZ165" s="7"/>
      <c r="UQA165" s="7"/>
      <c r="UQB165" s="7"/>
      <c r="UQC165" s="7"/>
      <c r="UQD165" s="7"/>
      <c r="UQE165" s="7"/>
      <c r="UQF165" s="7"/>
      <c r="UQG165" s="7"/>
      <c r="UQH165" s="7"/>
      <c r="UQI165" s="7"/>
      <c r="UQJ165" s="7"/>
      <c r="UQK165" s="7"/>
      <c r="UQL165" s="7"/>
      <c r="UQM165" s="7"/>
      <c r="UQN165" s="7"/>
      <c r="UQO165" s="7"/>
      <c r="UQP165" s="7"/>
      <c r="UQQ165" s="7"/>
      <c r="UQR165" s="7"/>
      <c r="UQS165" s="7"/>
      <c r="UQT165" s="7"/>
      <c r="UQU165" s="7"/>
      <c r="UQV165" s="7"/>
      <c r="UQW165" s="7"/>
      <c r="UQX165" s="7"/>
      <c r="UQY165" s="7"/>
      <c r="UQZ165" s="7"/>
      <c r="URA165" s="7"/>
      <c r="URB165" s="7"/>
      <c r="URC165" s="7"/>
      <c r="URD165" s="7"/>
      <c r="URE165" s="7"/>
      <c r="URF165" s="7"/>
      <c r="URG165" s="7"/>
      <c r="URH165" s="7"/>
      <c r="URI165" s="7"/>
      <c r="URJ165" s="7"/>
      <c r="URK165" s="7"/>
      <c r="URL165" s="7"/>
      <c r="URM165" s="7"/>
      <c r="URN165" s="7"/>
      <c r="URO165" s="7"/>
      <c r="URP165" s="7"/>
      <c r="URQ165" s="7"/>
      <c r="URR165" s="7"/>
      <c r="URS165" s="7"/>
      <c r="URT165" s="7"/>
      <c r="URU165" s="7"/>
      <c r="URV165" s="7"/>
      <c r="URW165" s="7"/>
      <c r="URX165" s="7"/>
      <c r="URY165" s="7"/>
      <c r="URZ165" s="7"/>
      <c r="USA165" s="7"/>
      <c r="USB165" s="7"/>
      <c r="USC165" s="7"/>
      <c r="USD165" s="7"/>
      <c r="USE165" s="7"/>
      <c r="USF165" s="7"/>
      <c r="USG165" s="7"/>
      <c r="USH165" s="7"/>
      <c r="USI165" s="7"/>
      <c r="USJ165" s="7"/>
      <c r="USK165" s="7"/>
      <c r="USL165" s="7"/>
      <c r="USM165" s="7"/>
      <c r="USN165" s="7"/>
      <c r="USO165" s="7"/>
      <c r="USP165" s="7"/>
      <c r="USQ165" s="7"/>
      <c r="USR165" s="7"/>
      <c r="USS165" s="7"/>
      <c r="UST165" s="7"/>
      <c r="USU165" s="7"/>
      <c r="USV165" s="7"/>
      <c r="USW165" s="7"/>
      <c r="USX165" s="7"/>
      <c r="USY165" s="7"/>
      <c r="USZ165" s="7"/>
      <c r="UTA165" s="7"/>
      <c r="UTB165" s="7"/>
      <c r="UTC165" s="7"/>
      <c r="UTD165" s="7"/>
      <c r="UTE165" s="7"/>
      <c r="UTF165" s="7"/>
      <c r="UTG165" s="7"/>
      <c r="UTH165" s="7"/>
      <c r="UTI165" s="7"/>
      <c r="UTJ165" s="7"/>
      <c r="UTK165" s="7"/>
      <c r="UTL165" s="7"/>
      <c r="UTM165" s="7"/>
      <c r="UTN165" s="7"/>
      <c r="UTO165" s="7"/>
      <c r="UTP165" s="7"/>
      <c r="UTQ165" s="7"/>
      <c r="UTR165" s="7"/>
      <c r="UTS165" s="7"/>
      <c r="UTT165" s="7"/>
      <c r="UTU165" s="7"/>
      <c r="UTV165" s="7"/>
      <c r="UTW165" s="7"/>
      <c r="UTX165" s="7"/>
      <c r="UTY165" s="7"/>
      <c r="UTZ165" s="7"/>
      <c r="UUA165" s="7"/>
      <c r="UUB165" s="7"/>
      <c r="UUC165" s="7"/>
      <c r="UUD165" s="7"/>
      <c r="UUE165" s="7"/>
      <c r="UUF165" s="7"/>
      <c r="UUG165" s="7"/>
      <c r="UUH165" s="7"/>
      <c r="UUI165" s="7"/>
      <c r="UUJ165" s="7"/>
      <c r="UUK165" s="7"/>
      <c r="UUL165" s="7"/>
      <c r="UUM165" s="7"/>
      <c r="UUN165" s="7"/>
      <c r="UUO165" s="7"/>
      <c r="UUP165" s="7"/>
      <c r="UUQ165" s="7"/>
      <c r="UUR165" s="7"/>
      <c r="UUS165" s="7"/>
      <c r="UUT165" s="7"/>
      <c r="UUU165" s="7"/>
      <c r="UUV165" s="7"/>
      <c r="UUW165" s="7"/>
      <c r="UUX165" s="7"/>
      <c r="UUY165" s="7"/>
      <c r="UUZ165" s="7"/>
      <c r="UVA165" s="7"/>
      <c r="UVB165" s="7"/>
      <c r="UVC165" s="7"/>
      <c r="UVD165" s="7"/>
      <c r="UVE165" s="7"/>
      <c r="UVF165" s="7"/>
      <c r="UVG165" s="7"/>
      <c r="UVH165" s="7"/>
      <c r="UVI165" s="7"/>
      <c r="UVJ165" s="7"/>
      <c r="UVK165" s="7"/>
      <c r="UVL165" s="7"/>
      <c r="UVM165" s="7"/>
      <c r="UVN165" s="7"/>
      <c r="UVO165" s="7"/>
      <c r="UVP165" s="7"/>
      <c r="UVQ165" s="7"/>
      <c r="UVR165" s="7"/>
      <c r="UVS165" s="7"/>
      <c r="UVT165" s="7"/>
      <c r="UVU165" s="7"/>
      <c r="UVV165" s="7"/>
      <c r="UVW165" s="7"/>
      <c r="UVX165" s="7"/>
      <c r="UVY165" s="7"/>
      <c r="UVZ165" s="7"/>
      <c r="UWA165" s="7"/>
      <c r="UWB165" s="7"/>
      <c r="UWC165" s="7"/>
      <c r="UWD165" s="7"/>
      <c r="UWE165" s="7"/>
      <c r="UWF165" s="7"/>
      <c r="UWG165" s="7"/>
      <c r="UWH165" s="7"/>
      <c r="UWI165" s="7"/>
      <c r="UWJ165" s="7"/>
      <c r="UWK165" s="7"/>
      <c r="UWL165" s="7"/>
      <c r="UWM165" s="7"/>
      <c r="UWN165" s="7"/>
      <c r="UWO165" s="7"/>
      <c r="UWP165" s="7"/>
      <c r="UWQ165" s="7"/>
      <c r="UWR165" s="7"/>
      <c r="UWS165" s="7"/>
      <c r="UWT165" s="7"/>
      <c r="UWU165" s="7"/>
      <c r="UWV165" s="7"/>
      <c r="UWW165" s="7"/>
      <c r="UWX165" s="7"/>
      <c r="UWY165" s="7"/>
      <c r="UWZ165" s="7"/>
      <c r="UXA165" s="7"/>
      <c r="UXB165" s="7"/>
      <c r="UXC165" s="7"/>
      <c r="UXD165" s="7"/>
      <c r="UXE165" s="7"/>
      <c r="UXF165" s="7"/>
      <c r="UXG165" s="7"/>
      <c r="UXH165" s="7"/>
      <c r="UXI165" s="7"/>
      <c r="UXJ165" s="7"/>
      <c r="UXK165" s="7"/>
      <c r="UXL165" s="7"/>
      <c r="UXM165" s="7"/>
      <c r="UXN165" s="7"/>
      <c r="UXO165" s="7"/>
      <c r="UXP165" s="7"/>
      <c r="UXQ165" s="7"/>
      <c r="UXR165" s="7"/>
      <c r="UXS165" s="7"/>
      <c r="UXT165" s="7"/>
      <c r="UXU165" s="7"/>
      <c r="UXV165" s="7"/>
      <c r="UXW165" s="7"/>
      <c r="UXX165" s="7"/>
      <c r="UXY165" s="7"/>
      <c r="UXZ165" s="7"/>
      <c r="UYA165" s="7"/>
      <c r="UYB165" s="7"/>
      <c r="UYC165" s="7"/>
      <c r="UYD165" s="7"/>
      <c r="UYE165" s="7"/>
      <c r="UYF165" s="7"/>
      <c r="UYG165" s="7"/>
      <c r="UYH165" s="7"/>
      <c r="UYI165" s="7"/>
      <c r="UYJ165" s="7"/>
      <c r="UYK165" s="7"/>
      <c r="UYL165" s="7"/>
      <c r="UYM165" s="7"/>
      <c r="UYN165" s="7"/>
      <c r="UYO165" s="7"/>
      <c r="UYP165" s="7"/>
      <c r="UYQ165" s="7"/>
      <c r="UYR165" s="7"/>
      <c r="UYS165" s="7"/>
      <c r="UYT165" s="7"/>
      <c r="UYU165" s="7"/>
      <c r="UYV165" s="7"/>
      <c r="UYW165" s="7"/>
      <c r="UYX165" s="7"/>
      <c r="UYY165" s="7"/>
      <c r="UYZ165" s="7"/>
      <c r="UZA165" s="7"/>
      <c r="UZB165" s="7"/>
      <c r="UZC165" s="7"/>
      <c r="UZD165" s="7"/>
      <c r="UZE165" s="7"/>
      <c r="UZF165" s="7"/>
      <c r="UZG165" s="7"/>
      <c r="UZH165" s="7"/>
      <c r="UZI165" s="7"/>
      <c r="UZJ165" s="7"/>
      <c r="UZK165" s="7"/>
      <c r="UZL165" s="7"/>
      <c r="UZM165" s="7"/>
      <c r="UZN165" s="7"/>
      <c r="UZO165" s="7"/>
      <c r="UZP165" s="7"/>
      <c r="UZQ165" s="7"/>
      <c r="UZR165" s="7"/>
      <c r="UZS165" s="7"/>
      <c r="UZT165" s="7"/>
      <c r="UZU165" s="7"/>
      <c r="UZV165" s="7"/>
      <c r="UZW165" s="7"/>
      <c r="UZX165" s="7"/>
      <c r="UZY165" s="7"/>
      <c r="UZZ165" s="7"/>
      <c r="VAA165" s="7"/>
      <c r="VAB165" s="7"/>
      <c r="VAC165" s="7"/>
      <c r="VAD165" s="7"/>
      <c r="VAE165" s="7"/>
      <c r="VAF165" s="7"/>
      <c r="VAG165" s="7"/>
      <c r="VAH165" s="7"/>
      <c r="VAI165" s="7"/>
      <c r="VAJ165" s="7"/>
      <c r="VAK165" s="7"/>
      <c r="VAL165" s="7"/>
      <c r="VAM165" s="7"/>
      <c r="VAN165" s="7"/>
      <c r="VAO165" s="7"/>
      <c r="VAP165" s="7"/>
      <c r="VAQ165" s="7"/>
      <c r="VAR165" s="7"/>
      <c r="VAS165" s="7"/>
      <c r="VAT165" s="7"/>
      <c r="VAU165" s="7"/>
      <c r="VAV165" s="7"/>
      <c r="VAW165" s="7"/>
      <c r="VAX165" s="7"/>
      <c r="VAY165" s="7"/>
      <c r="VAZ165" s="7"/>
      <c r="VBA165" s="7"/>
      <c r="VBB165" s="7"/>
      <c r="VBC165" s="7"/>
      <c r="VBD165" s="7"/>
      <c r="VBE165" s="7"/>
      <c r="VBF165" s="7"/>
      <c r="VBG165" s="7"/>
      <c r="VBH165" s="7"/>
      <c r="VBI165" s="7"/>
      <c r="VBJ165" s="7"/>
      <c r="VBK165" s="7"/>
      <c r="VBL165" s="7"/>
      <c r="VBM165" s="7"/>
      <c r="VBN165" s="7"/>
      <c r="VBO165" s="7"/>
      <c r="VBP165" s="7"/>
      <c r="VBQ165" s="7"/>
      <c r="VBR165" s="7"/>
      <c r="VBS165" s="7"/>
      <c r="VBT165" s="7"/>
      <c r="VBU165" s="7"/>
      <c r="VBV165" s="7"/>
      <c r="VBW165" s="7"/>
      <c r="VBX165" s="7"/>
      <c r="VBY165" s="7"/>
      <c r="VBZ165" s="7"/>
      <c r="VCA165" s="7"/>
      <c r="VCB165" s="7"/>
      <c r="VCC165" s="7"/>
      <c r="VCD165" s="7"/>
      <c r="VCE165" s="7"/>
      <c r="VCF165" s="7"/>
      <c r="VCG165" s="7"/>
      <c r="VCH165" s="7"/>
      <c r="VCI165" s="7"/>
      <c r="VCJ165" s="7"/>
      <c r="VCK165" s="7"/>
      <c r="VCL165" s="7"/>
      <c r="VCM165" s="7"/>
      <c r="VCN165" s="7"/>
      <c r="VCO165" s="7"/>
      <c r="VCP165" s="7"/>
      <c r="VCQ165" s="7"/>
      <c r="VCR165" s="7"/>
      <c r="VCS165" s="7"/>
      <c r="VCT165" s="7"/>
      <c r="VCU165" s="7"/>
      <c r="VCV165" s="7"/>
      <c r="VCW165" s="7"/>
      <c r="VCX165" s="7"/>
      <c r="VCY165" s="7"/>
      <c r="VCZ165" s="7"/>
      <c r="VDA165" s="7"/>
      <c r="VDB165" s="7"/>
      <c r="VDC165" s="7"/>
      <c r="VDD165" s="7"/>
      <c r="VDE165" s="7"/>
      <c r="VDF165" s="7"/>
      <c r="VDG165" s="7"/>
      <c r="VDH165" s="7"/>
      <c r="VDI165" s="7"/>
      <c r="VDJ165" s="7"/>
      <c r="VDK165" s="7"/>
      <c r="VDL165" s="7"/>
      <c r="VDM165" s="7"/>
      <c r="VDN165" s="7"/>
      <c r="VDO165" s="7"/>
      <c r="VDP165" s="7"/>
      <c r="VDQ165" s="7"/>
      <c r="VDR165" s="7"/>
      <c r="VDS165" s="7"/>
      <c r="VDT165" s="7"/>
      <c r="VDU165" s="7"/>
      <c r="VDV165" s="7"/>
      <c r="VDW165" s="7"/>
      <c r="VDX165" s="7"/>
      <c r="VDY165" s="7"/>
      <c r="VDZ165" s="7"/>
      <c r="VEA165" s="7"/>
      <c r="VEB165" s="7"/>
      <c r="VEC165" s="7"/>
      <c r="VED165" s="7"/>
      <c r="VEE165" s="7"/>
      <c r="VEF165" s="7"/>
      <c r="VEG165" s="7"/>
      <c r="VEH165" s="7"/>
      <c r="VEI165" s="7"/>
      <c r="VEJ165" s="7"/>
      <c r="VEK165" s="7"/>
      <c r="VEL165" s="7"/>
      <c r="VEM165" s="7"/>
      <c r="VEN165" s="7"/>
      <c r="VEO165" s="7"/>
      <c r="VEP165" s="7"/>
      <c r="VEQ165" s="7"/>
      <c r="VER165" s="7"/>
      <c r="VES165" s="7"/>
      <c r="VET165" s="7"/>
      <c r="VEU165" s="7"/>
      <c r="VEV165" s="7"/>
      <c r="VEW165" s="7"/>
      <c r="VEX165" s="7"/>
      <c r="VEY165" s="7"/>
      <c r="VEZ165" s="7"/>
      <c r="VFA165" s="7"/>
      <c r="VFB165" s="7"/>
      <c r="VFC165" s="7"/>
      <c r="VFD165" s="7"/>
      <c r="VFE165" s="7"/>
      <c r="VFF165" s="7"/>
      <c r="VFG165" s="7"/>
      <c r="VFH165" s="7"/>
      <c r="VFI165" s="7"/>
      <c r="VFJ165" s="7"/>
      <c r="VFK165" s="7"/>
      <c r="VFL165" s="7"/>
      <c r="VFM165" s="7"/>
      <c r="VFN165" s="7"/>
      <c r="VFO165" s="7"/>
      <c r="VFP165" s="7"/>
      <c r="VFQ165" s="7"/>
      <c r="VFR165" s="7"/>
      <c r="VFS165" s="7"/>
      <c r="VFT165" s="7"/>
      <c r="VFU165" s="7"/>
      <c r="VFV165" s="7"/>
      <c r="VFW165" s="7"/>
      <c r="VFX165" s="7"/>
      <c r="VFY165" s="7"/>
      <c r="VFZ165" s="7"/>
      <c r="VGA165" s="7"/>
      <c r="VGB165" s="7"/>
      <c r="VGC165" s="7"/>
      <c r="VGD165" s="7"/>
      <c r="VGE165" s="7"/>
      <c r="VGF165" s="7"/>
      <c r="VGG165" s="7"/>
      <c r="VGH165" s="7"/>
      <c r="VGI165" s="7"/>
      <c r="VGJ165" s="7"/>
      <c r="VGK165" s="7"/>
      <c r="VGL165" s="7"/>
      <c r="VGM165" s="7"/>
      <c r="VGN165" s="7"/>
      <c r="VGO165" s="7"/>
      <c r="VGP165" s="7"/>
      <c r="VGQ165" s="7"/>
      <c r="VGR165" s="7"/>
      <c r="VGS165" s="7"/>
      <c r="VGT165" s="7"/>
      <c r="VGU165" s="7"/>
      <c r="VGV165" s="7"/>
      <c r="VGW165" s="7"/>
      <c r="VGX165" s="7"/>
      <c r="VGY165" s="7"/>
      <c r="VGZ165" s="7"/>
      <c r="VHA165" s="7"/>
      <c r="VHB165" s="7"/>
      <c r="VHC165" s="7"/>
      <c r="VHD165" s="7"/>
      <c r="VHE165" s="7"/>
      <c r="VHF165" s="7"/>
      <c r="VHG165" s="7"/>
      <c r="VHH165" s="7"/>
      <c r="VHI165" s="7"/>
      <c r="VHJ165" s="7"/>
      <c r="VHK165" s="7"/>
      <c r="VHL165" s="7"/>
      <c r="VHM165" s="7"/>
      <c r="VHN165" s="7"/>
      <c r="VHO165" s="7"/>
      <c r="VHP165" s="7"/>
      <c r="VHQ165" s="7"/>
      <c r="VHR165" s="7"/>
      <c r="VHS165" s="7"/>
      <c r="VHT165" s="7"/>
      <c r="VHU165" s="7"/>
      <c r="VHV165" s="7"/>
      <c r="VHW165" s="7"/>
      <c r="VHX165" s="7"/>
      <c r="VHY165" s="7"/>
      <c r="VHZ165" s="7"/>
      <c r="VIA165" s="7"/>
      <c r="VIB165" s="7"/>
      <c r="VIC165" s="7"/>
      <c r="VID165" s="7"/>
      <c r="VIE165" s="7"/>
      <c r="VIF165" s="7"/>
      <c r="VIG165" s="7"/>
      <c r="VIH165" s="7"/>
      <c r="VII165" s="7"/>
      <c r="VIJ165" s="7"/>
      <c r="VIK165" s="7"/>
      <c r="VIL165" s="7"/>
      <c r="VIM165" s="7"/>
      <c r="VIN165" s="7"/>
      <c r="VIO165" s="7"/>
      <c r="VIP165" s="7"/>
      <c r="VIQ165" s="7"/>
      <c r="VIR165" s="7"/>
      <c r="VIS165" s="7"/>
      <c r="VIT165" s="7"/>
      <c r="VIU165" s="7"/>
      <c r="VIV165" s="7"/>
      <c r="VIW165" s="7"/>
      <c r="VIX165" s="7"/>
      <c r="VIY165" s="7"/>
      <c r="VIZ165" s="7"/>
      <c r="VJA165" s="7"/>
      <c r="VJB165" s="7"/>
      <c r="VJC165" s="7"/>
      <c r="VJD165" s="7"/>
      <c r="VJE165" s="7"/>
      <c r="VJF165" s="7"/>
      <c r="VJG165" s="7"/>
      <c r="VJH165" s="7"/>
      <c r="VJI165" s="7"/>
      <c r="VJJ165" s="7"/>
      <c r="VJK165" s="7"/>
      <c r="VJL165" s="7"/>
      <c r="VJM165" s="7"/>
      <c r="VJN165" s="7"/>
      <c r="VJO165" s="7"/>
      <c r="VJP165" s="7"/>
      <c r="VJQ165" s="7"/>
      <c r="VJR165" s="7"/>
      <c r="VJS165" s="7"/>
      <c r="VJT165" s="7"/>
      <c r="VJU165" s="7"/>
      <c r="VJV165" s="7"/>
      <c r="VJW165" s="7"/>
      <c r="VJX165" s="7"/>
      <c r="VJY165" s="7"/>
      <c r="VJZ165" s="7"/>
      <c r="VKA165" s="7"/>
      <c r="VKB165" s="7"/>
      <c r="VKC165" s="7"/>
      <c r="VKD165" s="7"/>
      <c r="VKE165" s="7"/>
      <c r="VKF165" s="7"/>
      <c r="VKG165" s="7"/>
      <c r="VKH165" s="7"/>
      <c r="VKI165" s="7"/>
      <c r="VKJ165" s="7"/>
      <c r="VKK165" s="7"/>
      <c r="VKL165" s="7"/>
      <c r="VKM165" s="7"/>
      <c r="VKN165" s="7"/>
      <c r="VKO165" s="7"/>
      <c r="VKP165" s="7"/>
      <c r="VKQ165" s="7"/>
      <c r="VKR165" s="7"/>
      <c r="VKS165" s="7"/>
      <c r="VKT165" s="7"/>
      <c r="VKU165" s="7"/>
      <c r="VKV165" s="7"/>
      <c r="VKW165" s="7"/>
      <c r="VKX165" s="7"/>
      <c r="VKY165" s="7"/>
      <c r="VKZ165" s="7"/>
      <c r="VLA165" s="7"/>
      <c r="VLB165" s="7"/>
      <c r="VLC165" s="7"/>
      <c r="VLD165" s="7"/>
      <c r="VLE165" s="7"/>
      <c r="VLF165" s="7"/>
      <c r="VLG165" s="7"/>
      <c r="VLH165" s="7"/>
      <c r="VLI165" s="7"/>
      <c r="VLJ165" s="7"/>
      <c r="VLK165" s="7"/>
      <c r="VLL165" s="7"/>
      <c r="VLM165" s="7"/>
      <c r="VLN165" s="7"/>
      <c r="VLO165" s="7"/>
      <c r="VLP165" s="7"/>
      <c r="VLQ165" s="7"/>
      <c r="VLR165" s="7"/>
      <c r="VLS165" s="7"/>
      <c r="VLT165" s="7"/>
      <c r="VLU165" s="7"/>
      <c r="VLV165" s="7"/>
      <c r="VLW165" s="7"/>
      <c r="VLX165" s="7"/>
      <c r="VLY165" s="7"/>
      <c r="VLZ165" s="7"/>
      <c r="VMA165" s="7"/>
      <c r="VMB165" s="7"/>
      <c r="VMC165" s="7"/>
      <c r="VMD165" s="7"/>
      <c r="VME165" s="7"/>
      <c r="VMF165" s="7"/>
      <c r="VMG165" s="7"/>
      <c r="VMH165" s="7"/>
      <c r="VMI165" s="7"/>
      <c r="VMJ165" s="7"/>
      <c r="VMK165" s="7"/>
      <c r="VML165" s="7"/>
      <c r="VMM165" s="7"/>
      <c r="VMN165" s="7"/>
      <c r="VMO165" s="7"/>
      <c r="VMP165" s="7"/>
      <c r="VMQ165" s="7"/>
      <c r="VMR165" s="7"/>
      <c r="VMS165" s="7"/>
      <c r="VMT165" s="7"/>
      <c r="VMU165" s="7"/>
      <c r="VMV165" s="7"/>
      <c r="VMW165" s="7"/>
      <c r="VMX165" s="7"/>
      <c r="VMY165" s="7"/>
      <c r="VMZ165" s="7"/>
      <c r="VNA165" s="7"/>
      <c r="VNB165" s="7"/>
      <c r="VNC165" s="7"/>
      <c r="VND165" s="7"/>
      <c r="VNE165" s="7"/>
      <c r="VNF165" s="7"/>
      <c r="VNG165" s="7"/>
      <c r="VNH165" s="7"/>
      <c r="VNI165" s="7"/>
      <c r="VNJ165" s="7"/>
      <c r="VNK165" s="7"/>
      <c r="VNL165" s="7"/>
      <c r="VNM165" s="7"/>
      <c r="VNN165" s="7"/>
      <c r="VNO165" s="7"/>
      <c r="VNP165" s="7"/>
      <c r="VNQ165" s="7"/>
      <c r="VNR165" s="7"/>
      <c r="VNS165" s="7"/>
      <c r="VNT165" s="7"/>
      <c r="VNU165" s="7"/>
      <c r="VNV165" s="7"/>
      <c r="VNW165" s="7"/>
      <c r="VNX165" s="7"/>
      <c r="VNY165" s="7"/>
      <c r="VNZ165" s="7"/>
      <c r="VOA165" s="7"/>
      <c r="VOB165" s="7"/>
      <c r="VOC165" s="7"/>
      <c r="VOD165" s="7"/>
      <c r="VOE165" s="7"/>
      <c r="VOF165" s="7"/>
      <c r="VOG165" s="7"/>
      <c r="VOH165" s="7"/>
      <c r="VOI165" s="7"/>
      <c r="VOJ165" s="7"/>
      <c r="VOK165" s="7"/>
      <c r="VOL165" s="7"/>
      <c r="VOM165" s="7"/>
      <c r="VON165" s="7"/>
      <c r="VOO165" s="7"/>
      <c r="VOP165" s="7"/>
      <c r="VOQ165" s="7"/>
      <c r="VOR165" s="7"/>
      <c r="VOS165" s="7"/>
      <c r="VOT165" s="7"/>
      <c r="VOU165" s="7"/>
      <c r="VOV165" s="7"/>
      <c r="VOW165" s="7"/>
      <c r="VOX165" s="7"/>
      <c r="VOY165" s="7"/>
      <c r="VOZ165" s="7"/>
      <c r="VPA165" s="7"/>
      <c r="VPB165" s="7"/>
      <c r="VPC165" s="7"/>
      <c r="VPD165" s="7"/>
      <c r="VPE165" s="7"/>
      <c r="VPF165" s="7"/>
      <c r="VPG165" s="7"/>
      <c r="VPH165" s="7"/>
      <c r="VPI165" s="7"/>
      <c r="VPJ165" s="7"/>
      <c r="VPK165" s="7"/>
      <c r="VPL165" s="7"/>
      <c r="VPM165" s="7"/>
      <c r="VPN165" s="7"/>
      <c r="VPO165" s="7"/>
      <c r="VPP165" s="7"/>
      <c r="VPQ165" s="7"/>
      <c r="VPR165" s="7"/>
      <c r="VPS165" s="7"/>
      <c r="VPT165" s="7"/>
      <c r="VPU165" s="7"/>
      <c r="VPV165" s="7"/>
      <c r="VPW165" s="7"/>
      <c r="VPX165" s="7"/>
      <c r="VPY165" s="7"/>
      <c r="VPZ165" s="7"/>
      <c r="VQA165" s="7"/>
      <c r="VQB165" s="7"/>
      <c r="VQC165" s="7"/>
      <c r="VQD165" s="7"/>
      <c r="VQE165" s="7"/>
      <c r="VQF165" s="7"/>
      <c r="VQG165" s="7"/>
      <c r="VQH165" s="7"/>
      <c r="VQI165" s="7"/>
      <c r="VQJ165" s="7"/>
      <c r="VQK165" s="7"/>
      <c r="VQL165" s="7"/>
      <c r="VQM165" s="7"/>
      <c r="VQN165" s="7"/>
      <c r="VQO165" s="7"/>
      <c r="VQP165" s="7"/>
      <c r="VQQ165" s="7"/>
      <c r="VQR165" s="7"/>
      <c r="VQS165" s="7"/>
      <c r="VQT165" s="7"/>
      <c r="VQU165" s="7"/>
      <c r="VQV165" s="7"/>
      <c r="VQW165" s="7"/>
      <c r="VQX165" s="7"/>
      <c r="VQY165" s="7"/>
      <c r="VQZ165" s="7"/>
      <c r="VRA165" s="7"/>
      <c r="VRB165" s="7"/>
      <c r="VRC165" s="7"/>
      <c r="VRD165" s="7"/>
      <c r="VRE165" s="7"/>
      <c r="VRF165" s="7"/>
      <c r="VRG165" s="7"/>
      <c r="VRH165" s="7"/>
      <c r="VRI165" s="7"/>
      <c r="VRJ165" s="7"/>
      <c r="VRK165" s="7"/>
      <c r="VRL165" s="7"/>
      <c r="VRM165" s="7"/>
      <c r="VRN165" s="7"/>
      <c r="VRO165" s="7"/>
      <c r="VRP165" s="7"/>
      <c r="VRQ165" s="7"/>
      <c r="VRR165" s="7"/>
      <c r="VRS165" s="7"/>
      <c r="VRT165" s="7"/>
      <c r="VRU165" s="7"/>
      <c r="VRV165" s="7"/>
      <c r="VRW165" s="7"/>
      <c r="VRX165" s="7"/>
      <c r="VRY165" s="7"/>
      <c r="VRZ165" s="7"/>
      <c r="VSA165" s="7"/>
      <c r="VSB165" s="7"/>
      <c r="VSC165" s="7"/>
      <c r="VSD165" s="7"/>
      <c r="VSE165" s="7"/>
      <c r="VSF165" s="7"/>
      <c r="VSG165" s="7"/>
      <c r="VSH165" s="7"/>
      <c r="VSI165" s="7"/>
      <c r="VSJ165" s="7"/>
      <c r="VSK165" s="7"/>
      <c r="VSL165" s="7"/>
      <c r="VSM165" s="7"/>
      <c r="VSN165" s="7"/>
      <c r="VSO165" s="7"/>
      <c r="VSP165" s="7"/>
      <c r="VSQ165" s="7"/>
      <c r="VSR165" s="7"/>
      <c r="VSS165" s="7"/>
      <c r="VST165" s="7"/>
      <c r="VSU165" s="7"/>
      <c r="VSV165" s="7"/>
      <c r="VSW165" s="7"/>
      <c r="VSX165" s="7"/>
      <c r="VSY165" s="7"/>
      <c r="VSZ165" s="7"/>
      <c r="VTA165" s="7"/>
      <c r="VTB165" s="7"/>
      <c r="VTC165" s="7"/>
      <c r="VTD165" s="7"/>
      <c r="VTE165" s="7"/>
      <c r="VTF165" s="7"/>
      <c r="VTG165" s="7"/>
      <c r="VTH165" s="7"/>
      <c r="VTI165" s="7"/>
      <c r="VTJ165" s="7"/>
      <c r="VTK165" s="7"/>
      <c r="VTL165" s="7"/>
      <c r="VTM165" s="7"/>
      <c r="VTN165" s="7"/>
      <c r="VTO165" s="7"/>
      <c r="VTP165" s="7"/>
      <c r="VTQ165" s="7"/>
      <c r="VTR165" s="7"/>
      <c r="VTS165" s="7"/>
      <c r="VTT165" s="7"/>
      <c r="VTU165" s="7"/>
      <c r="VTV165" s="7"/>
      <c r="VTW165" s="7"/>
      <c r="VTX165" s="7"/>
      <c r="VTY165" s="7"/>
      <c r="VTZ165" s="7"/>
      <c r="VUA165" s="7"/>
      <c r="VUB165" s="7"/>
      <c r="VUC165" s="7"/>
      <c r="VUD165" s="7"/>
      <c r="VUE165" s="7"/>
      <c r="VUF165" s="7"/>
      <c r="VUG165" s="7"/>
      <c r="VUH165" s="7"/>
      <c r="VUI165" s="7"/>
      <c r="VUJ165" s="7"/>
      <c r="VUK165" s="7"/>
      <c r="VUL165" s="7"/>
      <c r="VUM165" s="7"/>
      <c r="VUN165" s="7"/>
      <c r="VUO165" s="7"/>
      <c r="VUP165" s="7"/>
      <c r="VUQ165" s="7"/>
      <c r="VUR165" s="7"/>
      <c r="VUS165" s="7"/>
      <c r="VUT165" s="7"/>
      <c r="VUU165" s="7"/>
      <c r="VUV165" s="7"/>
      <c r="VUW165" s="7"/>
      <c r="VUX165" s="7"/>
      <c r="VUY165" s="7"/>
      <c r="VUZ165" s="7"/>
      <c r="VVA165" s="7"/>
      <c r="VVB165" s="7"/>
      <c r="VVC165" s="7"/>
      <c r="VVD165" s="7"/>
      <c r="VVE165" s="7"/>
      <c r="VVF165" s="7"/>
      <c r="VVG165" s="7"/>
      <c r="VVH165" s="7"/>
      <c r="VVI165" s="7"/>
      <c r="VVJ165" s="7"/>
      <c r="VVK165" s="7"/>
      <c r="VVL165" s="7"/>
      <c r="VVM165" s="7"/>
      <c r="VVN165" s="7"/>
      <c r="VVO165" s="7"/>
      <c r="VVP165" s="7"/>
      <c r="VVQ165" s="7"/>
      <c r="VVR165" s="7"/>
      <c r="VVS165" s="7"/>
      <c r="VVT165" s="7"/>
      <c r="VVU165" s="7"/>
      <c r="VVV165" s="7"/>
      <c r="VVW165" s="7"/>
      <c r="VVX165" s="7"/>
      <c r="VVY165" s="7"/>
      <c r="VVZ165" s="7"/>
      <c r="VWA165" s="7"/>
      <c r="VWB165" s="7"/>
      <c r="VWC165" s="7"/>
      <c r="VWD165" s="7"/>
      <c r="VWE165" s="7"/>
      <c r="VWF165" s="7"/>
      <c r="VWG165" s="7"/>
      <c r="VWH165" s="7"/>
      <c r="VWI165" s="7"/>
      <c r="VWJ165" s="7"/>
      <c r="VWK165" s="7"/>
      <c r="VWL165" s="7"/>
      <c r="VWM165" s="7"/>
      <c r="VWN165" s="7"/>
      <c r="VWO165" s="7"/>
      <c r="VWP165" s="7"/>
      <c r="VWQ165" s="7"/>
      <c r="VWR165" s="7"/>
      <c r="VWS165" s="7"/>
      <c r="VWT165" s="7"/>
      <c r="VWU165" s="7"/>
      <c r="VWV165" s="7"/>
      <c r="VWW165" s="7"/>
      <c r="VWX165" s="7"/>
      <c r="VWY165" s="7"/>
      <c r="VWZ165" s="7"/>
      <c r="VXA165" s="7"/>
      <c r="VXB165" s="7"/>
      <c r="VXC165" s="7"/>
      <c r="VXD165" s="7"/>
      <c r="VXE165" s="7"/>
      <c r="VXF165" s="7"/>
      <c r="VXG165" s="7"/>
      <c r="VXH165" s="7"/>
      <c r="VXI165" s="7"/>
      <c r="VXJ165" s="7"/>
      <c r="VXK165" s="7"/>
      <c r="VXL165" s="7"/>
      <c r="VXM165" s="7"/>
      <c r="VXN165" s="7"/>
      <c r="VXO165" s="7"/>
      <c r="VXP165" s="7"/>
      <c r="VXQ165" s="7"/>
      <c r="VXR165" s="7"/>
      <c r="VXS165" s="7"/>
      <c r="VXT165" s="7"/>
      <c r="VXU165" s="7"/>
      <c r="VXV165" s="7"/>
      <c r="VXW165" s="7"/>
      <c r="VXX165" s="7"/>
      <c r="VXY165" s="7"/>
      <c r="VXZ165" s="7"/>
      <c r="VYA165" s="7"/>
      <c r="VYB165" s="7"/>
      <c r="VYC165" s="7"/>
      <c r="VYD165" s="7"/>
      <c r="VYE165" s="7"/>
      <c r="VYF165" s="7"/>
      <c r="VYG165" s="7"/>
      <c r="VYH165" s="7"/>
      <c r="VYI165" s="7"/>
      <c r="VYJ165" s="7"/>
      <c r="VYK165" s="7"/>
      <c r="VYL165" s="7"/>
      <c r="VYM165" s="7"/>
      <c r="VYN165" s="7"/>
      <c r="VYO165" s="7"/>
      <c r="VYP165" s="7"/>
      <c r="VYQ165" s="7"/>
      <c r="VYR165" s="7"/>
      <c r="VYS165" s="7"/>
      <c r="VYT165" s="7"/>
      <c r="VYU165" s="7"/>
      <c r="VYV165" s="7"/>
      <c r="VYW165" s="7"/>
      <c r="VYX165" s="7"/>
      <c r="VYY165" s="7"/>
      <c r="VYZ165" s="7"/>
      <c r="VZA165" s="7"/>
      <c r="VZB165" s="7"/>
      <c r="VZC165" s="7"/>
      <c r="VZD165" s="7"/>
      <c r="VZE165" s="7"/>
      <c r="VZF165" s="7"/>
      <c r="VZG165" s="7"/>
      <c r="VZH165" s="7"/>
      <c r="VZI165" s="7"/>
      <c r="VZJ165" s="7"/>
      <c r="VZK165" s="7"/>
      <c r="VZL165" s="7"/>
      <c r="VZM165" s="7"/>
      <c r="VZN165" s="7"/>
      <c r="VZO165" s="7"/>
      <c r="VZP165" s="7"/>
      <c r="VZQ165" s="7"/>
      <c r="VZR165" s="7"/>
      <c r="VZS165" s="7"/>
      <c r="VZT165" s="7"/>
      <c r="VZU165" s="7"/>
      <c r="VZV165" s="7"/>
      <c r="VZW165" s="7"/>
      <c r="VZX165" s="7"/>
      <c r="VZY165" s="7"/>
      <c r="VZZ165" s="7"/>
      <c r="WAA165" s="7"/>
      <c r="WAB165" s="7"/>
      <c r="WAC165" s="7"/>
      <c r="WAD165" s="7"/>
      <c r="WAE165" s="7"/>
      <c r="WAF165" s="7"/>
      <c r="WAG165" s="7"/>
      <c r="WAH165" s="7"/>
      <c r="WAI165" s="7"/>
      <c r="WAJ165" s="7"/>
      <c r="WAK165" s="7"/>
      <c r="WAL165" s="7"/>
      <c r="WAM165" s="7"/>
      <c r="WAN165" s="7"/>
      <c r="WAO165" s="7"/>
      <c r="WAP165" s="7"/>
      <c r="WAQ165" s="7"/>
      <c r="WAR165" s="7"/>
      <c r="WAS165" s="7"/>
      <c r="WAT165" s="7"/>
      <c r="WAU165" s="7"/>
      <c r="WAV165" s="7"/>
      <c r="WAW165" s="7"/>
      <c r="WAX165" s="7"/>
      <c r="WAY165" s="7"/>
      <c r="WAZ165" s="7"/>
      <c r="WBA165" s="7"/>
      <c r="WBB165" s="7"/>
      <c r="WBC165" s="7"/>
      <c r="WBD165" s="7"/>
      <c r="WBE165" s="7"/>
      <c r="WBF165" s="7"/>
      <c r="WBG165" s="7"/>
      <c r="WBH165" s="7"/>
      <c r="WBI165" s="7"/>
      <c r="WBJ165" s="7"/>
      <c r="WBK165" s="7"/>
      <c r="WBL165" s="7"/>
      <c r="WBM165" s="7"/>
      <c r="WBN165" s="7"/>
      <c r="WBO165" s="7"/>
      <c r="WBP165" s="7"/>
      <c r="WBQ165" s="7"/>
      <c r="WBR165" s="7"/>
      <c r="WBS165" s="7"/>
      <c r="WBT165" s="7"/>
      <c r="WBU165" s="7"/>
      <c r="WBV165" s="7"/>
      <c r="WBW165" s="7"/>
      <c r="WBX165" s="7"/>
      <c r="WBY165" s="7"/>
      <c r="WBZ165" s="7"/>
      <c r="WCA165" s="7"/>
      <c r="WCB165" s="7"/>
      <c r="WCC165" s="7"/>
      <c r="WCD165" s="7"/>
      <c r="WCE165" s="7"/>
      <c r="WCF165" s="7"/>
      <c r="WCG165" s="7"/>
      <c r="WCH165" s="7"/>
      <c r="WCI165" s="7"/>
      <c r="WCJ165" s="7"/>
      <c r="WCK165" s="7"/>
      <c r="WCL165" s="7"/>
      <c r="WCM165" s="7"/>
      <c r="WCN165" s="7"/>
      <c r="WCO165" s="7"/>
      <c r="WCP165" s="7"/>
      <c r="WCQ165" s="7"/>
      <c r="WCR165" s="7"/>
      <c r="WCS165" s="7"/>
      <c r="WCT165" s="7"/>
      <c r="WCU165" s="7"/>
      <c r="WCV165" s="7"/>
      <c r="WCW165" s="7"/>
      <c r="WCX165" s="7"/>
      <c r="WCY165" s="7"/>
      <c r="WCZ165" s="7"/>
      <c r="WDA165" s="7"/>
      <c r="WDB165" s="7"/>
      <c r="WDC165" s="7"/>
      <c r="WDD165" s="7"/>
      <c r="WDE165" s="7"/>
      <c r="WDF165" s="7"/>
      <c r="WDG165" s="7"/>
      <c r="WDH165" s="7"/>
      <c r="WDI165" s="7"/>
      <c r="WDJ165" s="7"/>
      <c r="WDK165" s="7"/>
      <c r="WDL165" s="7"/>
      <c r="WDM165" s="7"/>
      <c r="WDN165" s="7"/>
      <c r="WDO165" s="7"/>
      <c r="WDP165" s="7"/>
      <c r="WDQ165" s="7"/>
      <c r="WDR165" s="7"/>
      <c r="WDS165" s="7"/>
      <c r="WDT165" s="7"/>
      <c r="WDU165" s="7"/>
      <c r="WDV165" s="7"/>
      <c r="WDW165" s="7"/>
      <c r="WDX165" s="7"/>
      <c r="WDY165" s="7"/>
      <c r="WDZ165" s="7"/>
      <c r="WEA165" s="7"/>
      <c r="WEB165" s="7"/>
      <c r="WEC165" s="7"/>
      <c r="WED165" s="7"/>
      <c r="WEE165" s="7"/>
      <c r="WEF165" s="7"/>
      <c r="WEG165" s="7"/>
      <c r="WEH165" s="7"/>
      <c r="WEI165" s="7"/>
      <c r="WEJ165" s="7"/>
      <c r="WEK165" s="7"/>
      <c r="WEL165" s="7"/>
      <c r="WEM165" s="7"/>
      <c r="WEN165" s="7"/>
      <c r="WEO165" s="7"/>
      <c r="WEP165" s="7"/>
      <c r="WEQ165" s="7"/>
      <c r="WER165" s="7"/>
      <c r="WES165" s="7"/>
      <c r="WET165" s="7"/>
      <c r="WEU165" s="7"/>
      <c r="WEV165" s="7"/>
      <c r="WEW165" s="7"/>
      <c r="WEX165" s="7"/>
      <c r="WEY165" s="7"/>
      <c r="WEZ165" s="7"/>
      <c r="WFA165" s="7"/>
      <c r="WFB165" s="7"/>
      <c r="WFC165" s="7"/>
      <c r="WFD165" s="7"/>
      <c r="WFE165" s="7"/>
      <c r="WFF165" s="7"/>
      <c r="WFG165" s="7"/>
      <c r="WFH165" s="7"/>
      <c r="WFI165" s="7"/>
      <c r="WFJ165" s="7"/>
      <c r="WFK165" s="7"/>
      <c r="WFL165" s="7"/>
      <c r="WFM165" s="7"/>
      <c r="WFN165" s="7"/>
      <c r="WFO165" s="7"/>
      <c r="WFP165" s="7"/>
      <c r="WFQ165" s="7"/>
      <c r="WFR165" s="7"/>
      <c r="WFS165" s="7"/>
      <c r="WFT165" s="7"/>
      <c r="WFU165" s="7"/>
      <c r="WFV165" s="7"/>
      <c r="WFW165" s="7"/>
      <c r="WFX165" s="7"/>
      <c r="WFY165" s="7"/>
      <c r="WFZ165" s="7"/>
      <c r="WGA165" s="7"/>
      <c r="WGB165" s="7"/>
      <c r="WGC165" s="7"/>
      <c r="WGD165" s="7"/>
      <c r="WGE165" s="7"/>
      <c r="WGF165" s="7"/>
      <c r="WGG165" s="7"/>
      <c r="WGH165" s="7"/>
      <c r="WGI165" s="7"/>
      <c r="WGJ165" s="7"/>
      <c r="WGK165" s="7"/>
      <c r="WGL165" s="7"/>
      <c r="WGM165" s="7"/>
      <c r="WGN165" s="7"/>
      <c r="WGO165" s="7"/>
      <c r="WGP165" s="7"/>
      <c r="WGQ165" s="7"/>
      <c r="WGR165" s="7"/>
      <c r="WGS165" s="7"/>
      <c r="WGT165" s="7"/>
      <c r="WGU165" s="7"/>
      <c r="WGV165" s="7"/>
      <c r="WGW165" s="7"/>
      <c r="WGX165" s="7"/>
      <c r="WGY165" s="7"/>
      <c r="WGZ165" s="7"/>
      <c r="WHA165" s="7"/>
      <c r="WHB165" s="7"/>
      <c r="WHC165" s="7"/>
      <c r="WHD165" s="7"/>
      <c r="WHE165" s="7"/>
      <c r="WHF165" s="7"/>
      <c r="WHG165" s="7"/>
      <c r="WHH165" s="7"/>
      <c r="WHI165" s="7"/>
      <c r="WHJ165" s="7"/>
      <c r="WHK165" s="7"/>
      <c r="WHL165" s="7"/>
      <c r="WHM165" s="7"/>
      <c r="WHN165" s="7"/>
      <c r="WHO165" s="7"/>
      <c r="WHP165" s="7"/>
      <c r="WHQ165" s="7"/>
      <c r="WHR165" s="7"/>
      <c r="WHS165" s="7"/>
      <c r="WHT165" s="7"/>
      <c r="WHU165" s="7"/>
      <c r="WHV165" s="7"/>
      <c r="WHW165" s="7"/>
      <c r="WHX165" s="7"/>
      <c r="WHY165" s="7"/>
      <c r="WHZ165" s="7"/>
      <c r="WIA165" s="7"/>
      <c r="WIB165" s="7"/>
      <c r="WIC165" s="7"/>
      <c r="WID165" s="7"/>
      <c r="WIE165" s="7"/>
      <c r="WIF165" s="7"/>
      <c r="WIG165" s="7"/>
      <c r="WIH165" s="7"/>
      <c r="WII165" s="7"/>
      <c r="WIJ165" s="7"/>
      <c r="WIK165" s="7"/>
      <c r="WIL165" s="7"/>
      <c r="WIM165" s="7"/>
      <c r="WIN165" s="7"/>
      <c r="WIO165" s="7"/>
      <c r="WIP165" s="7"/>
      <c r="WIQ165" s="7"/>
      <c r="WIR165" s="7"/>
      <c r="WIS165" s="7"/>
      <c r="WIT165" s="7"/>
      <c r="WIU165" s="7"/>
      <c r="WIV165" s="7"/>
      <c r="WIW165" s="7"/>
      <c r="WIX165" s="7"/>
      <c r="WIY165" s="7"/>
      <c r="WIZ165" s="7"/>
      <c r="WJA165" s="7"/>
      <c r="WJB165" s="7"/>
      <c r="WJC165" s="7"/>
      <c r="WJD165" s="7"/>
      <c r="WJE165" s="7"/>
      <c r="WJF165" s="7"/>
      <c r="WJG165" s="7"/>
      <c r="WJH165" s="7"/>
      <c r="WJI165" s="7"/>
      <c r="WJJ165" s="7"/>
      <c r="WJK165" s="7"/>
      <c r="WJL165" s="7"/>
      <c r="WJM165" s="7"/>
      <c r="WJN165" s="7"/>
      <c r="WJO165" s="7"/>
      <c r="WJP165" s="7"/>
      <c r="WJQ165" s="7"/>
      <c r="WJR165" s="7"/>
      <c r="WJS165" s="7"/>
      <c r="WJT165" s="7"/>
      <c r="WJU165" s="7"/>
      <c r="WJV165" s="7"/>
      <c r="WJW165" s="7"/>
      <c r="WJX165" s="7"/>
      <c r="WJY165" s="7"/>
      <c r="WJZ165" s="7"/>
      <c r="WKA165" s="7"/>
      <c r="WKB165" s="7"/>
      <c r="WKC165" s="7"/>
      <c r="WKD165" s="7"/>
      <c r="WKE165" s="7"/>
      <c r="WKF165" s="7"/>
      <c r="WKG165" s="7"/>
      <c r="WKH165" s="7"/>
      <c r="WKI165" s="7"/>
      <c r="WKJ165" s="7"/>
      <c r="WKK165" s="7"/>
      <c r="WKL165" s="7"/>
      <c r="WKM165" s="7"/>
      <c r="WKN165" s="7"/>
      <c r="WKO165" s="7"/>
      <c r="WKP165" s="7"/>
      <c r="WKQ165" s="7"/>
      <c r="WKR165" s="7"/>
      <c r="WKS165" s="7"/>
      <c r="WKT165" s="7"/>
      <c r="WKU165" s="7"/>
      <c r="WKV165" s="7"/>
      <c r="WKW165" s="7"/>
      <c r="WKX165" s="7"/>
      <c r="WKY165" s="7"/>
      <c r="WKZ165" s="7"/>
      <c r="WLA165" s="7"/>
      <c r="WLB165" s="7"/>
      <c r="WLC165" s="7"/>
      <c r="WLD165" s="7"/>
      <c r="WLE165" s="7"/>
      <c r="WLF165" s="7"/>
      <c r="WLG165" s="7"/>
      <c r="WLH165" s="7"/>
      <c r="WLI165" s="7"/>
      <c r="WLJ165" s="7"/>
      <c r="WLK165" s="7"/>
      <c r="WLL165" s="7"/>
      <c r="WLM165" s="7"/>
      <c r="WLN165" s="7"/>
      <c r="WLO165" s="7"/>
      <c r="WLP165" s="7"/>
      <c r="WLQ165" s="7"/>
      <c r="WLR165" s="7"/>
      <c r="WLS165" s="7"/>
      <c r="WLT165" s="7"/>
      <c r="WLU165" s="7"/>
      <c r="WLV165" s="7"/>
      <c r="WLW165" s="7"/>
      <c r="WLX165" s="7"/>
      <c r="WLY165" s="7"/>
      <c r="WLZ165" s="7"/>
      <c r="WMA165" s="7"/>
      <c r="WMB165" s="7"/>
      <c r="WMC165" s="7"/>
      <c r="WMD165" s="7"/>
      <c r="WME165" s="7"/>
      <c r="WMF165" s="7"/>
      <c r="WMG165" s="7"/>
      <c r="WMH165" s="7"/>
      <c r="WMI165" s="7"/>
      <c r="WMJ165" s="7"/>
      <c r="WMK165" s="7"/>
      <c r="WML165" s="7"/>
      <c r="WMM165" s="7"/>
      <c r="WMN165" s="7"/>
      <c r="WMO165" s="7"/>
      <c r="WMP165" s="7"/>
      <c r="WMQ165" s="7"/>
      <c r="WMR165" s="7"/>
      <c r="WMS165" s="7"/>
      <c r="WMT165" s="7"/>
      <c r="WMU165" s="7"/>
      <c r="WMV165" s="7"/>
      <c r="WMW165" s="7"/>
      <c r="WMX165" s="7"/>
      <c r="WMY165" s="7"/>
      <c r="WMZ165" s="7"/>
      <c r="WNA165" s="7"/>
      <c r="WNB165" s="7"/>
      <c r="WNC165" s="7"/>
      <c r="WND165" s="7"/>
      <c r="WNE165" s="7"/>
      <c r="WNF165" s="7"/>
      <c r="WNG165" s="7"/>
      <c r="WNH165" s="7"/>
      <c r="WNI165" s="7"/>
      <c r="WNJ165" s="7"/>
      <c r="WNK165" s="7"/>
      <c r="WNL165" s="7"/>
      <c r="WNM165" s="7"/>
      <c r="WNN165" s="7"/>
      <c r="WNO165" s="7"/>
      <c r="WNP165" s="7"/>
      <c r="WNQ165" s="7"/>
      <c r="WNR165" s="7"/>
      <c r="WNS165" s="7"/>
      <c r="WNT165" s="7"/>
      <c r="WNU165" s="7"/>
      <c r="WNV165" s="7"/>
      <c r="WNW165" s="7"/>
      <c r="WNX165" s="7"/>
      <c r="WNY165" s="7"/>
      <c r="WNZ165" s="7"/>
      <c r="WOA165" s="7"/>
      <c r="WOB165" s="7"/>
      <c r="WOC165" s="7"/>
      <c r="WOD165" s="7"/>
      <c r="WOE165" s="7"/>
      <c r="WOF165" s="7"/>
      <c r="WOG165" s="7"/>
      <c r="WOH165" s="7"/>
      <c r="WOI165" s="7"/>
      <c r="WOJ165" s="7"/>
      <c r="WOK165" s="7"/>
      <c r="WOL165" s="7"/>
      <c r="WOM165" s="7"/>
      <c r="WON165" s="7"/>
      <c r="WOO165" s="7"/>
      <c r="WOP165" s="7"/>
      <c r="WOQ165" s="7"/>
      <c r="WOR165" s="7"/>
      <c r="WOS165" s="7"/>
      <c r="WOT165" s="7"/>
      <c r="WOU165" s="7"/>
      <c r="WOV165" s="7"/>
      <c r="WOW165" s="7"/>
      <c r="WOX165" s="7"/>
      <c r="WOY165" s="7"/>
      <c r="WOZ165" s="7"/>
      <c r="WPA165" s="7"/>
      <c r="WPB165" s="7"/>
      <c r="WPC165" s="7"/>
      <c r="WPD165" s="7"/>
      <c r="WPE165" s="7"/>
      <c r="WPF165" s="7"/>
      <c r="WPG165" s="7"/>
      <c r="WPH165" s="7"/>
      <c r="WPI165" s="7"/>
      <c r="WPJ165" s="7"/>
      <c r="WPK165" s="7"/>
      <c r="WPL165" s="7"/>
      <c r="WPM165" s="7"/>
      <c r="WPN165" s="7"/>
      <c r="WPO165" s="7"/>
      <c r="WPP165" s="7"/>
      <c r="WPQ165" s="7"/>
      <c r="WPR165" s="7"/>
      <c r="WPS165" s="7"/>
      <c r="WPT165" s="7"/>
      <c r="WPU165" s="7"/>
      <c r="WPV165" s="7"/>
      <c r="WPW165" s="7"/>
      <c r="WPX165" s="7"/>
      <c r="WPY165" s="7"/>
      <c r="WPZ165" s="7"/>
      <c r="WQA165" s="7"/>
      <c r="WQB165" s="7"/>
      <c r="WQC165" s="7"/>
      <c r="WQD165" s="7"/>
      <c r="WQE165" s="7"/>
      <c r="WQF165" s="7"/>
      <c r="WQG165" s="7"/>
      <c r="WQH165" s="7"/>
      <c r="WQI165" s="7"/>
      <c r="WQJ165" s="7"/>
      <c r="WQK165" s="7"/>
      <c r="WQL165" s="7"/>
      <c r="WQM165" s="7"/>
      <c r="WQN165" s="7"/>
      <c r="WQO165" s="7"/>
      <c r="WQP165" s="7"/>
      <c r="WQQ165" s="7"/>
      <c r="WQR165" s="7"/>
      <c r="WQS165" s="7"/>
      <c r="WQT165" s="7"/>
      <c r="WQU165" s="7"/>
      <c r="WQV165" s="7"/>
      <c r="WQW165" s="7"/>
      <c r="WQX165" s="7"/>
      <c r="WQY165" s="7"/>
      <c r="WQZ165" s="7"/>
      <c r="WRA165" s="7"/>
      <c r="WRB165" s="7"/>
      <c r="WRC165" s="7"/>
      <c r="WRD165" s="7"/>
      <c r="WRE165" s="7"/>
      <c r="WRF165" s="7"/>
      <c r="WRG165" s="7"/>
      <c r="WRH165" s="7"/>
      <c r="WRI165" s="7"/>
      <c r="WRJ165" s="7"/>
      <c r="WRK165" s="7"/>
      <c r="WRL165" s="7"/>
      <c r="WRM165" s="7"/>
      <c r="WRN165" s="7"/>
      <c r="WRO165" s="7"/>
      <c r="WRP165" s="7"/>
      <c r="WRQ165" s="7"/>
      <c r="WRR165" s="7"/>
      <c r="WRS165" s="7"/>
      <c r="WRT165" s="7"/>
      <c r="WRU165" s="7"/>
      <c r="WRV165" s="7"/>
      <c r="WRW165" s="7"/>
      <c r="WRX165" s="7"/>
      <c r="WRY165" s="7"/>
      <c r="WRZ165" s="7"/>
      <c r="WSA165" s="7"/>
      <c r="WSB165" s="7"/>
      <c r="WSC165" s="7"/>
      <c r="WSD165" s="7"/>
      <c r="WSE165" s="7"/>
      <c r="WSF165" s="7"/>
      <c r="WSG165" s="7"/>
      <c r="WSH165" s="7"/>
      <c r="WSI165" s="7"/>
      <c r="WSJ165" s="7"/>
      <c r="WSK165" s="7"/>
      <c r="WSL165" s="7"/>
      <c r="WSM165" s="7"/>
      <c r="WSN165" s="7"/>
      <c r="WSO165" s="7"/>
      <c r="WSP165" s="7"/>
      <c r="WSQ165" s="7"/>
      <c r="WSR165" s="7"/>
      <c r="WSS165" s="7"/>
      <c r="WST165" s="7"/>
      <c r="WSU165" s="7"/>
      <c r="WSV165" s="7"/>
      <c r="WSW165" s="7"/>
      <c r="WSX165" s="7"/>
      <c r="WSY165" s="7"/>
      <c r="WSZ165" s="7"/>
      <c r="WTA165" s="7"/>
      <c r="WTB165" s="7"/>
      <c r="WTC165" s="7"/>
      <c r="WTD165" s="7"/>
      <c r="WTE165" s="7"/>
      <c r="WTF165" s="7"/>
      <c r="WTG165" s="7"/>
      <c r="WTH165" s="7"/>
      <c r="WTI165" s="7"/>
      <c r="WTJ165" s="7"/>
      <c r="WTK165" s="7"/>
      <c r="WTL165" s="7"/>
      <c r="WTM165" s="7"/>
      <c r="WTN165" s="7"/>
      <c r="WTO165" s="7"/>
      <c r="WTP165" s="7"/>
      <c r="WTQ165" s="7"/>
      <c r="WTR165" s="7"/>
      <c r="WTS165" s="7"/>
      <c r="WTT165" s="7"/>
      <c r="WTU165" s="7"/>
      <c r="WTV165" s="7"/>
      <c r="WTW165" s="7"/>
      <c r="WTX165" s="7"/>
      <c r="WTY165" s="7"/>
      <c r="WTZ165" s="7"/>
      <c r="WUA165" s="7"/>
      <c r="WUB165" s="7"/>
      <c r="WUC165" s="7"/>
      <c r="WUD165" s="7"/>
      <c r="WUE165" s="7"/>
      <c r="WUF165" s="7"/>
      <c r="WUG165" s="7"/>
      <c r="WUH165" s="7"/>
      <c r="WUI165" s="7"/>
      <c r="WUJ165" s="7"/>
      <c r="WUK165" s="7"/>
      <c r="WUL165" s="7"/>
      <c r="WUM165" s="7"/>
      <c r="WUN165" s="7"/>
      <c r="WUO165" s="7"/>
      <c r="WUP165" s="7"/>
      <c r="WUQ165" s="7"/>
      <c r="WUR165" s="7"/>
      <c r="WUS165" s="7"/>
      <c r="WUT165" s="7"/>
      <c r="WUU165" s="7"/>
      <c r="WUV165" s="7"/>
      <c r="WUW165" s="7"/>
      <c r="WUX165" s="7"/>
      <c r="WUY165" s="7"/>
      <c r="WUZ165" s="7"/>
      <c r="WVA165" s="7"/>
      <c r="WVB165" s="7"/>
      <c r="WVC165" s="7"/>
      <c r="WVD165" s="7"/>
      <c r="WVE165" s="7"/>
      <c r="WVF165" s="7"/>
      <c r="WVG165" s="7"/>
      <c r="WVH165" s="7"/>
      <c r="WVI165" s="7"/>
      <c r="WVJ165" s="7"/>
      <c r="WVK165" s="7"/>
      <c r="WVL165" s="7"/>
      <c r="WVM165" s="7"/>
      <c r="WVN165" s="7"/>
      <c r="WVO165" s="7"/>
      <c r="WVP165" s="7"/>
      <c r="WVQ165" s="7"/>
      <c r="WVR165" s="7"/>
      <c r="WVS165" s="7"/>
      <c r="WVT165" s="7"/>
      <c r="WVU165" s="7"/>
      <c r="WVV165" s="7"/>
      <c r="WVW165" s="7"/>
      <c r="WVX165" s="7"/>
      <c r="WVY165" s="7"/>
      <c r="WVZ165" s="7"/>
      <c r="WWA165" s="7"/>
      <c r="WWB165" s="7"/>
      <c r="WWC165" s="7"/>
      <c r="WWD165" s="7"/>
      <c r="WWE165" s="7"/>
      <c r="WWF165" s="7"/>
      <c r="WWG165" s="7"/>
      <c r="WWH165" s="7"/>
      <c r="WWI165" s="7"/>
      <c r="WWJ165" s="7"/>
      <c r="WWK165" s="7"/>
      <c r="WWL165" s="7"/>
      <c r="WWM165" s="7"/>
      <c r="WWN165" s="7"/>
      <c r="WWO165" s="7"/>
      <c r="WWP165" s="7"/>
      <c r="WWQ165" s="7"/>
      <c r="WWR165" s="7"/>
      <c r="WWS165" s="7"/>
      <c r="WWT165" s="7"/>
      <c r="WWU165" s="7"/>
      <c r="WWV165" s="7"/>
      <c r="WWW165" s="7"/>
      <c r="WWX165" s="7"/>
      <c r="WWY165" s="7"/>
      <c r="WWZ165" s="7"/>
      <c r="WXA165" s="7"/>
      <c r="WXB165" s="7"/>
      <c r="WXC165" s="7"/>
      <c r="WXD165" s="7"/>
      <c r="WXE165" s="7"/>
      <c r="WXF165" s="7"/>
      <c r="WXG165" s="7"/>
      <c r="WXH165" s="7"/>
      <c r="WXI165" s="7"/>
      <c r="WXJ165" s="7"/>
      <c r="WXK165" s="7"/>
      <c r="WXL165" s="7"/>
      <c r="WXM165" s="7"/>
      <c r="WXN165" s="7"/>
      <c r="WXO165" s="7"/>
      <c r="WXP165" s="7"/>
      <c r="WXQ165" s="7"/>
      <c r="WXR165" s="7"/>
      <c r="WXS165" s="7"/>
      <c r="WXT165" s="7"/>
      <c r="WXU165" s="7"/>
      <c r="WXV165" s="7"/>
      <c r="WXW165" s="7"/>
      <c r="WXX165" s="7"/>
      <c r="WXY165" s="7"/>
      <c r="WXZ165" s="7"/>
      <c r="WYA165" s="7"/>
      <c r="WYB165" s="7"/>
      <c r="WYC165" s="7"/>
      <c r="WYD165" s="7"/>
      <c r="WYE165" s="7"/>
      <c r="WYF165" s="7"/>
      <c r="WYG165" s="7"/>
      <c r="WYH165" s="7"/>
      <c r="WYI165" s="7"/>
      <c r="WYJ165" s="7"/>
      <c r="WYK165" s="7"/>
      <c r="WYL165" s="7"/>
      <c r="WYM165" s="7"/>
      <c r="WYN165" s="7"/>
      <c r="WYO165" s="7"/>
      <c r="WYP165" s="7"/>
      <c r="WYQ165" s="7"/>
      <c r="WYR165" s="7"/>
      <c r="WYS165" s="7"/>
      <c r="WYT165" s="7"/>
      <c r="WYU165" s="7"/>
      <c r="WYV165" s="7"/>
      <c r="WYW165" s="7"/>
      <c r="WYX165" s="7"/>
      <c r="WYY165" s="7"/>
      <c r="WYZ165" s="7"/>
      <c r="WZA165" s="7"/>
      <c r="WZB165" s="7"/>
      <c r="WZC165" s="7"/>
      <c r="WZD165" s="7"/>
      <c r="WZE165" s="7"/>
      <c r="WZF165" s="7"/>
      <c r="WZG165" s="7"/>
      <c r="WZH165" s="7"/>
      <c r="WZI165" s="7"/>
      <c r="WZJ165" s="7"/>
      <c r="WZK165" s="7"/>
      <c r="WZL165" s="7"/>
      <c r="WZM165" s="7"/>
      <c r="WZN165" s="7"/>
      <c r="WZO165" s="7"/>
      <c r="WZP165" s="7"/>
      <c r="WZQ165" s="7"/>
      <c r="WZR165" s="7"/>
      <c r="WZS165" s="7"/>
      <c r="WZT165" s="7"/>
      <c r="WZU165" s="7"/>
      <c r="WZV165" s="7"/>
      <c r="WZW165" s="7"/>
      <c r="WZX165" s="7"/>
      <c r="WZY165" s="7"/>
      <c r="WZZ165" s="7"/>
      <c r="XAA165" s="7"/>
      <c r="XAB165" s="7"/>
      <c r="XAC165" s="7"/>
      <c r="XAD165" s="7"/>
      <c r="XAE165" s="7"/>
      <c r="XAF165" s="7"/>
      <c r="XAG165" s="7"/>
      <c r="XAH165" s="7"/>
      <c r="XAI165" s="7"/>
      <c r="XAJ165" s="7"/>
      <c r="XAK165" s="7"/>
      <c r="XAL165" s="7"/>
      <c r="XAM165" s="7"/>
      <c r="XAN165" s="7"/>
      <c r="XAO165" s="7"/>
      <c r="XAP165" s="7"/>
      <c r="XAQ165" s="7"/>
      <c r="XAR165" s="7"/>
      <c r="XAS165" s="7"/>
      <c r="XAT165" s="7"/>
      <c r="XAU165" s="7"/>
      <c r="XAV165" s="7"/>
      <c r="XAW165" s="7"/>
      <c r="XAX165" s="7"/>
      <c r="XAY165" s="7"/>
      <c r="XAZ165" s="7"/>
      <c r="XBA165" s="7"/>
      <c r="XBB165" s="7"/>
      <c r="XBC165" s="7"/>
      <c r="XBD165" s="7"/>
      <c r="XBE165" s="7"/>
      <c r="XBF165" s="7"/>
      <c r="XBG165" s="7"/>
      <c r="XBH165" s="7"/>
      <c r="XBI165" s="7"/>
      <c r="XBJ165" s="7"/>
      <c r="XBK165" s="7"/>
      <c r="XBL165" s="7"/>
      <c r="XBM165" s="7"/>
      <c r="XBN165" s="7"/>
      <c r="XBO165" s="7"/>
      <c r="XBP165" s="7"/>
      <c r="XBQ165" s="7"/>
      <c r="XBR165" s="7"/>
      <c r="XBS165" s="7"/>
      <c r="XBT165" s="7"/>
      <c r="XBU165" s="7"/>
      <c r="XBV165" s="7"/>
      <c r="XBW165" s="7"/>
      <c r="XBX165" s="7"/>
      <c r="XBY165" s="7"/>
      <c r="XBZ165" s="7"/>
      <c r="XCA165" s="7"/>
      <c r="XCB165" s="7"/>
      <c r="XCC165" s="7"/>
      <c r="XCD165" s="7"/>
      <c r="XCE165" s="7"/>
      <c r="XCF165" s="7"/>
      <c r="XCG165" s="7"/>
      <c r="XCH165" s="7"/>
      <c r="XCI165" s="7"/>
      <c r="XCJ165" s="7"/>
      <c r="XCK165" s="7"/>
      <c r="XCL165" s="7"/>
      <c r="XCM165" s="7"/>
      <c r="XCN165" s="7"/>
      <c r="XCO165" s="7"/>
      <c r="XCP165" s="7"/>
      <c r="XCQ165" s="7"/>
      <c r="XCR165" s="7"/>
      <c r="XCS165" s="7"/>
      <c r="XCT165" s="7"/>
      <c r="XCU165" s="7"/>
      <c r="XCV165" s="7"/>
      <c r="XCW165" s="7"/>
      <c r="XCX165" s="7"/>
      <c r="XCY165" s="7"/>
      <c r="XCZ165" s="7"/>
      <c r="XDA165" s="7"/>
      <c r="XDB165" s="7"/>
      <c r="XDC165" s="7"/>
      <c r="XDD165" s="7"/>
      <c r="XDE165" s="7"/>
      <c r="XDF165" s="7"/>
      <c r="XDG165" s="7"/>
      <c r="XDH165" s="7"/>
      <c r="XDI165" s="7"/>
      <c r="XDJ165" s="7"/>
      <c r="XDK165" s="7"/>
      <c r="XDL165" s="7"/>
      <c r="XDM165" s="7"/>
      <c r="XDN165" s="7"/>
      <c r="XDO165" s="7"/>
      <c r="XDP165" s="7"/>
      <c r="XDQ165" s="7"/>
      <c r="XDR165" s="7"/>
      <c r="XDS165" s="7"/>
      <c r="XDT165" s="7"/>
      <c r="XDU165" s="7"/>
      <c r="XDV165" s="7"/>
      <c r="XDW165" s="7"/>
      <c r="XDX165" s="7"/>
      <c r="XDY165" s="7"/>
      <c r="XDZ165" s="7"/>
      <c r="XEA165" s="7"/>
      <c r="XEB165" s="7"/>
      <c r="XEC165" s="7"/>
      <c r="XED165" s="7"/>
      <c r="XEE165" s="7"/>
      <c r="XEF165" s="7"/>
      <c r="XEG165" s="7"/>
      <c r="XEH165" s="7"/>
      <c r="XEI165" s="7"/>
      <c r="XEJ165" s="7"/>
      <c r="XEK165" s="7"/>
      <c r="XEL165" s="7"/>
      <c r="XEM165" s="7"/>
      <c r="XEN165" s="7"/>
      <c r="XEO165" s="7"/>
      <c r="XEP165" s="7"/>
      <c r="XEQ165" s="7"/>
      <c r="XER165" s="7"/>
      <c r="XES165" s="7"/>
      <c r="XET165" s="7"/>
      <c r="XEU165" s="7"/>
      <c r="XEV165" s="7"/>
      <c r="XEW165" s="7"/>
      <c r="XEX165" s="7"/>
      <c r="XEY165" s="7"/>
      <c r="XEZ165" s="7"/>
      <c r="XFA165" s="7"/>
      <c r="XFB165" s="7"/>
    </row>
    <row r="166" spans="1:16382" s="7" customFormat="1" ht="12.75" customHeight="1" x14ac:dyDescent="0.2">
      <c r="A166" s="131" t="s">
        <v>84</v>
      </c>
      <c r="B166" s="132">
        <v>1</v>
      </c>
      <c r="C166" s="133" t="s">
        <v>91</v>
      </c>
      <c r="D166" s="133" t="s">
        <v>89</v>
      </c>
      <c r="E166" s="134"/>
      <c r="F166" s="134">
        <v>2930922041</v>
      </c>
      <c r="G166" s="134"/>
      <c r="H166" s="135">
        <v>80111600</v>
      </c>
      <c r="I166" s="136" t="s">
        <v>886</v>
      </c>
      <c r="J166" s="137">
        <v>1</v>
      </c>
      <c r="K166" s="138">
        <v>1</v>
      </c>
      <c r="L166" s="139">
        <v>12</v>
      </c>
      <c r="M166" s="132">
        <f t="shared" si="31"/>
        <v>1</v>
      </c>
      <c r="N166" s="140" t="s">
        <v>216</v>
      </c>
      <c r="O166" s="141" t="str">
        <f>IF(ISBLANK(N166),"",VLOOKUP(N166,[15]Parámetros!$G$2:$H$23,2,FALSE))</f>
        <v>Contratación directa.</v>
      </c>
      <c r="P166" s="142">
        <f t="shared" si="29"/>
        <v>1</v>
      </c>
      <c r="Q166" s="143">
        <f t="shared" si="32"/>
        <v>2930922041</v>
      </c>
      <c r="R166" s="143">
        <f t="shared" si="33"/>
        <v>2930922041</v>
      </c>
      <c r="S166" s="144" t="s">
        <v>222</v>
      </c>
      <c r="T166" s="140">
        <f t="shared" si="30"/>
        <v>0</v>
      </c>
      <c r="U166" s="145" t="str">
        <f t="shared" si="34"/>
        <v>SUBDIRECCION DE GESTION CONTRACTUAL</v>
      </c>
      <c r="V166" s="132" t="str">
        <f t="shared" si="25"/>
        <v>CO-DC</v>
      </c>
      <c r="W166" s="145" t="str">
        <f t="shared" si="26"/>
        <v>Distrito Capital de Bogotá</v>
      </c>
      <c r="X166" s="146" t="s">
        <v>628</v>
      </c>
      <c r="Y166" s="132">
        <v>2427400</v>
      </c>
      <c r="Z166" s="148" t="s">
        <v>87</v>
      </c>
    </row>
    <row r="167" spans="1:16382" s="7" customFormat="1" ht="12.75" customHeight="1" x14ac:dyDescent="0.2">
      <c r="A167" s="131" t="s">
        <v>84</v>
      </c>
      <c r="B167" s="132">
        <v>2</v>
      </c>
      <c r="C167" s="133" t="s">
        <v>329</v>
      </c>
      <c r="D167" s="133" t="s">
        <v>89</v>
      </c>
      <c r="E167" s="134"/>
      <c r="F167" s="134">
        <v>1002214917</v>
      </c>
      <c r="G167" s="134"/>
      <c r="H167" s="135">
        <v>80111600</v>
      </c>
      <c r="I167" s="136" t="s">
        <v>886</v>
      </c>
      <c r="J167" s="137">
        <v>1</v>
      </c>
      <c r="K167" s="138">
        <v>1</v>
      </c>
      <c r="L167" s="139">
        <v>12</v>
      </c>
      <c r="M167" s="132">
        <f t="shared" si="31"/>
        <v>1</v>
      </c>
      <c r="N167" s="140" t="s">
        <v>216</v>
      </c>
      <c r="O167" s="141" t="str">
        <f>IF(ISBLANK(N167),"",VLOOKUP(N167,[15]Parámetros!$G$2:$H$23,2,FALSE))</f>
        <v>Contratación directa.</v>
      </c>
      <c r="P167" s="142">
        <f t="shared" si="29"/>
        <v>1</v>
      </c>
      <c r="Q167" s="143">
        <f t="shared" si="32"/>
        <v>1002214917</v>
      </c>
      <c r="R167" s="143">
        <f t="shared" si="33"/>
        <v>1002214917</v>
      </c>
      <c r="S167" s="144" t="s">
        <v>222</v>
      </c>
      <c r="T167" s="140">
        <f t="shared" si="30"/>
        <v>0</v>
      </c>
      <c r="U167" s="145" t="str">
        <f t="shared" si="34"/>
        <v>SUBDIRECCION DE GESTION CONTRACTUAL</v>
      </c>
      <c r="V167" s="132" t="str">
        <f t="shared" si="25"/>
        <v>CO-DC</v>
      </c>
      <c r="W167" s="145" t="str">
        <f t="shared" si="26"/>
        <v>Distrito Capital de Bogotá</v>
      </c>
      <c r="X167" s="146" t="s">
        <v>628</v>
      </c>
      <c r="Y167" s="132">
        <v>2427400</v>
      </c>
      <c r="Z167" s="148" t="s">
        <v>87</v>
      </c>
    </row>
    <row r="168" spans="1:16382" s="7" customFormat="1" ht="12.75" customHeight="1" x14ac:dyDescent="0.2">
      <c r="A168" s="131" t="s">
        <v>84</v>
      </c>
      <c r="B168" s="132">
        <v>3</v>
      </c>
      <c r="C168" s="133" t="s">
        <v>330</v>
      </c>
      <c r="D168" s="133" t="s">
        <v>89</v>
      </c>
      <c r="E168" s="134"/>
      <c r="F168" s="134">
        <v>377068280</v>
      </c>
      <c r="G168" s="134"/>
      <c r="H168" s="135">
        <v>80111600</v>
      </c>
      <c r="I168" s="136" t="s">
        <v>886</v>
      </c>
      <c r="J168" s="137">
        <v>1</v>
      </c>
      <c r="K168" s="138">
        <v>1</v>
      </c>
      <c r="L168" s="139">
        <v>12</v>
      </c>
      <c r="M168" s="132">
        <f t="shared" si="31"/>
        <v>1</v>
      </c>
      <c r="N168" s="140" t="s">
        <v>216</v>
      </c>
      <c r="O168" s="141" t="str">
        <f>IF(ISBLANK(N168),"",VLOOKUP(N168,[15]Parámetros!$G$2:$H$23,2,FALSE))</f>
        <v>Contratación directa.</v>
      </c>
      <c r="P168" s="142">
        <f t="shared" si="29"/>
        <v>1</v>
      </c>
      <c r="Q168" s="143">
        <f t="shared" si="32"/>
        <v>377068280</v>
      </c>
      <c r="R168" s="143">
        <f t="shared" si="33"/>
        <v>377068280</v>
      </c>
      <c r="S168" s="144" t="s">
        <v>222</v>
      </c>
      <c r="T168" s="140">
        <f t="shared" si="30"/>
        <v>0</v>
      </c>
      <c r="U168" s="145" t="str">
        <f t="shared" si="34"/>
        <v>SUBDIRECCION DE GESTION CONTRACTUAL</v>
      </c>
      <c r="V168" s="132" t="str">
        <f t="shared" si="25"/>
        <v>CO-DC</v>
      </c>
      <c r="W168" s="145" t="str">
        <f t="shared" si="26"/>
        <v>Distrito Capital de Bogotá</v>
      </c>
      <c r="X168" s="146" t="s">
        <v>628</v>
      </c>
      <c r="Y168" s="132">
        <v>2427400</v>
      </c>
      <c r="Z168" s="148" t="s">
        <v>87</v>
      </c>
    </row>
    <row r="169" spans="1:16382" s="7" customFormat="1" ht="12.75" customHeight="1" x14ac:dyDescent="0.2">
      <c r="A169" s="131" t="s">
        <v>84</v>
      </c>
      <c r="B169" s="132">
        <f t="shared" ref="B169:B200" si="37">+B168+1</f>
        <v>4</v>
      </c>
      <c r="C169" s="133" t="s">
        <v>91</v>
      </c>
      <c r="D169" s="133" t="s">
        <v>89</v>
      </c>
      <c r="E169" s="134"/>
      <c r="F169" s="134">
        <f>6775505000+325175000</f>
        <v>7100680000</v>
      </c>
      <c r="G169" s="134"/>
      <c r="H169" s="135" t="s">
        <v>752</v>
      </c>
      <c r="I169" s="136" t="s">
        <v>887</v>
      </c>
      <c r="J169" s="137">
        <v>2</v>
      </c>
      <c r="K169" s="138">
        <v>3</v>
      </c>
      <c r="L169" s="139">
        <v>9</v>
      </c>
      <c r="M169" s="132">
        <f t="shared" si="31"/>
        <v>1</v>
      </c>
      <c r="N169" s="140" t="s">
        <v>226</v>
      </c>
      <c r="O169" s="141" t="str">
        <f>IF(ISBLANK(N169),"",VLOOKUP(N169,[15]Parámetros!$G$2:$H$23,2,FALSE))</f>
        <v>Licitación pública</v>
      </c>
      <c r="P169" s="142">
        <f t="shared" si="29"/>
        <v>1</v>
      </c>
      <c r="Q169" s="143">
        <f t="shared" si="32"/>
        <v>7100680000</v>
      </c>
      <c r="R169" s="143">
        <f t="shared" si="33"/>
        <v>7100680000</v>
      </c>
      <c r="S169" s="144" t="s">
        <v>222</v>
      </c>
      <c r="T169" s="140">
        <f t="shared" si="30"/>
        <v>0</v>
      </c>
      <c r="U169" s="145" t="str">
        <f t="shared" si="34"/>
        <v>SUBDIRECCION DE GESTION CONTRACTUAL</v>
      </c>
      <c r="V169" s="132" t="str">
        <f t="shared" si="25"/>
        <v>CO-DC</v>
      </c>
      <c r="W169" s="145" t="str">
        <f t="shared" si="26"/>
        <v>Distrito Capital de Bogotá</v>
      </c>
      <c r="X169" s="146" t="s">
        <v>628</v>
      </c>
      <c r="Y169" s="132">
        <v>2427400</v>
      </c>
      <c r="Z169" s="148" t="s">
        <v>87</v>
      </c>
    </row>
    <row r="170" spans="1:16382" s="7" customFormat="1" ht="12.75" customHeight="1" x14ac:dyDescent="0.2">
      <c r="A170" s="131" t="s">
        <v>84</v>
      </c>
      <c r="B170" s="132">
        <f t="shared" si="37"/>
        <v>5</v>
      </c>
      <c r="C170" s="133" t="s">
        <v>329</v>
      </c>
      <c r="D170" s="133" t="s">
        <v>89</v>
      </c>
      <c r="E170" s="134"/>
      <c r="F170" s="134">
        <f>3133047492+96000000</f>
        <v>3229047492</v>
      </c>
      <c r="G170" s="134"/>
      <c r="H170" s="135" t="s">
        <v>752</v>
      </c>
      <c r="I170" s="136" t="s">
        <v>887</v>
      </c>
      <c r="J170" s="137">
        <v>2</v>
      </c>
      <c r="K170" s="138">
        <v>3</v>
      </c>
      <c r="L170" s="139">
        <v>9</v>
      </c>
      <c r="M170" s="132">
        <f t="shared" si="31"/>
        <v>1</v>
      </c>
      <c r="N170" s="140" t="s">
        <v>226</v>
      </c>
      <c r="O170" s="141" t="str">
        <f>IF(ISBLANK(N170),"",VLOOKUP(N170,[15]Parámetros!$G$2:$H$23,2,FALSE))</f>
        <v>Licitación pública</v>
      </c>
      <c r="P170" s="142">
        <f t="shared" si="29"/>
        <v>1</v>
      </c>
      <c r="Q170" s="143">
        <f t="shared" si="32"/>
        <v>3229047492</v>
      </c>
      <c r="R170" s="143">
        <f t="shared" si="33"/>
        <v>3229047492</v>
      </c>
      <c r="S170" s="144" t="s">
        <v>222</v>
      </c>
      <c r="T170" s="140">
        <f t="shared" si="30"/>
        <v>0</v>
      </c>
      <c r="U170" s="145" t="str">
        <f t="shared" si="34"/>
        <v>SUBDIRECCION DE GESTION CONTRACTUAL</v>
      </c>
      <c r="V170" s="132" t="str">
        <f t="shared" si="25"/>
        <v>CO-DC</v>
      </c>
      <c r="W170" s="145" t="str">
        <f t="shared" si="26"/>
        <v>Distrito Capital de Bogotá</v>
      </c>
      <c r="X170" s="146" t="s">
        <v>628</v>
      </c>
      <c r="Y170" s="132">
        <v>2427400</v>
      </c>
      <c r="Z170" s="148" t="s">
        <v>87</v>
      </c>
    </row>
    <row r="171" spans="1:16382" s="7" customFormat="1" ht="12.75" customHeight="1" x14ac:dyDescent="0.2">
      <c r="A171" s="131" t="s">
        <v>84</v>
      </c>
      <c r="B171" s="132">
        <f t="shared" si="37"/>
        <v>6</v>
      </c>
      <c r="C171" s="133" t="s">
        <v>330</v>
      </c>
      <c r="D171" s="133" t="s">
        <v>89</v>
      </c>
      <c r="E171" s="134"/>
      <c r="F171" s="134">
        <f>77250000+865200000+77250000</f>
        <v>1019700000</v>
      </c>
      <c r="G171" s="134"/>
      <c r="H171" s="135" t="s">
        <v>752</v>
      </c>
      <c r="I171" s="136" t="s">
        <v>887</v>
      </c>
      <c r="J171" s="137">
        <v>2</v>
      </c>
      <c r="K171" s="138">
        <v>3</v>
      </c>
      <c r="L171" s="139">
        <v>9</v>
      </c>
      <c r="M171" s="132">
        <f t="shared" si="31"/>
        <v>1</v>
      </c>
      <c r="N171" s="140" t="s">
        <v>226</v>
      </c>
      <c r="O171" s="141" t="str">
        <f>IF(ISBLANK(N171),"",VLOOKUP(N171,[15]Parámetros!$G$2:$H$23,2,FALSE))</f>
        <v>Licitación pública</v>
      </c>
      <c r="P171" s="142">
        <f t="shared" si="29"/>
        <v>1</v>
      </c>
      <c r="Q171" s="143">
        <f t="shared" si="32"/>
        <v>1019700000</v>
      </c>
      <c r="R171" s="143">
        <f t="shared" si="33"/>
        <v>1019700000</v>
      </c>
      <c r="S171" s="144" t="s">
        <v>222</v>
      </c>
      <c r="T171" s="140">
        <f t="shared" si="30"/>
        <v>0</v>
      </c>
      <c r="U171" s="145" t="str">
        <f t="shared" si="34"/>
        <v>SUBDIRECCION DE GESTION CONTRACTUAL</v>
      </c>
      <c r="V171" s="132" t="str">
        <f t="shared" si="25"/>
        <v>CO-DC</v>
      </c>
      <c r="W171" s="145" t="str">
        <f t="shared" si="26"/>
        <v>Distrito Capital de Bogotá</v>
      </c>
      <c r="X171" s="146" t="s">
        <v>628</v>
      </c>
      <c r="Y171" s="132">
        <v>2427400</v>
      </c>
      <c r="Z171" s="148" t="s">
        <v>87</v>
      </c>
    </row>
    <row r="172" spans="1:16382" s="7" customFormat="1" ht="12.75" customHeight="1" x14ac:dyDescent="0.2">
      <c r="A172" s="131" t="s">
        <v>84</v>
      </c>
      <c r="B172" s="132">
        <f t="shared" si="37"/>
        <v>7</v>
      </c>
      <c r="C172" s="133" t="s">
        <v>91</v>
      </c>
      <c r="D172" s="133" t="s">
        <v>89</v>
      </c>
      <c r="E172" s="134"/>
      <c r="F172" s="134">
        <v>451170000</v>
      </c>
      <c r="G172" s="134"/>
      <c r="H172" s="135" t="s">
        <v>42</v>
      </c>
      <c r="I172" s="136" t="s">
        <v>888</v>
      </c>
      <c r="J172" s="137">
        <v>3</v>
      </c>
      <c r="K172" s="138">
        <v>4</v>
      </c>
      <c r="L172" s="139">
        <v>9</v>
      </c>
      <c r="M172" s="132">
        <f t="shared" si="31"/>
        <v>1</v>
      </c>
      <c r="N172" s="140" t="s">
        <v>61</v>
      </c>
      <c r="O172" s="141" t="str">
        <f>IF(ISBLANK(N172),"",VLOOKUP(N172,[15]Parámetros!$G$2:$H$23,2,FALSE))</f>
        <v>Contratación régimen especial - Selección de comisionista</v>
      </c>
      <c r="P172" s="142">
        <f t="shared" si="29"/>
        <v>1</v>
      </c>
      <c r="Q172" s="143">
        <f t="shared" si="32"/>
        <v>451170000</v>
      </c>
      <c r="R172" s="143">
        <f t="shared" si="33"/>
        <v>451170000</v>
      </c>
      <c r="S172" s="144" t="s">
        <v>222</v>
      </c>
      <c r="T172" s="140">
        <f t="shared" si="30"/>
        <v>0</v>
      </c>
      <c r="U172" s="145" t="str">
        <f t="shared" si="34"/>
        <v>SUBDIRECCION DE GESTION CONTRACTUAL</v>
      </c>
      <c r="V172" s="132" t="str">
        <f t="shared" si="25"/>
        <v>CO-DC</v>
      </c>
      <c r="W172" s="145" t="str">
        <f t="shared" si="26"/>
        <v>Distrito Capital de Bogotá</v>
      </c>
      <c r="X172" s="146" t="s">
        <v>331</v>
      </c>
      <c r="Y172" s="132">
        <v>2427400</v>
      </c>
      <c r="Z172" s="148" t="s">
        <v>75</v>
      </c>
    </row>
    <row r="173" spans="1:16382" s="7" customFormat="1" ht="12.75" customHeight="1" x14ac:dyDescent="0.2">
      <c r="A173" s="131" t="s">
        <v>84</v>
      </c>
      <c r="B173" s="132">
        <f t="shared" si="37"/>
        <v>8</v>
      </c>
      <c r="C173" s="133" t="s">
        <v>329</v>
      </c>
      <c r="D173" s="133" t="s">
        <v>89</v>
      </c>
      <c r="E173" s="134"/>
      <c r="F173" s="134">
        <v>187110000</v>
      </c>
      <c r="G173" s="134"/>
      <c r="H173" s="135" t="s">
        <v>42</v>
      </c>
      <c r="I173" s="136" t="s">
        <v>888</v>
      </c>
      <c r="J173" s="137">
        <v>3</v>
      </c>
      <c r="K173" s="138">
        <v>4</v>
      </c>
      <c r="L173" s="139">
        <v>9</v>
      </c>
      <c r="M173" s="132">
        <f t="shared" si="31"/>
        <v>1</v>
      </c>
      <c r="N173" s="140" t="s">
        <v>61</v>
      </c>
      <c r="O173" s="141" t="str">
        <f>IF(ISBLANK(N173),"",VLOOKUP(N173,[15]Parámetros!$G$2:$H$23,2,FALSE))</f>
        <v>Contratación régimen especial - Selección de comisionista</v>
      </c>
      <c r="P173" s="142">
        <f t="shared" si="29"/>
        <v>1</v>
      </c>
      <c r="Q173" s="143">
        <f t="shared" si="32"/>
        <v>187110000</v>
      </c>
      <c r="R173" s="143">
        <f t="shared" si="33"/>
        <v>187110000</v>
      </c>
      <c r="S173" s="144" t="s">
        <v>222</v>
      </c>
      <c r="T173" s="140">
        <f t="shared" si="30"/>
        <v>0</v>
      </c>
      <c r="U173" s="145" t="str">
        <f t="shared" si="34"/>
        <v>SUBDIRECCION DE GESTION CONTRACTUAL</v>
      </c>
      <c r="V173" s="132" t="str">
        <f t="shared" si="25"/>
        <v>CO-DC</v>
      </c>
      <c r="W173" s="145" t="str">
        <f t="shared" si="26"/>
        <v>Distrito Capital de Bogotá</v>
      </c>
      <c r="X173" s="146" t="s">
        <v>331</v>
      </c>
      <c r="Y173" s="132">
        <v>2427400</v>
      </c>
      <c r="Z173" s="148" t="s">
        <v>75</v>
      </c>
    </row>
    <row r="174" spans="1:16382" s="7" customFormat="1" ht="12.75" customHeight="1" x14ac:dyDescent="0.2">
      <c r="A174" s="131" t="s">
        <v>84</v>
      </c>
      <c r="B174" s="132">
        <f t="shared" si="37"/>
        <v>9</v>
      </c>
      <c r="C174" s="133" t="s">
        <v>330</v>
      </c>
      <c r="D174" s="133" t="s">
        <v>89</v>
      </c>
      <c r="E174" s="134"/>
      <c r="F174" s="134">
        <v>32400000</v>
      </c>
      <c r="G174" s="134"/>
      <c r="H174" s="135" t="s">
        <v>42</v>
      </c>
      <c r="I174" s="136" t="s">
        <v>888</v>
      </c>
      <c r="J174" s="137">
        <v>3</v>
      </c>
      <c r="K174" s="138">
        <v>4</v>
      </c>
      <c r="L174" s="139">
        <v>9</v>
      </c>
      <c r="M174" s="132">
        <f t="shared" si="31"/>
        <v>1</v>
      </c>
      <c r="N174" s="140" t="s">
        <v>61</v>
      </c>
      <c r="O174" s="141" t="str">
        <f>IF(ISBLANK(N174),"",VLOOKUP(N174,[15]Parámetros!$G$2:$H$23,2,FALSE))</f>
        <v>Contratación régimen especial - Selección de comisionista</v>
      </c>
      <c r="P174" s="142">
        <f t="shared" ref="P174:P205" si="38">IF(ISBLANK(N174),"",1)</f>
        <v>1</v>
      </c>
      <c r="Q174" s="143">
        <f t="shared" si="32"/>
        <v>32400000</v>
      </c>
      <c r="R174" s="143">
        <f t="shared" si="33"/>
        <v>32400000</v>
      </c>
      <c r="S174" s="144" t="s">
        <v>222</v>
      </c>
      <c r="T174" s="140">
        <f t="shared" ref="T174:T205" si="39">IF(ISBLANK(S174),"",IF(VALUE(S174)=0,0,IF(VALUE(S174)=1,3,"")))</f>
        <v>0</v>
      </c>
      <c r="U174" s="145" t="str">
        <f t="shared" si="34"/>
        <v>SUBDIRECCION DE GESTION CONTRACTUAL</v>
      </c>
      <c r="V174" s="132" t="str">
        <f t="shared" ref="V174:V239" si="40">IF(ISBLANK(N174),"","CO-DC")</f>
        <v>CO-DC</v>
      </c>
      <c r="W174" s="145" t="str">
        <f t="shared" ref="W174:W239" si="41">IF(ISBLANK(N174),"","Distrito Capital de Bogotá")</f>
        <v>Distrito Capital de Bogotá</v>
      </c>
      <c r="X174" s="146" t="s">
        <v>331</v>
      </c>
      <c r="Y174" s="132">
        <v>2427400</v>
      </c>
      <c r="Z174" s="148" t="s">
        <v>75</v>
      </c>
    </row>
    <row r="175" spans="1:16382" s="7" customFormat="1" ht="12.75" customHeight="1" x14ac:dyDescent="0.2">
      <c r="A175" s="131" t="s">
        <v>84</v>
      </c>
      <c r="B175" s="132">
        <f t="shared" si="37"/>
        <v>10</v>
      </c>
      <c r="C175" s="133" t="s">
        <v>91</v>
      </c>
      <c r="D175" s="133" t="s">
        <v>89</v>
      </c>
      <c r="E175" s="134"/>
      <c r="F175" s="134">
        <v>1730400000</v>
      </c>
      <c r="G175" s="134"/>
      <c r="H175" s="135" t="s">
        <v>332</v>
      </c>
      <c r="I175" s="136" t="s">
        <v>889</v>
      </c>
      <c r="J175" s="137">
        <v>3</v>
      </c>
      <c r="K175" s="138">
        <v>4</v>
      </c>
      <c r="L175" s="139">
        <v>9</v>
      </c>
      <c r="M175" s="132">
        <f t="shared" si="31"/>
        <v>1</v>
      </c>
      <c r="N175" s="140" t="s">
        <v>36</v>
      </c>
      <c r="O175" s="141" t="str">
        <f>IF(ISBLANK(N175),"",VLOOKUP(N175,[15]Parámetros!$G$2:$H$23,2,FALSE))</f>
        <v xml:space="preserve">Contratación directa (con ofertas) </v>
      </c>
      <c r="P175" s="142">
        <f t="shared" si="38"/>
        <v>1</v>
      </c>
      <c r="Q175" s="143">
        <f t="shared" si="32"/>
        <v>1730400000</v>
      </c>
      <c r="R175" s="143">
        <f t="shared" si="33"/>
        <v>1730400000</v>
      </c>
      <c r="S175" s="144" t="s">
        <v>222</v>
      </c>
      <c r="T175" s="140">
        <f t="shared" si="39"/>
        <v>0</v>
      </c>
      <c r="U175" s="145" t="str">
        <f t="shared" si="34"/>
        <v>SUBDIRECCION DE GESTION CONTRACTUAL</v>
      </c>
      <c r="V175" s="132" t="str">
        <f t="shared" si="40"/>
        <v>CO-DC</v>
      </c>
      <c r="W175" s="145" t="str">
        <f t="shared" si="41"/>
        <v>Distrito Capital de Bogotá</v>
      </c>
      <c r="X175" s="146" t="s">
        <v>628</v>
      </c>
      <c r="Y175" s="132">
        <v>2427400</v>
      </c>
      <c r="Z175" s="148" t="s">
        <v>87</v>
      </c>
    </row>
    <row r="176" spans="1:16382" s="7" customFormat="1" ht="12.75" customHeight="1" x14ac:dyDescent="0.2">
      <c r="A176" s="131" t="s">
        <v>84</v>
      </c>
      <c r="B176" s="132">
        <f t="shared" si="37"/>
        <v>11</v>
      </c>
      <c r="C176" s="133" t="s">
        <v>91</v>
      </c>
      <c r="D176" s="133" t="s">
        <v>89</v>
      </c>
      <c r="E176" s="134"/>
      <c r="F176" s="134">
        <v>18810000000</v>
      </c>
      <c r="G176" s="134"/>
      <c r="H176" s="135" t="s">
        <v>92</v>
      </c>
      <c r="I176" s="136" t="s">
        <v>892</v>
      </c>
      <c r="J176" s="137">
        <v>2</v>
      </c>
      <c r="K176" s="138">
        <v>5</v>
      </c>
      <c r="L176" s="139">
        <v>8</v>
      </c>
      <c r="M176" s="132">
        <f t="shared" si="31"/>
        <v>1</v>
      </c>
      <c r="N176" s="140" t="s">
        <v>36</v>
      </c>
      <c r="O176" s="141" t="str">
        <f>IF(ISBLANK(N176),"",VLOOKUP(N176,[15]Parámetros!$G$2:$H$23,2,FALSE))</f>
        <v xml:space="preserve">Contratación directa (con ofertas) </v>
      </c>
      <c r="P176" s="142">
        <f t="shared" si="38"/>
        <v>1</v>
      </c>
      <c r="Q176" s="143">
        <f t="shared" si="32"/>
        <v>18810000000</v>
      </c>
      <c r="R176" s="143">
        <f t="shared" si="33"/>
        <v>18810000000</v>
      </c>
      <c r="S176" s="144" t="s">
        <v>222</v>
      </c>
      <c r="T176" s="140">
        <f t="shared" si="39"/>
        <v>0</v>
      </c>
      <c r="U176" s="145" t="str">
        <f t="shared" si="34"/>
        <v>SUBDIRECCION DE GESTION CONTRACTUAL</v>
      </c>
      <c r="V176" s="132" t="str">
        <f t="shared" si="40"/>
        <v>CO-DC</v>
      </c>
      <c r="W176" s="145" t="str">
        <f t="shared" si="41"/>
        <v>Distrito Capital de Bogotá</v>
      </c>
      <c r="X176" s="146" t="s">
        <v>628</v>
      </c>
      <c r="Y176" s="132">
        <v>2427400</v>
      </c>
      <c r="Z176" s="148" t="s">
        <v>87</v>
      </c>
    </row>
    <row r="177" spans="1:26" s="7" customFormat="1" ht="12.75" customHeight="1" x14ac:dyDescent="0.2">
      <c r="A177" s="131" t="s">
        <v>84</v>
      </c>
      <c r="B177" s="132">
        <f t="shared" si="37"/>
        <v>12</v>
      </c>
      <c r="C177" s="133" t="s">
        <v>91</v>
      </c>
      <c r="D177" s="133" t="s">
        <v>89</v>
      </c>
      <c r="E177" s="134"/>
      <c r="F177" s="134">
        <v>143296144.09999999</v>
      </c>
      <c r="G177" s="134"/>
      <c r="H177" s="135" t="s">
        <v>604</v>
      </c>
      <c r="I177" s="136" t="s">
        <v>893</v>
      </c>
      <c r="J177" s="137">
        <v>2</v>
      </c>
      <c r="K177" s="138">
        <v>2</v>
      </c>
      <c r="L177" s="139">
        <v>10</v>
      </c>
      <c r="M177" s="132">
        <f t="shared" si="31"/>
        <v>1</v>
      </c>
      <c r="N177" s="140" t="s">
        <v>36</v>
      </c>
      <c r="O177" s="141" t="str">
        <f>IF(ISBLANK(N177),"",VLOOKUP(N177,[15]Parámetros!$G$2:$H$23,2,FALSE))</f>
        <v xml:space="preserve">Contratación directa (con ofertas) </v>
      </c>
      <c r="P177" s="142">
        <f t="shared" si="38"/>
        <v>1</v>
      </c>
      <c r="Q177" s="143">
        <f t="shared" si="32"/>
        <v>143296144.09999999</v>
      </c>
      <c r="R177" s="143">
        <f t="shared" si="33"/>
        <v>143296144.09999999</v>
      </c>
      <c r="S177" s="144" t="s">
        <v>222</v>
      </c>
      <c r="T177" s="140">
        <f t="shared" si="39"/>
        <v>0</v>
      </c>
      <c r="U177" s="145" t="str">
        <f t="shared" si="34"/>
        <v>SUBDIRECCION DE GESTION CONTRACTUAL</v>
      </c>
      <c r="V177" s="132" t="str">
        <f t="shared" si="40"/>
        <v>CO-DC</v>
      </c>
      <c r="W177" s="145" t="str">
        <f t="shared" si="41"/>
        <v>Distrito Capital de Bogotá</v>
      </c>
      <c r="X177" s="146" t="s">
        <v>307</v>
      </c>
      <c r="Y177" s="132">
        <v>2427400</v>
      </c>
      <c r="Z177" s="148" t="s">
        <v>94</v>
      </c>
    </row>
    <row r="178" spans="1:26" s="7" customFormat="1" ht="12.75" customHeight="1" x14ac:dyDescent="0.2">
      <c r="A178" s="131" t="s">
        <v>84</v>
      </c>
      <c r="B178" s="132">
        <f t="shared" si="37"/>
        <v>13</v>
      </c>
      <c r="C178" s="133" t="s">
        <v>91</v>
      </c>
      <c r="D178" s="133" t="s">
        <v>89</v>
      </c>
      <c r="E178" s="134"/>
      <c r="F178" s="134">
        <v>102257200.97499847</v>
      </c>
      <c r="G178" s="134"/>
      <c r="H178" s="135" t="s">
        <v>92</v>
      </c>
      <c r="I178" s="187" t="s">
        <v>894</v>
      </c>
      <c r="J178" s="137">
        <v>3</v>
      </c>
      <c r="K178" s="138">
        <v>4</v>
      </c>
      <c r="L178" s="139">
        <v>9</v>
      </c>
      <c r="M178" s="132">
        <f t="shared" si="31"/>
        <v>1</v>
      </c>
      <c r="N178" s="140" t="s">
        <v>36</v>
      </c>
      <c r="O178" s="141" t="str">
        <f>IF(ISBLANK(N178),"",VLOOKUP(N178,[15]Parámetros!$G$2:$H$23,2,FALSE))</f>
        <v xml:space="preserve">Contratación directa (con ofertas) </v>
      </c>
      <c r="P178" s="142">
        <f t="shared" si="38"/>
        <v>1</v>
      </c>
      <c r="Q178" s="143">
        <f t="shared" si="32"/>
        <v>102257200.97499847</v>
      </c>
      <c r="R178" s="143">
        <f t="shared" si="33"/>
        <v>102257200.97499847</v>
      </c>
      <c r="S178" s="144" t="s">
        <v>222</v>
      </c>
      <c r="T178" s="140">
        <f t="shared" si="39"/>
        <v>0</v>
      </c>
      <c r="U178" s="145" t="str">
        <f t="shared" si="34"/>
        <v>SUBDIRECCION DE GESTION CONTRACTUAL</v>
      </c>
      <c r="V178" s="132" t="str">
        <f t="shared" si="40"/>
        <v>CO-DC</v>
      </c>
      <c r="W178" s="145" t="str">
        <f t="shared" si="41"/>
        <v>Distrito Capital de Bogotá</v>
      </c>
      <c r="X178" s="146" t="s">
        <v>628</v>
      </c>
      <c r="Y178" s="132">
        <v>2427400</v>
      </c>
      <c r="Z178" s="148" t="s">
        <v>87</v>
      </c>
    </row>
    <row r="179" spans="1:26" s="7" customFormat="1" ht="12.75" customHeight="1" x14ac:dyDescent="0.2">
      <c r="A179" s="131" t="s">
        <v>84</v>
      </c>
      <c r="B179" s="132">
        <f t="shared" si="37"/>
        <v>14</v>
      </c>
      <c r="C179" s="133" t="s">
        <v>91</v>
      </c>
      <c r="D179" s="133" t="s">
        <v>89</v>
      </c>
      <c r="E179" s="134"/>
      <c r="F179" s="134">
        <v>126000000</v>
      </c>
      <c r="G179" s="134"/>
      <c r="H179" s="135" t="s">
        <v>93</v>
      </c>
      <c r="I179" s="187" t="s">
        <v>894</v>
      </c>
      <c r="J179" s="137">
        <v>3</v>
      </c>
      <c r="K179" s="138">
        <v>4</v>
      </c>
      <c r="L179" s="139">
        <v>9</v>
      </c>
      <c r="M179" s="132">
        <f t="shared" si="31"/>
        <v>1</v>
      </c>
      <c r="N179" s="140" t="s">
        <v>36</v>
      </c>
      <c r="O179" s="141" t="str">
        <f>IF(ISBLANK(N179),"",VLOOKUP(N179,[15]Parámetros!$G$2:$H$23,2,FALSE))</f>
        <v xml:space="preserve">Contratación directa (con ofertas) </v>
      </c>
      <c r="P179" s="142">
        <f t="shared" si="38"/>
        <v>1</v>
      </c>
      <c r="Q179" s="143">
        <f t="shared" si="32"/>
        <v>126000000</v>
      </c>
      <c r="R179" s="143">
        <f t="shared" si="33"/>
        <v>126000000</v>
      </c>
      <c r="S179" s="144" t="s">
        <v>222</v>
      </c>
      <c r="T179" s="140">
        <f t="shared" si="39"/>
        <v>0</v>
      </c>
      <c r="U179" s="145" t="str">
        <f t="shared" si="34"/>
        <v>SUBDIRECCION DE GESTION CONTRACTUAL</v>
      </c>
      <c r="V179" s="132" t="str">
        <f t="shared" si="40"/>
        <v>CO-DC</v>
      </c>
      <c r="W179" s="145" t="str">
        <f t="shared" si="41"/>
        <v>Distrito Capital de Bogotá</v>
      </c>
      <c r="X179" s="146" t="s">
        <v>628</v>
      </c>
      <c r="Y179" s="132">
        <v>2427400</v>
      </c>
      <c r="Z179" s="148" t="s">
        <v>87</v>
      </c>
    </row>
    <row r="180" spans="1:26" s="7" customFormat="1" ht="12.75" customHeight="1" x14ac:dyDescent="0.2">
      <c r="A180" s="131" t="s">
        <v>84</v>
      </c>
      <c r="B180" s="132">
        <f t="shared" si="37"/>
        <v>15</v>
      </c>
      <c r="C180" s="133" t="s">
        <v>330</v>
      </c>
      <c r="D180" s="133" t="s">
        <v>89</v>
      </c>
      <c r="E180" s="134"/>
      <c r="F180" s="134">
        <v>130000000</v>
      </c>
      <c r="G180" s="134"/>
      <c r="H180" s="135" t="s">
        <v>604</v>
      </c>
      <c r="I180" s="136" t="s">
        <v>893</v>
      </c>
      <c r="J180" s="137">
        <v>2</v>
      </c>
      <c r="K180" s="138">
        <v>2</v>
      </c>
      <c r="L180" s="139">
        <v>10</v>
      </c>
      <c r="M180" s="132">
        <f t="shared" si="31"/>
        <v>1</v>
      </c>
      <c r="N180" s="140" t="s">
        <v>36</v>
      </c>
      <c r="O180" s="141" t="str">
        <f>IF(ISBLANK(N180),"",VLOOKUP(N180,[15]Parámetros!$G$2:$H$23,2,FALSE))</f>
        <v xml:space="preserve">Contratación directa (con ofertas) </v>
      </c>
      <c r="P180" s="142">
        <f t="shared" si="38"/>
        <v>1</v>
      </c>
      <c r="Q180" s="143">
        <f t="shared" si="32"/>
        <v>130000000</v>
      </c>
      <c r="R180" s="143">
        <f t="shared" si="33"/>
        <v>130000000</v>
      </c>
      <c r="S180" s="144" t="s">
        <v>222</v>
      </c>
      <c r="T180" s="140">
        <f t="shared" si="39"/>
        <v>0</v>
      </c>
      <c r="U180" s="145" t="str">
        <f t="shared" si="34"/>
        <v>SUBDIRECCION DE GESTION CONTRACTUAL</v>
      </c>
      <c r="V180" s="132" t="str">
        <f t="shared" si="40"/>
        <v>CO-DC</v>
      </c>
      <c r="W180" s="145" t="str">
        <f t="shared" si="41"/>
        <v>Distrito Capital de Bogotá</v>
      </c>
      <c r="X180" s="146" t="s">
        <v>307</v>
      </c>
      <c r="Y180" s="132">
        <v>2427400</v>
      </c>
      <c r="Z180" s="148" t="s">
        <v>94</v>
      </c>
    </row>
    <row r="181" spans="1:26" s="7" customFormat="1" ht="12.75" customHeight="1" x14ac:dyDescent="0.2">
      <c r="A181" s="131" t="s">
        <v>84</v>
      </c>
      <c r="B181" s="132">
        <f t="shared" si="37"/>
        <v>16</v>
      </c>
      <c r="C181" s="133" t="s">
        <v>333</v>
      </c>
      <c r="D181" s="133" t="s">
        <v>334</v>
      </c>
      <c r="E181" s="134"/>
      <c r="F181" s="134">
        <v>1841153635.2</v>
      </c>
      <c r="G181" s="134"/>
      <c r="H181" s="135">
        <v>80111600</v>
      </c>
      <c r="I181" s="136" t="s">
        <v>886</v>
      </c>
      <c r="J181" s="137">
        <v>1</v>
      </c>
      <c r="K181" s="138">
        <v>1</v>
      </c>
      <c r="L181" s="139">
        <v>12</v>
      </c>
      <c r="M181" s="132">
        <f t="shared" si="31"/>
        <v>1</v>
      </c>
      <c r="N181" s="140" t="s">
        <v>216</v>
      </c>
      <c r="O181" s="141" t="str">
        <f>IF(ISBLANK(N181),"",VLOOKUP(N181,[15]Parámetros!$G$2:$H$23,2,FALSE))</f>
        <v>Contratación directa.</v>
      </c>
      <c r="P181" s="142">
        <f t="shared" si="38"/>
        <v>1</v>
      </c>
      <c r="Q181" s="143">
        <f t="shared" si="32"/>
        <v>1841153635.2</v>
      </c>
      <c r="R181" s="143">
        <f t="shared" si="33"/>
        <v>1841153635.2</v>
      </c>
      <c r="S181" s="144" t="s">
        <v>222</v>
      </c>
      <c r="T181" s="140">
        <f t="shared" si="39"/>
        <v>0</v>
      </c>
      <c r="U181" s="145" t="str">
        <f t="shared" si="34"/>
        <v>SUBDIRECCION DE GESTION CONTRACTUAL</v>
      </c>
      <c r="V181" s="132" t="str">
        <f t="shared" si="40"/>
        <v>CO-DC</v>
      </c>
      <c r="W181" s="145" t="str">
        <f t="shared" si="41"/>
        <v>Distrito Capital de Bogotá</v>
      </c>
      <c r="X181" s="146" t="s">
        <v>628</v>
      </c>
      <c r="Y181" s="132">
        <v>2427400</v>
      </c>
      <c r="Z181" s="148" t="s">
        <v>87</v>
      </c>
    </row>
    <row r="182" spans="1:26" s="7" customFormat="1" ht="12.75" customHeight="1" x14ac:dyDescent="0.2">
      <c r="A182" s="131" t="s">
        <v>84</v>
      </c>
      <c r="B182" s="132">
        <f t="shared" si="37"/>
        <v>17</v>
      </c>
      <c r="C182" s="133" t="s">
        <v>333</v>
      </c>
      <c r="D182" s="133" t="s">
        <v>334</v>
      </c>
      <c r="E182" s="134"/>
      <c r="F182" s="134">
        <v>189000000</v>
      </c>
      <c r="G182" s="134"/>
      <c r="H182" s="135" t="s">
        <v>42</v>
      </c>
      <c r="I182" s="136" t="s">
        <v>888</v>
      </c>
      <c r="J182" s="137">
        <v>3</v>
      </c>
      <c r="K182" s="138">
        <v>4</v>
      </c>
      <c r="L182" s="139">
        <v>9</v>
      </c>
      <c r="M182" s="132">
        <f t="shared" si="31"/>
        <v>1</v>
      </c>
      <c r="N182" s="140" t="s">
        <v>61</v>
      </c>
      <c r="O182" s="141" t="str">
        <f>IF(ISBLANK(N182),"",VLOOKUP(N182,[15]Parámetros!$G$2:$H$23,2,FALSE))</f>
        <v>Contratación régimen especial - Selección de comisionista</v>
      </c>
      <c r="P182" s="142">
        <f t="shared" si="38"/>
        <v>1</v>
      </c>
      <c r="Q182" s="143">
        <f t="shared" si="32"/>
        <v>189000000</v>
      </c>
      <c r="R182" s="143">
        <f t="shared" si="33"/>
        <v>189000000</v>
      </c>
      <c r="S182" s="144" t="s">
        <v>222</v>
      </c>
      <c r="T182" s="140">
        <f t="shared" si="39"/>
        <v>0</v>
      </c>
      <c r="U182" s="145" t="str">
        <f t="shared" si="34"/>
        <v>SUBDIRECCION DE GESTION CONTRACTUAL</v>
      </c>
      <c r="V182" s="132" t="str">
        <f t="shared" si="40"/>
        <v>CO-DC</v>
      </c>
      <c r="W182" s="145" t="str">
        <f t="shared" si="41"/>
        <v>Distrito Capital de Bogotá</v>
      </c>
      <c r="X182" s="146" t="s">
        <v>331</v>
      </c>
      <c r="Y182" s="132">
        <v>2427400</v>
      </c>
      <c r="Z182" s="148" t="s">
        <v>75</v>
      </c>
    </row>
    <row r="183" spans="1:26" s="7" customFormat="1" ht="12.75" customHeight="1" x14ac:dyDescent="0.2">
      <c r="A183" s="131" t="s">
        <v>84</v>
      </c>
      <c r="B183" s="132">
        <f t="shared" si="37"/>
        <v>18</v>
      </c>
      <c r="C183" s="133" t="s">
        <v>333</v>
      </c>
      <c r="D183" s="133" t="s">
        <v>334</v>
      </c>
      <c r="E183" s="134"/>
      <c r="F183" s="134">
        <f>6579163981+198202843</f>
        <v>6777366824</v>
      </c>
      <c r="G183" s="134"/>
      <c r="H183" s="135" t="s">
        <v>752</v>
      </c>
      <c r="I183" s="136" t="s">
        <v>887</v>
      </c>
      <c r="J183" s="137">
        <v>2</v>
      </c>
      <c r="K183" s="138">
        <v>3</v>
      </c>
      <c r="L183" s="139">
        <v>9</v>
      </c>
      <c r="M183" s="132">
        <f t="shared" si="31"/>
        <v>1</v>
      </c>
      <c r="N183" s="140" t="s">
        <v>226</v>
      </c>
      <c r="O183" s="141" t="str">
        <f>IF(ISBLANK(N183),"",VLOOKUP(N183,[15]Parámetros!$G$2:$H$23,2,FALSE))</f>
        <v>Licitación pública</v>
      </c>
      <c r="P183" s="142">
        <f t="shared" si="38"/>
        <v>1</v>
      </c>
      <c r="Q183" s="143">
        <f t="shared" si="32"/>
        <v>6777366824</v>
      </c>
      <c r="R183" s="143">
        <f t="shared" si="33"/>
        <v>6777366824</v>
      </c>
      <c r="S183" s="144" t="s">
        <v>222</v>
      </c>
      <c r="T183" s="140">
        <f t="shared" si="39"/>
        <v>0</v>
      </c>
      <c r="U183" s="145" t="str">
        <f t="shared" si="34"/>
        <v>SUBDIRECCION DE GESTION CONTRACTUAL</v>
      </c>
      <c r="V183" s="132" t="str">
        <f t="shared" si="40"/>
        <v>CO-DC</v>
      </c>
      <c r="W183" s="145" t="str">
        <f t="shared" si="41"/>
        <v>Distrito Capital de Bogotá</v>
      </c>
      <c r="X183" s="146" t="s">
        <v>628</v>
      </c>
      <c r="Y183" s="132">
        <v>2427400</v>
      </c>
      <c r="Z183" s="148" t="s">
        <v>87</v>
      </c>
    </row>
    <row r="184" spans="1:26" s="7" customFormat="1" ht="12.75" customHeight="1" x14ac:dyDescent="0.2">
      <c r="A184" s="131" t="s">
        <v>84</v>
      </c>
      <c r="B184" s="132">
        <f t="shared" si="37"/>
        <v>19</v>
      </c>
      <c r="C184" s="133" t="s">
        <v>333</v>
      </c>
      <c r="D184" s="133" t="s">
        <v>334</v>
      </c>
      <c r="E184" s="134"/>
      <c r="F184" s="134">
        <v>2440000000</v>
      </c>
      <c r="G184" s="134"/>
      <c r="H184" s="135" t="s">
        <v>92</v>
      </c>
      <c r="I184" s="136" t="s">
        <v>892</v>
      </c>
      <c r="J184" s="137">
        <v>2</v>
      </c>
      <c r="K184" s="138">
        <v>5</v>
      </c>
      <c r="L184" s="139">
        <v>8</v>
      </c>
      <c r="M184" s="132">
        <f t="shared" si="31"/>
        <v>1</v>
      </c>
      <c r="N184" s="140" t="s">
        <v>36</v>
      </c>
      <c r="O184" s="141" t="str">
        <f>IF(ISBLANK(N184),"",VLOOKUP(N184,[15]Parámetros!$G$2:$H$23,2,FALSE))</f>
        <v xml:space="preserve">Contratación directa (con ofertas) </v>
      </c>
      <c r="P184" s="142">
        <f t="shared" si="38"/>
        <v>1</v>
      </c>
      <c r="Q184" s="143">
        <f t="shared" si="32"/>
        <v>2440000000</v>
      </c>
      <c r="R184" s="143">
        <f t="shared" si="33"/>
        <v>2440000000</v>
      </c>
      <c r="S184" s="144" t="s">
        <v>222</v>
      </c>
      <c r="T184" s="140">
        <f t="shared" si="39"/>
        <v>0</v>
      </c>
      <c r="U184" s="145" t="str">
        <f t="shared" si="34"/>
        <v>SUBDIRECCION DE GESTION CONTRACTUAL</v>
      </c>
      <c r="V184" s="132" t="str">
        <f t="shared" si="40"/>
        <v>CO-DC</v>
      </c>
      <c r="W184" s="145" t="str">
        <f t="shared" si="41"/>
        <v>Distrito Capital de Bogotá</v>
      </c>
      <c r="X184" s="146" t="s">
        <v>628</v>
      </c>
      <c r="Y184" s="132">
        <v>2427400</v>
      </c>
      <c r="Z184" s="148" t="s">
        <v>87</v>
      </c>
    </row>
    <row r="185" spans="1:26" s="7" customFormat="1" ht="12.75" customHeight="1" x14ac:dyDescent="0.2">
      <c r="A185" s="131" t="s">
        <v>84</v>
      </c>
      <c r="B185" s="132">
        <f t="shared" si="37"/>
        <v>20</v>
      </c>
      <c r="C185" s="133" t="s">
        <v>333</v>
      </c>
      <c r="D185" s="133" t="s">
        <v>334</v>
      </c>
      <c r="E185" s="134"/>
      <c r="F185" s="134">
        <v>330630000</v>
      </c>
      <c r="G185" s="134"/>
      <c r="H185" s="135" t="s">
        <v>92</v>
      </c>
      <c r="I185" s="187" t="s">
        <v>894</v>
      </c>
      <c r="J185" s="137">
        <v>3</v>
      </c>
      <c r="K185" s="138">
        <v>4</v>
      </c>
      <c r="L185" s="139">
        <v>9</v>
      </c>
      <c r="M185" s="132">
        <f t="shared" si="31"/>
        <v>1</v>
      </c>
      <c r="N185" s="140" t="s">
        <v>36</v>
      </c>
      <c r="O185" s="141" t="str">
        <f>IF(ISBLANK(N185),"",VLOOKUP(N185,[15]Parámetros!$G$2:$H$23,2,FALSE))</f>
        <v xml:space="preserve">Contratación directa (con ofertas) </v>
      </c>
      <c r="P185" s="142">
        <f t="shared" si="38"/>
        <v>1</v>
      </c>
      <c r="Q185" s="143">
        <f t="shared" si="32"/>
        <v>330630000</v>
      </c>
      <c r="R185" s="143">
        <f t="shared" si="33"/>
        <v>330630000</v>
      </c>
      <c r="S185" s="144" t="s">
        <v>222</v>
      </c>
      <c r="T185" s="140">
        <f t="shared" si="39"/>
        <v>0</v>
      </c>
      <c r="U185" s="145" t="str">
        <f t="shared" si="34"/>
        <v>SUBDIRECCION DE GESTION CONTRACTUAL</v>
      </c>
      <c r="V185" s="132" t="str">
        <f t="shared" si="40"/>
        <v>CO-DC</v>
      </c>
      <c r="W185" s="145" t="str">
        <f t="shared" si="41"/>
        <v>Distrito Capital de Bogotá</v>
      </c>
      <c r="X185" s="146" t="s">
        <v>628</v>
      </c>
      <c r="Y185" s="132">
        <v>2427400</v>
      </c>
      <c r="Z185" s="148" t="s">
        <v>87</v>
      </c>
    </row>
    <row r="186" spans="1:26" s="7" customFormat="1" ht="12.75" customHeight="1" x14ac:dyDescent="0.2">
      <c r="A186" s="131" t="s">
        <v>84</v>
      </c>
      <c r="B186" s="132">
        <f t="shared" si="37"/>
        <v>21</v>
      </c>
      <c r="C186" s="133" t="s">
        <v>333</v>
      </c>
      <c r="D186" s="133" t="s">
        <v>334</v>
      </c>
      <c r="E186" s="134"/>
      <c r="F186" s="134">
        <v>264504000</v>
      </c>
      <c r="G186" s="134"/>
      <c r="H186" s="135" t="s">
        <v>332</v>
      </c>
      <c r="I186" s="136" t="s">
        <v>889</v>
      </c>
      <c r="J186" s="137">
        <v>3</v>
      </c>
      <c r="K186" s="138">
        <v>4</v>
      </c>
      <c r="L186" s="139">
        <v>9</v>
      </c>
      <c r="M186" s="132">
        <f t="shared" si="31"/>
        <v>1</v>
      </c>
      <c r="N186" s="140" t="s">
        <v>36</v>
      </c>
      <c r="O186" s="141" t="str">
        <f>IF(ISBLANK(N186),"",VLOOKUP(N186,[15]Parámetros!$G$2:$H$23,2,FALSE))</f>
        <v xml:space="preserve">Contratación directa (con ofertas) </v>
      </c>
      <c r="P186" s="142">
        <f t="shared" si="38"/>
        <v>1</v>
      </c>
      <c r="Q186" s="143">
        <f t="shared" si="32"/>
        <v>264504000</v>
      </c>
      <c r="R186" s="143">
        <f t="shared" si="33"/>
        <v>264504000</v>
      </c>
      <c r="S186" s="144" t="s">
        <v>222</v>
      </c>
      <c r="T186" s="140">
        <f t="shared" si="39"/>
        <v>0</v>
      </c>
      <c r="U186" s="145" t="str">
        <f t="shared" si="34"/>
        <v>SUBDIRECCION DE GESTION CONTRACTUAL</v>
      </c>
      <c r="V186" s="132" t="str">
        <f t="shared" si="40"/>
        <v>CO-DC</v>
      </c>
      <c r="W186" s="145" t="str">
        <f t="shared" si="41"/>
        <v>Distrito Capital de Bogotá</v>
      </c>
      <c r="X186" s="146" t="s">
        <v>628</v>
      </c>
      <c r="Y186" s="132">
        <v>2427400</v>
      </c>
      <c r="Z186" s="148" t="s">
        <v>87</v>
      </c>
    </row>
    <row r="187" spans="1:26" s="7" customFormat="1" ht="12.75" customHeight="1" x14ac:dyDescent="0.2">
      <c r="A187" s="131" t="s">
        <v>84</v>
      </c>
      <c r="B187" s="132">
        <f t="shared" si="37"/>
        <v>22</v>
      </c>
      <c r="C187" s="133" t="s">
        <v>335</v>
      </c>
      <c r="D187" s="133" t="s">
        <v>336</v>
      </c>
      <c r="E187" s="134"/>
      <c r="F187" s="134">
        <v>1388265011.8870001</v>
      </c>
      <c r="G187" s="134"/>
      <c r="H187" s="135">
        <v>80111600</v>
      </c>
      <c r="I187" s="136" t="s">
        <v>886</v>
      </c>
      <c r="J187" s="137">
        <v>1</v>
      </c>
      <c r="K187" s="138">
        <v>1</v>
      </c>
      <c r="L187" s="139">
        <v>12</v>
      </c>
      <c r="M187" s="132">
        <f t="shared" si="31"/>
        <v>1</v>
      </c>
      <c r="N187" s="140" t="s">
        <v>216</v>
      </c>
      <c r="O187" s="141" t="str">
        <f>IF(ISBLANK(N187),"",VLOOKUP(N187,[15]Parámetros!$G$2:$H$23,2,FALSE))</f>
        <v>Contratación directa.</v>
      </c>
      <c r="P187" s="142">
        <f t="shared" si="38"/>
        <v>1</v>
      </c>
      <c r="Q187" s="143">
        <f t="shared" si="32"/>
        <v>1388265011.8870001</v>
      </c>
      <c r="R187" s="143">
        <f t="shared" si="33"/>
        <v>1388265011.8870001</v>
      </c>
      <c r="S187" s="144" t="s">
        <v>222</v>
      </c>
      <c r="T187" s="140">
        <f t="shared" si="39"/>
        <v>0</v>
      </c>
      <c r="U187" s="145" t="str">
        <f t="shared" si="34"/>
        <v>SUBDIRECCION DE GESTION CONTRACTUAL</v>
      </c>
      <c r="V187" s="132" t="str">
        <f t="shared" si="40"/>
        <v>CO-DC</v>
      </c>
      <c r="W187" s="145" t="str">
        <f t="shared" si="41"/>
        <v>Distrito Capital de Bogotá</v>
      </c>
      <c r="X187" s="146" t="s">
        <v>628</v>
      </c>
      <c r="Y187" s="132">
        <v>2427400</v>
      </c>
      <c r="Z187" s="148" t="s">
        <v>87</v>
      </c>
    </row>
    <row r="188" spans="1:26" s="7" customFormat="1" ht="12.75" customHeight="1" x14ac:dyDescent="0.2">
      <c r="A188" s="131" t="s">
        <v>84</v>
      </c>
      <c r="B188" s="132">
        <f t="shared" si="37"/>
        <v>23</v>
      </c>
      <c r="C188" s="133" t="s">
        <v>335</v>
      </c>
      <c r="D188" s="133" t="s">
        <v>336</v>
      </c>
      <c r="E188" s="134"/>
      <c r="F188" s="134">
        <v>155520000</v>
      </c>
      <c r="G188" s="134"/>
      <c r="H188" s="135" t="s">
        <v>42</v>
      </c>
      <c r="I188" s="136" t="s">
        <v>888</v>
      </c>
      <c r="J188" s="137">
        <v>3</v>
      </c>
      <c r="K188" s="138">
        <v>4</v>
      </c>
      <c r="L188" s="139">
        <v>9</v>
      </c>
      <c r="M188" s="132">
        <f t="shared" si="31"/>
        <v>1</v>
      </c>
      <c r="N188" s="140" t="s">
        <v>61</v>
      </c>
      <c r="O188" s="141" t="str">
        <f>IF(ISBLANK(N188),"",VLOOKUP(N188,[15]Parámetros!$G$2:$H$23,2,FALSE))</f>
        <v>Contratación régimen especial - Selección de comisionista</v>
      </c>
      <c r="P188" s="142">
        <f t="shared" si="38"/>
        <v>1</v>
      </c>
      <c r="Q188" s="143">
        <f t="shared" si="32"/>
        <v>155520000</v>
      </c>
      <c r="R188" s="143">
        <f t="shared" si="33"/>
        <v>155520000</v>
      </c>
      <c r="S188" s="144" t="s">
        <v>222</v>
      </c>
      <c r="T188" s="140">
        <f t="shared" si="39"/>
        <v>0</v>
      </c>
      <c r="U188" s="145" t="str">
        <f t="shared" si="34"/>
        <v>SUBDIRECCION DE GESTION CONTRACTUAL</v>
      </c>
      <c r="V188" s="132" t="str">
        <f t="shared" si="40"/>
        <v>CO-DC</v>
      </c>
      <c r="W188" s="145" t="str">
        <f t="shared" si="41"/>
        <v>Distrito Capital de Bogotá</v>
      </c>
      <c r="X188" s="146" t="s">
        <v>331</v>
      </c>
      <c r="Y188" s="132">
        <v>2427400</v>
      </c>
      <c r="Z188" s="148" t="s">
        <v>75</v>
      </c>
    </row>
    <row r="189" spans="1:26" s="7" customFormat="1" ht="12.75" customHeight="1" x14ac:dyDescent="0.2">
      <c r="A189" s="131" t="s">
        <v>84</v>
      </c>
      <c r="B189" s="132">
        <f t="shared" si="37"/>
        <v>24</v>
      </c>
      <c r="C189" s="133" t="s">
        <v>335</v>
      </c>
      <c r="D189" s="133" t="s">
        <v>336</v>
      </c>
      <c r="E189" s="134"/>
      <c r="F189" s="134">
        <f>510000000+80000000</f>
        <v>590000000</v>
      </c>
      <c r="G189" s="134"/>
      <c r="H189" s="135" t="s">
        <v>752</v>
      </c>
      <c r="I189" s="136" t="s">
        <v>887</v>
      </c>
      <c r="J189" s="137">
        <v>2</v>
      </c>
      <c r="K189" s="138">
        <v>3</v>
      </c>
      <c r="L189" s="139">
        <v>9</v>
      </c>
      <c r="M189" s="132">
        <f t="shared" si="31"/>
        <v>1</v>
      </c>
      <c r="N189" s="140" t="s">
        <v>226</v>
      </c>
      <c r="O189" s="141" t="str">
        <f>IF(ISBLANK(N189),"",VLOOKUP(N189,[15]Parámetros!$G$2:$H$23,2,FALSE))</f>
        <v>Licitación pública</v>
      </c>
      <c r="P189" s="142">
        <f t="shared" si="38"/>
        <v>1</v>
      </c>
      <c r="Q189" s="143">
        <f t="shared" si="32"/>
        <v>590000000</v>
      </c>
      <c r="R189" s="143">
        <f t="shared" si="33"/>
        <v>590000000</v>
      </c>
      <c r="S189" s="144" t="s">
        <v>222</v>
      </c>
      <c r="T189" s="140">
        <f t="shared" si="39"/>
        <v>0</v>
      </c>
      <c r="U189" s="145" t="str">
        <f t="shared" si="34"/>
        <v>SUBDIRECCION DE GESTION CONTRACTUAL</v>
      </c>
      <c r="V189" s="132" t="str">
        <f t="shared" si="40"/>
        <v>CO-DC</v>
      </c>
      <c r="W189" s="145" t="str">
        <f t="shared" si="41"/>
        <v>Distrito Capital de Bogotá</v>
      </c>
      <c r="X189" s="146" t="s">
        <v>628</v>
      </c>
      <c r="Y189" s="132">
        <v>2427400</v>
      </c>
      <c r="Z189" s="148" t="s">
        <v>87</v>
      </c>
    </row>
    <row r="190" spans="1:26" s="7" customFormat="1" ht="12.75" customHeight="1" x14ac:dyDescent="0.2">
      <c r="A190" s="131" t="s">
        <v>84</v>
      </c>
      <c r="B190" s="132">
        <f t="shared" si="37"/>
        <v>25</v>
      </c>
      <c r="C190" s="133" t="s">
        <v>335</v>
      </c>
      <c r="D190" s="133" t="s">
        <v>336</v>
      </c>
      <c r="E190" s="134"/>
      <c r="F190" s="134">
        <v>2070778427.1299996</v>
      </c>
      <c r="G190" s="134"/>
      <c r="H190" s="135" t="s">
        <v>92</v>
      </c>
      <c r="I190" s="136" t="s">
        <v>892</v>
      </c>
      <c r="J190" s="137">
        <v>2</v>
      </c>
      <c r="K190" s="138">
        <v>5</v>
      </c>
      <c r="L190" s="139">
        <v>8</v>
      </c>
      <c r="M190" s="132">
        <f t="shared" si="31"/>
        <v>1</v>
      </c>
      <c r="N190" s="140" t="s">
        <v>36</v>
      </c>
      <c r="O190" s="141" t="str">
        <f>IF(ISBLANK(N190),"",VLOOKUP(N190,[15]Parámetros!$G$2:$H$23,2,FALSE))</f>
        <v xml:space="preserve">Contratación directa (con ofertas) </v>
      </c>
      <c r="P190" s="142">
        <f t="shared" si="38"/>
        <v>1</v>
      </c>
      <c r="Q190" s="143">
        <f t="shared" si="32"/>
        <v>2070778427.1299996</v>
      </c>
      <c r="R190" s="143">
        <f t="shared" si="33"/>
        <v>2070778427.1299996</v>
      </c>
      <c r="S190" s="144" t="s">
        <v>222</v>
      </c>
      <c r="T190" s="140">
        <f t="shared" si="39"/>
        <v>0</v>
      </c>
      <c r="U190" s="145" t="str">
        <f t="shared" si="34"/>
        <v>SUBDIRECCION DE GESTION CONTRACTUAL</v>
      </c>
      <c r="V190" s="132" t="str">
        <f t="shared" si="40"/>
        <v>CO-DC</v>
      </c>
      <c r="W190" s="145" t="str">
        <f t="shared" si="41"/>
        <v>Distrito Capital de Bogotá</v>
      </c>
      <c r="X190" s="146" t="s">
        <v>628</v>
      </c>
      <c r="Y190" s="132">
        <v>2427400</v>
      </c>
      <c r="Z190" s="148" t="s">
        <v>87</v>
      </c>
    </row>
    <row r="191" spans="1:26" s="7" customFormat="1" ht="12.75" customHeight="1" x14ac:dyDescent="0.2">
      <c r="A191" s="131" t="s">
        <v>84</v>
      </c>
      <c r="B191" s="132">
        <f t="shared" si="37"/>
        <v>26</v>
      </c>
      <c r="C191" s="133" t="s">
        <v>337</v>
      </c>
      <c r="D191" s="133" t="s">
        <v>338</v>
      </c>
      <c r="E191" s="134"/>
      <c r="F191" s="134">
        <v>928459073.99864995</v>
      </c>
      <c r="G191" s="134"/>
      <c r="H191" s="135">
        <v>80111600</v>
      </c>
      <c r="I191" s="136" t="s">
        <v>886</v>
      </c>
      <c r="J191" s="137">
        <v>1</v>
      </c>
      <c r="K191" s="138">
        <v>1</v>
      </c>
      <c r="L191" s="139">
        <v>12</v>
      </c>
      <c r="M191" s="132">
        <f t="shared" si="31"/>
        <v>1</v>
      </c>
      <c r="N191" s="140" t="s">
        <v>216</v>
      </c>
      <c r="O191" s="141" t="str">
        <f>IF(ISBLANK(N191),"",VLOOKUP(N191,[15]Parámetros!$G$2:$H$23,2,FALSE))</f>
        <v>Contratación directa.</v>
      </c>
      <c r="P191" s="142">
        <f t="shared" si="38"/>
        <v>1</v>
      </c>
      <c r="Q191" s="143">
        <f t="shared" si="32"/>
        <v>928459073.99864995</v>
      </c>
      <c r="R191" s="143">
        <f t="shared" si="33"/>
        <v>928459073.99864995</v>
      </c>
      <c r="S191" s="144" t="s">
        <v>222</v>
      </c>
      <c r="T191" s="140">
        <f t="shared" si="39"/>
        <v>0</v>
      </c>
      <c r="U191" s="145" t="str">
        <f t="shared" si="34"/>
        <v>SUBDIRECCION DE GESTION CONTRACTUAL</v>
      </c>
      <c r="V191" s="132" t="str">
        <f t="shared" si="40"/>
        <v>CO-DC</v>
      </c>
      <c r="W191" s="145" t="str">
        <f t="shared" si="41"/>
        <v>Distrito Capital de Bogotá</v>
      </c>
      <c r="X191" s="146" t="s">
        <v>628</v>
      </c>
      <c r="Y191" s="132">
        <v>2427400</v>
      </c>
      <c r="Z191" s="148" t="s">
        <v>87</v>
      </c>
    </row>
    <row r="192" spans="1:26" s="7" customFormat="1" ht="12.75" customHeight="1" x14ac:dyDescent="0.2">
      <c r="A192" s="131" t="s">
        <v>84</v>
      </c>
      <c r="B192" s="132">
        <f t="shared" si="37"/>
        <v>27</v>
      </c>
      <c r="C192" s="133" t="s">
        <v>339</v>
      </c>
      <c r="D192" s="133" t="s">
        <v>338</v>
      </c>
      <c r="E192" s="134"/>
      <c r="F192" s="134">
        <v>460662816.76789999</v>
      </c>
      <c r="G192" s="134"/>
      <c r="H192" s="135">
        <v>80111600</v>
      </c>
      <c r="I192" s="136" t="s">
        <v>886</v>
      </c>
      <c r="J192" s="137">
        <v>1</v>
      </c>
      <c r="K192" s="138">
        <v>1</v>
      </c>
      <c r="L192" s="139">
        <v>12</v>
      </c>
      <c r="M192" s="132">
        <f t="shared" si="31"/>
        <v>1</v>
      </c>
      <c r="N192" s="140" t="s">
        <v>216</v>
      </c>
      <c r="O192" s="141" t="str">
        <f>IF(ISBLANK(N192),"",VLOOKUP(N192,[15]Parámetros!$G$2:$H$23,2,FALSE))</f>
        <v>Contratación directa.</v>
      </c>
      <c r="P192" s="142">
        <f t="shared" si="38"/>
        <v>1</v>
      </c>
      <c r="Q192" s="143">
        <f t="shared" si="32"/>
        <v>460662816.76789999</v>
      </c>
      <c r="R192" s="143">
        <f t="shared" si="33"/>
        <v>460662816.76789999</v>
      </c>
      <c r="S192" s="144" t="s">
        <v>222</v>
      </c>
      <c r="T192" s="140">
        <f t="shared" si="39"/>
        <v>0</v>
      </c>
      <c r="U192" s="145" t="str">
        <f t="shared" si="34"/>
        <v>SUBDIRECCION DE GESTION CONTRACTUAL</v>
      </c>
      <c r="V192" s="132" t="str">
        <f t="shared" si="40"/>
        <v>CO-DC</v>
      </c>
      <c r="W192" s="145" t="str">
        <f t="shared" si="41"/>
        <v>Distrito Capital de Bogotá</v>
      </c>
      <c r="X192" s="146" t="s">
        <v>628</v>
      </c>
      <c r="Y192" s="132">
        <v>2427400</v>
      </c>
      <c r="Z192" s="148" t="s">
        <v>87</v>
      </c>
    </row>
    <row r="193" spans="1:26" s="7" customFormat="1" ht="12.75" customHeight="1" x14ac:dyDescent="0.2">
      <c r="A193" s="131" t="s">
        <v>84</v>
      </c>
      <c r="B193" s="132">
        <f t="shared" si="37"/>
        <v>28</v>
      </c>
      <c r="C193" s="133" t="s">
        <v>337</v>
      </c>
      <c r="D193" s="133" t="s">
        <v>338</v>
      </c>
      <c r="E193" s="134"/>
      <c r="F193" s="134">
        <v>158400000</v>
      </c>
      <c r="G193" s="134"/>
      <c r="H193" s="135" t="s">
        <v>42</v>
      </c>
      <c r="I193" s="136" t="s">
        <v>888</v>
      </c>
      <c r="J193" s="137">
        <v>3</v>
      </c>
      <c r="K193" s="138">
        <v>4</v>
      </c>
      <c r="L193" s="139">
        <v>9</v>
      </c>
      <c r="M193" s="132">
        <f t="shared" si="31"/>
        <v>1</v>
      </c>
      <c r="N193" s="140" t="s">
        <v>61</v>
      </c>
      <c r="O193" s="141" t="str">
        <f>IF(ISBLANK(N193),"",VLOOKUP(N193,[15]Parámetros!$G$2:$H$23,2,FALSE))</f>
        <v>Contratación régimen especial - Selección de comisionista</v>
      </c>
      <c r="P193" s="142">
        <f t="shared" si="38"/>
        <v>1</v>
      </c>
      <c r="Q193" s="143">
        <f t="shared" si="32"/>
        <v>158400000</v>
      </c>
      <c r="R193" s="143">
        <f t="shared" si="33"/>
        <v>158400000</v>
      </c>
      <c r="S193" s="144" t="s">
        <v>222</v>
      </c>
      <c r="T193" s="140">
        <f t="shared" si="39"/>
        <v>0</v>
      </c>
      <c r="U193" s="145" t="str">
        <f t="shared" si="34"/>
        <v>SUBDIRECCION DE GESTION CONTRACTUAL</v>
      </c>
      <c r="V193" s="132" t="str">
        <f t="shared" si="40"/>
        <v>CO-DC</v>
      </c>
      <c r="W193" s="145" t="str">
        <f t="shared" si="41"/>
        <v>Distrito Capital de Bogotá</v>
      </c>
      <c r="X193" s="146" t="s">
        <v>331</v>
      </c>
      <c r="Y193" s="132">
        <v>2427400</v>
      </c>
      <c r="Z193" s="148" t="s">
        <v>75</v>
      </c>
    </row>
    <row r="194" spans="1:26" s="7" customFormat="1" ht="12.75" customHeight="1" x14ac:dyDescent="0.2">
      <c r="A194" s="131" t="s">
        <v>84</v>
      </c>
      <c r="B194" s="132">
        <f t="shared" si="37"/>
        <v>29</v>
      </c>
      <c r="C194" s="133" t="s">
        <v>339</v>
      </c>
      <c r="D194" s="133" t="s">
        <v>338</v>
      </c>
      <c r="E194" s="134"/>
      <c r="F194" s="134">
        <v>60750000</v>
      </c>
      <c r="G194" s="134"/>
      <c r="H194" s="135" t="s">
        <v>42</v>
      </c>
      <c r="I194" s="136" t="s">
        <v>888</v>
      </c>
      <c r="J194" s="137">
        <v>3</v>
      </c>
      <c r="K194" s="138">
        <v>4</v>
      </c>
      <c r="L194" s="139">
        <v>9</v>
      </c>
      <c r="M194" s="132">
        <f t="shared" si="31"/>
        <v>1</v>
      </c>
      <c r="N194" s="140" t="s">
        <v>61</v>
      </c>
      <c r="O194" s="141" t="str">
        <f>IF(ISBLANK(N194),"",VLOOKUP(N194,[15]Parámetros!$G$2:$H$23,2,FALSE))</f>
        <v>Contratación régimen especial - Selección de comisionista</v>
      </c>
      <c r="P194" s="142">
        <f t="shared" si="38"/>
        <v>1</v>
      </c>
      <c r="Q194" s="143">
        <f t="shared" si="32"/>
        <v>60750000</v>
      </c>
      <c r="R194" s="143">
        <f t="shared" si="33"/>
        <v>60750000</v>
      </c>
      <c r="S194" s="144" t="s">
        <v>222</v>
      </c>
      <c r="T194" s="140">
        <f t="shared" si="39"/>
        <v>0</v>
      </c>
      <c r="U194" s="145" t="str">
        <f t="shared" si="34"/>
        <v>SUBDIRECCION DE GESTION CONTRACTUAL</v>
      </c>
      <c r="V194" s="132" t="str">
        <f t="shared" si="40"/>
        <v>CO-DC</v>
      </c>
      <c r="W194" s="145" t="str">
        <f t="shared" si="41"/>
        <v>Distrito Capital de Bogotá</v>
      </c>
      <c r="X194" s="146" t="s">
        <v>331</v>
      </c>
      <c r="Y194" s="132">
        <v>2427400</v>
      </c>
      <c r="Z194" s="148" t="s">
        <v>75</v>
      </c>
    </row>
    <row r="195" spans="1:26" s="7" customFormat="1" ht="12.75" customHeight="1" x14ac:dyDescent="0.2">
      <c r="A195" s="131" t="s">
        <v>84</v>
      </c>
      <c r="B195" s="132">
        <f t="shared" si="37"/>
        <v>30</v>
      </c>
      <c r="C195" s="133" t="s">
        <v>337</v>
      </c>
      <c r="D195" s="133" t="s">
        <v>338</v>
      </c>
      <c r="E195" s="134"/>
      <c r="F195" s="134">
        <f>1486268992+200000000</f>
        <v>1686268992</v>
      </c>
      <c r="G195" s="134"/>
      <c r="H195" s="135" t="s">
        <v>752</v>
      </c>
      <c r="I195" s="136" t="s">
        <v>887</v>
      </c>
      <c r="J195" s="137">
        <v>2</v>
      </c>
      <c r="K195" s="138">
        <v>3</v>
      </c>
      <c r="L195" s="139">
        <v>9</v>
      </c>
      <c r="M195" s="132">
        <f t="shared" si="31"/>
        <v>1</v>
      </c>
      <c r="N195" s="140" t="s">
        <v>226</v>
      </c>
      <c r="O195" s="141" t="str">
        <f>IF(ISBLANK(N195),"",VLOOKUP(N195,[15]Parámetros!$G$2:$H$23,2,FALSE))</f>
        <v>Licitación pública</v>
      </c>
      <c r="P195" s="142">
        <f t="shared" si="38"/>
        <v>1</v>
      </c>
      <c r="Q195" s="143">
        <f t="shared" si="32"/>
        <v>1686268992</v>
      </c>
      <c r="R195" s="143">
        <f t="shared" si="33"/>
        <v>1686268992</v>
      </c>
      <c r="S195" s="144" t="s">
        <v>222</v>
      </c>
      <c r="T195" s="140">
        <f t="shared" si="39"/>
        <v>0</v>
      </c>
      <c r="U195" s="145" t="str">
        <f t="shared" si="34"/>
        <v>SUBDIRECCION DE GESTION CONTRACTUAL</v>
      </c>
      <c r="V195" s="132" t="str">
        <f t="shared" si="40"/>
        <v>CO-DC</v>
      </c>
      <c r="W195" s="145" t="str">
        <f t="shared" si="41"/>
        <v>Distrito Capital de Bogotá</v>
      </c>
      <c r="X195" s="146" t="s">
        <v>628</v>
      </c>
      <c r="Y195" s="132">
        <v>2427400</v>
      </c>
      <c r="Z195" s="148" t="s">
        <v>87</v>
      </c>
    </row>
    <row r="196" spans="1:26" s="7" customFormat="1" ht="12.75" customHeight="1" x14ac:dyDescent="0.2">
      <c r="A196" s="131" t="s">
        <v>84</v>
      </c>
      <c r="B196" s="132">
        <f t="shared" si="37"/>
        <v>31</v>
      </c>
      <c r="C196" s="133" t="s">
        <v>339</v>
      </c>
      <c r="D196" s="133" t="s">
        <v>338</v>
      </c>
      <c r="E196" s="134"/>
      <c r="F196" s="134">
        <f>371000000+70000000</f>
        <v>441000000</v>
      </c>
      <c r="G196" s="134"/>
      <c r="H196" s="135" t="s">
        <v>752</v>
      </c>
      <c r="I196" s="136" t="s">
        <v>887</v>
      </c>
      <c r="J196" s="137">
        <v>2</v>
      </c>
      <c r="K196" s="138">
        <v>3</v>
      </c>
      <c r="L196" s="139">
        <v>9</v>
      </c>
      <c r="M196" s="132">
        <f t="shared" si="31"/>
        <v>1</v>
      </c>
      <c r="N196" s="140" t="s">
        <v>226</v>
      </c>
      <c r="O196" s="141" t="str">
        <f>IF(ISBLANK(N196),"",VLOOKUP(N196,[15]Parámetros!$G$2:$H$23,2,FALSE))</f>
        <v>Licitación pública</v>
      </c>
      <c r="P196" s="142">
        <f t="shared" si="38"/>
        <v>1</v>
      </c>
      <c r="Q196" s="143">
        <f t="shared" si="32"/>
        <v>441000000</v>
      </c>
      <c r="R196" s="143">
        <f t="shared" si="33"/>
        <v>441000000</v>
      </c>
      <c r="S196" s="144" t="s">
        <v>222</v>
      </c>
      <c r="T196" s="140">
        <f t="shared" si="39"/>
        <v>0</v>
      </c>
      <c r="U196" s="145" t="str">
        <f t="shared" si="34"/>
        <v>SUBDIRECCION DE GESTION CONTRACTUAL</v>
      </c>
      <c r="V196" s="132" t="str">
        <f t="shared" si="40"/>
        <v>CO-DC</v>
      </c>
      <c r="W196" s="145" t="str">
        <f t="shared" si="41"/>
        <v>Distrito Capital de Bogotá</v>
      </c>
      <c r="X196" s="146" t="s">
        <v>628</v>
      </c>
      <c r="Y196" s="132">
        <v>2427400</v>
      </c>
      <c r="Z196" s="148" t="s">
        <v>87</v>
      </c>
    </row>
    <row r="197" spans="1:26" s="7" customFormat="1" ht="12.75" customHeight="1" x14ac:dyDescent="0.2">
      <c r="A197" s="131" t="s">
        <v>84</v>
      </c>
      <c r="B197" s="132">
        <f t="shared" si="37"/>
        <v>32</v>
      </c>
      <c r="C197" s="133" t="s">
        <v>337</v>
      </c>
      <c r="D197" s="133" t="s">
        <v>338</v>
      </c>
      <c r="E197" s="134"/>
      <c r="F197" s="134">
        <v>494400000</v>
      </c>
      <c r="G197" s="134"/>
      <c r="H197" s="135" t="s">
        <v>332</v>
      </c>
      <c r="I197" s="136" t="s">
        <v>889</v>
      </c>
      <c r="J197" s="137">
        <v>3</v>
      </c>
      <c r="K197" s="138">
        <v>4</v>
      </c>
      <c r="L197" s="139">
        <v>9</v>
      </c>
      <c r="M197" s="132">
        <f t="shared" si="31"/>
        <v>1</v>
      </c>
      <c r="N197" s="140" t="s">
        <v>36</v>
      </c>
      <c r="O197" s="141" t="str">
        <f>IF(ISBLANK(N197),"",VLOOKUP(N197,[15]Parámetros!$G$2:$H$23,2,FALSE))</f>
        <v xml:space="preserve">Contratación directa (con ofertas) </v>
      </c>
      <c r="P197" s="142">
        <f t="shared" si="38"/>
        <v>1</v>
      </c>
      <c r="Q197" s="143">
        <f t="shared" si="32"/>
        <v>494400000</v>
      </c>
      <c r="R197" s="143">
        <f t="shared" si="33"/>
        <v>494400000</v>
      </c>
      <c r="S197" s="144" t="s">
        <v>222</v>
      </c>
      <c r="T197" s="140">
        <f t="shared" si="39"/>
        <v>0</v>
      </c>
      <c r="U197" s="145" t="str">
        <f t="shared" si="34"/>
        <v>SUBDIRECCION DE GESTION CONTRACTUAL</v>
      </c>
      <c r="V197" s="132" t="str">
        <f t="shared" si="40"/>
        <v>CO-DC</v>
      </c>
      <c r="W197" s="145" t="str">
        <f t="shared" si="41"/>
        <v>Distrito Capital de Bogotá</v>
      </c>
      <c r="X197" s="146" t="s">
        <v>628</v>
      </c>
      <c r="Y197" s="132">
        <v>2427400</v>
      </c>
      <c r="Z197" s="148" t="s">
        <v>87</v>
      </c>
    </row>
    <row r="198" spans="1:26" s="7" customFormat="1" ht="12.75" customHeight="1" x14ac:dyDescent="0.2">
      <c r="A198" s="131" t="s">
        <v>84</v>
      </c>
      <c r="B198" s="132">
        <f t="shared" si="37"/>
        <v>33</v>
      </c>
      <c r="C198" s="133" t="s">
        <v>337</v>
      </c>
      <c r="D198" s="133" t="s">
        <v>338</v>
      </c>
      <c r="E198" s="134"/>
      <c r="F198" s="134">
        <v>1610000000</v>
      </c>
      <c r="G198" s="134"/>
      <c r="H198" s="135" t="s">
        <v>92</v>
      </c>
      <c r="I198" s="136" t="s">
        <v>892</v>
      </c>
      <c r="J198" s="137">
        <v>2</v>
      </c>
      <c r="K198" s="138">
        <v>5</v>
      </c>
      <c r="L198" s="139">
        <v>8</v>
      </c>
      <c r="M198" s="132">
        <f t="shared" si="31"/>
        <v>1</v>
      </c>
      <c r="N198" s="140" t="s">
        <v>36</v>
      </c>
      <c r="O198" s="141" t="str">
        <f>IF(ISBLANK(N198),"",VLOOKUP(N198,[15]Parámetros!$G$2:$H$23,2,FALSE))</f>
        <v xml:space="preserve">Contratación directa (con ofertas) </v>
      </c>
      <c r="P198" s="142">
        <f t="shared" si="38"/>
        <v>1</v>
      </c>
      <c r="Q198" s="143">
        <f t="shared" si="32"/>
        <v>1610000000</v>
      </c>
      <c r="R198" s="143">
        <f t="shared" si="33"/>
        <v>1610000000</v>
      </c>
      <c r="S198" s="144" t="s">
        <v>222</v>
      </c>
      <c r="T198" s="140">
        <f t="shared" si="39"/>
        <v>0</v>
      </c>
      <c r="U198" s="145" t="str">
        <f t="shared" si="34"/>
        <v>SUBDIRECCION DE GESTION CONTRACTUAL</v>
      </c>
      <c r="V198" s="132" t="str">
        <f t="shared" si="40"/>
        <v>CO-DC</v>
      </c>
      <c r="W198" s="145" t="str">
        <f t="shared" si="41"/>
        <v>Distrito Capital de Bogotá</v>
      </c>
      <c r="X198" s="146" t="s">
        <v>628</v>
      </c>
      <c r="Y198" s="132">
        <v>2427400</v>
      </c>
      <c r="Z198" s="148" t="s">
        <v>87</v>
      </c>
    </row>
    <row r="199" spans="1:26" s="7" customFormat="1" ht="12.75" customHeight="1" x14ac:dyDescent="0.2">
      <c r="A199" s="131" t="s">
        <v>84</v>
      </c>
      <c r="B199" s="132">
        <f t="shared" si="37"/>
        <v>34</v>
      </c>
      <c r="C199" s="133" t="s">
        <v>339</v>
      </c>
      <c r="D199" s="133" t="s">
        <v>338</v>
      </c>
      <c r="E199" s="134"/>
      <c r="F199" s="134">
        <v>575000000</v>
      </c>
      <c r="G199" s="134"/>
      <c r="H199" s="135" t="s">
        <v>92</v>
      </c>
      <c r="I199" s="136" t="s">
        <v>892</v>
      </c>
      <c r="J199" s="137">
        <v>2</v>
      </c>
      <c r="K199" s="138">
        <v>5</v>
      </c>
      <c r="L199" s="139">
        <v>8</v>
      </c>
      <c r="M199" s="132">
        <f t="shared" si="31"/>
        <v>1</v>
      </c>
      <c r="N199" s="140" t="s">
        <v>36</v>
      </c>
      <c r="O199" s="141" t="str">
        <f>IF(ISBLANK(N199),"",VLOOKUP(N199,[15]Parámetros!$G$2:$H$23,2,FALSE))</f>
        <v xml:space="preserve">Contratación directa (con ofertas) </v>
      </c>
      <c r="P199" s="142">
        <f t="shared" si="38"/>
        <v>1</v>
      </c>
      <c r="Q199" s="143">
        <f t="shared" si="32"/>
        <v>575000000</v>
      </c>
      <c r="R199" s="143">
        <f t="shared" si="33"/>
        <v>575000000</v>
      </c>
      <c r="S199" s="144" t="s">
        <v>222</v>
      </c>
      <c r="T199" s="140">
        <f t="shared" si="39"/>
        <v>0</v>
      </c>
      <c r="U199" s="145" t="str">
        <f t="shared" si="34"/>
        <v>SUBDIRECCION DE GESTION CONTRACTUAL</v>
      </c>
      <c r="V199" s="132" t="str">
        <f t="shared" si="40"/>
        <v>CO-DC</v>
      </c>
      <c r="W199" s="145" t="str">
        <f t="shared" si="41"/>
        <v>Distrito Capital de Bogotá</v>
      </c>
      <c r="X199" s="146" t="s">
        <v>628</v>
      </c>
      <c r="Y199" s="132">
        <v>2427400</v>
      </c>
      <c r="Z199" s="148" t="s">
        <v>87</v>
      </c>
    </row>
    <row r="200" spans="1:26" s="7" customFormat="1" ht="12.75" customHeight="1" x14ac:dyDescent="0.2">
      <c r="A200" s="131" t="s">
        <v>84</v>
      </c>
      <c r="B200" s="132">
        <f t="shared" si="37"/>
        <v>35</v>
      </c>
      <c r="C200" s="133" t="s">
        <v>340</v>
      </c>
      <c r="D200" s="133" t="s">
        <v>341</v>
      </c>
      <c r="E200" s="134"/>
      <c r="F200" s="134">
        <v>1601373918</v>
      </c>
      <c r="G200" s="134"/>
      <c r="H200" s="135">
        <v>80111600</v>
      </c>
      <c r="I200" s="136" t="s">
        <v>886</v>
      </c>
      <c r="J200" s="137">
        <v>1</v>
      </c>
      <c r="K200" s="138">
        <v>1</v>
      </c>
      <c r="L200" s="139">
        <v>12</v>
      </c>
      <c r="M200" s="132">
        <f t="shared" si="31"/>
        <v>1</v>
      </c>
      <c r="N200" s="140" t="s">
        <v>216</v>
      </c>
      <c r="O200" s="141" t="str">
        <f>IF(ISBLANK(N200),"",VLOOKUP(N200,[15]Parámetros!$G$2:$H$23,2,FALSE))</f>
        <v>Contratación directa.</v>
      </c>
      <c r="P200" s="142">
        <f t="shared" si="38"/>
        <v>1</v>
      </c>
      <c r="Q200" s="143">
        <f t="shared" si="32"/>
        <v>1601373918</v>
      </c>
      <c r="R200" s="143">
        <f t="shared" si="33"/>
        <v>1601373918</v>
      </c>
      <c r="S200" s="144" t="s">
        <v>222</v>
      </c>
      <c r="T200" s="140">
        <f t="shared" si="39"/>
        <v>0</v>
      </c>
      <c r="U200" s="145" t="str">
        <f t="shared" si="34"/>
        <v>SUBDIRECCION DE GESTION CONTRACTUAL</v>
      </c>
      <c r="V200" s="132" t="str">
        <f t="shared" si="40"/>
        <v>CO-DC</v>
      </c>
      <c r="W200" s="145" t="str">
        <f t="shared" si="41"/>
        <v>Distrito Capital de Bogotá</v>
      </c>
      <c r="X200" s="146" t="s">
        <v>628</v>
      </c>
      <c r="Y200" s="132">
        <v>2427400</v>
      </c>
      <c r="Z200" s="148" t="s">
        <v>87</v>
      </c>
    </row>
    <row r="201" spans="1:26" s="7" customFormat="1" ht="12.75" customHeight="1" x14ac:dyDescent="0.2">
      <c r="A201" s="131" t="s">
        <v>84</v>
      </c>
      <c r="B201" s="132">
        <f t="shared" ref="B201:B235" si="42">+B200+1</f>
        <v>36</v>
      </c>
      <c r="C201" s="133" t="s">
        <v>340</v>
      </c>
      <c r="D201" s="133" t="s">
        <v>341</v>
      </c>
      <c r="E201" s="134"/>
      <c r="F201" s="134">
        <f>4656415718+329345102</f>
        <v>4985760820</v>
      </c>
      <c r="G201" s="134"/>
      <c r="H201" s="135" t="s">
        <v>752</v>
      </c>
      <c r="I201" s="136" t="s">
        <v>887</v>
      </c>
      <c r="J201" s="137">
        <v>2</v>
      </c>
      <c r="K201" s="138">
        <v>3</v>
      </c>
      <c r="L201" s="139">
        <v>9</v>
      </c>
      <c r="M201" s="132">
        <f t="shared" si="31"/>
        <v>1</v>
      </c>
      <c r="N201" s="140" t="s">
        <v>226</v>
      </c>
      <c r="O201" s="141" t="str">
        <f>IF(ISBLANK(N201),"",VLOOKUP(N201,[15]Parámetros!$G$2:$H$23,2,FALSE))</f>
        <v>Licitación pública</v>
      </c>
      <c r="P201" s="142">
        <f t="shared" si="38"/>
        <v>1</v>
      </c>
      <c r="Q201" s="143">
        <f t="shared" si="32"/>
        <v>4985760820</v>
      </c>
      <c r="R201" s="143">
        <f t="shared" si="33"/>
        <v>4985760820</v>
      </c>
      <c r="S201" s="144" t="s">
        <v>222</v>
      </c>
      <c r="T201" s="140">
        <f t="shared" si="39"/>
        <v>0</v>
      </c>
      <c r="U201" s="145" t="str">
        <f t="shared" si="34"/>
        <v>SUBDIRECCION DE GESTION CONTRACTUAL</v>
      </c>
      <c r="V201" s="132" t="str">
        <f t="shared" si="40"/>
        <v>CO-DC</v>
      </c>
      <c r="W201" s="145" t="str">
        <f t="shared" si="41"/>
        <v>Distrito Capital de Bogotá</v>
      </c>
      <c r="X201" s="146" t="s">
        <v>628</v>
      </c>
      <c r="Y201" s="132">
        <v>2427400</v>
      </c>
      <c r="Z201" s="148" t="s">
        <v>87</v>
      </c>
    </row>
    <row r="202" spans="1:26" s="7" customFormat="1" ht="12.75" customHeight="1" x14ac:dyDescent="0.2">
      <c r="A202" s="131" t="s">
        <v>84</v>
      </c>
      <c r="B202" s="132">
        <f t="shared" si="42"/>
        <v>37</v>
      </c>
      <c r="C202" s="133" t="s">
        <v>340</v>
      </c>
      <c r="D202" s="133" t="s">
        <v>341</v>
      </c>
      <c r="E202" s="134"/>
      <c r="F202" s="134">
        <v>71280000</v>
      </c>
      <c r="G202" s="134"/>
      <c r="H202" s="135" t="s">
        <v>42</v>
      </c>
      <c r="I202" s="136" t="s">
        <v>888</v>
      </c>
      <c r="J202" s="137">
        <v>3</v>
      </c>
      <c r="K202" s="138">
        <v>4</v>
      </c>
      <c r="L202" s="139">
        <v>9</v>
      </c>
      <c r="M202" s="132">
        <f t="shared" si="31"/>
        <v>1</v>
      </c>
      <c r="N202" s="140" t="s">
        <v>61</v>
      </c>
      <c r="O202" s="141" t="str">
        <f>IF(ISBLANK(N202),"",VLOOKUP(N202,[15]Parámetros!$G$2:$H$23,2,FALSE))</f>
        <v>Contratación régimen especial - Selección de comisionista</v>
      </c>
      <c r="P202" s="142">
        <f t="shared" si="38"/>
        <v>1</v>
      </c>
      <c r="Q202" s="143">
        <f t="shared" si="32"/>
        <v>71280000</v>
      </c>
      <c r="R202" s="143">
        <f t="shared" si="33"/>
        <v>71280000</v>
      </c>
      <c r="S202" s="144" t="s">
        <v>222</v>
      </c>
      <c r="T202" s="140">
        <f t="shared" si="39"/>
        <v>0</v>
      </c>
      <c r="U202" s="145" t="str">
        <f t="shared" si="34"/>
        <v>SUBDIRECCION DE GESTION CONTRACTUAL</v>
      </c>
      <c r="V202" s="132" t="str">
        <f t="shared" si="40"/>
        <v>CO-DC</v>
      </c>
      <c r="W202" s="145" t="str">
        <f t="shared" si="41"/>
        <v>Distrito Capital de Bogotá</v>
      </c>
      <c r="X202" s="146" t="s">
        <v>331</v>
      </c>
      <c r="Y202" s="132">
        <v>2427400</v>
      </c>
      <c r="Z202" s="148" t="s">
        <v>75</v>
      </c>
    </row>
    <row r="203" spans="1:26" s="7" customFormat="1" ht="12.75" customHeight="1" x14ac:dyDescent="0.2">
      <c r="A203" s="131" t="s">
        <v>84</v>
      </c>
      <c r="B203" s="132">
        <f t="shared" si="42"/>
        <v>38</v>
      </c>
      <c r="C203" s="133" t="s">
        <v>340</v>
      </c>
      <c r="D203" s="133" t="s">
        <v>341</v>
      </c>
      <c r="E203" s="134"/>
      <c r="F203" s="134">
        <v>180000000</v>
      </c>
      <c r="G203" s="134"/>
      <c r="H203" s="135" t="s">
        <v>604</v>
      </c>
      <c r="I203" s="136" t="s">
        <v>893</v>
      </c>
      <c r="J203" s="137">
        <v>2</v>
      </c>
      <c r="K203" s="138">
        <v>2</v>
      </c>
      <c r="L203" s="139">
        <v>10</v>
      </c>
      <c r="M203" s="132">
        <f t="shared" si="31"/>
        <v>1</v>
      </c>
      <c r="N203" s="140" t="s">
        <v>36</v>
      </c>
      <c r="O203" s="141" t="str">
        <f>IF(ISBLANK(N203),"",VLOOKUP(N203,[15]Parámetros!$G$2:$H$23,2,FALSE))</f>
        <v xml:space="preserve">Contratación directa (con ofertas) </v>
      </c>
      <c r="P203" s="142">
        <f t="shared" si="38"/>
        <v>1</v>
      </c>
      <c r="Q203" s="143">
        <f t="shared" si="32"/>
        <v>180000000</v>
      </c>
      <c r="R203" s="143">
        <f t="shared" si="33"/>
        <v>180000000</v>
      </c>
      <c r="S203" s="144" t="s">
        <v>222</v>
      </c>
      <c r="T203" s="140">
        <f t="shared" si="39"/>
        <v>0</v>
      </c>
      <c r="U203" s="145" t="str">
        <f t="shared" si="34"/>
        <v>SUBDIRECCION DE GESTION CONTRACTUAL</v>
      </c>
      <c r="V203" s="132" t="str">
        <f t="shared" si="40"/>
        <v>CO-DC</v>
      </c>
      <c r="W203" s="145" t="str">
        <f t="shared" si="41"/>
        <v>Distrito Capital de Bogotá</v>
      </c>
      <c r="X203" s="146" t="s">
        <v>307</v>
      </c>
      <c r="Y203" s="132">
        <v>2427400</v>
      </c>
      <c r="Z203" s="148" t="s">
        <v>94</v>
      </c>
    </row>
    <row r="204" spans="1:26" s="7" customFormat="1" ht="12.75" customHeight="1" x14ac:dyDescent="0.2">
      <c r="A204" s="131" t="s">
        <v>84</v>
      </c>
      <c r="B204" s="132">
        <f t="shared" si="42"/>
        <v>39</v>
      </c>
      <c r="C204" s="133" t="s">
        <v>85</v>
      </c>
      <c r="D204" s="133" t="s">
        <v>86</v>
      </c>
      <c r="E204" s="134"/>
      <c r="F204" s="134">
        <v>1752566308</v>
      </c>
      <c r="G204" s="134"/>
      <c r="H204" s="135">
        <v>80111600</v>
      </c>
      <c r="I204" s="136" t="s">
        <v>886</v>
      </c>
      <c r="J204" s="137">
        <v>1</v>
      </c>
      <c r="K204" s="138">
        <v>1</v>
      </c>
      <c r="L204" s="139">
        <v>12</v>
      </c>
      <c r="M204" s="132">
        <f t="shared" si="31"/>
        <v>1</v>
      </c>
      <c r="N204" s="140" t="s">
        <v>216</v>
      </c>
      <c r="O204" s="141" t="str">
        <f>IF(ISBLANK(N204),"",VLOOKUP(N204,[15]Parámetros!$G$2:$H$23,2,FALSE))</f>
        <v>Contratación directa.</v>
      </c>
      <c r="P204" s="142">
        <f t="shared" si="38"/>
        <v>1</v>
      </c>
      <c r="Q204" s="143">
        <f t="shared" si="32"/>
        <v>1752566308</v>
      </c>
      <c r="R204" s="143">
        <f t="shared" si="33"/>
        <v>1752566308</v>
      </c>
      <c r="S204" s="144" t="s">
        <v>222</v>
      </c>
      <c r="T204" s="140">
        <f t="shared" si="39"/>
        <v>0</v>
      </c>
      <c r="U204" s="145" t="str">
        <f t="shared" si="34"/>
        <v>SUBDIRECCION DE GESTION CONTRACTUAL</v>
      </c>
      <c r="V204" s="132" t="str">
        <f t="shared" si="40"/>
        <v>CO-DC</v>
      </c>
      <c r="W204" s="145" t="str">
        <f t="shared" si="41"/>
        <v>Distrito Capital de Bogotá</v>
      </c>
      <c r="X204" s="146" t="s">
        <v>628</v>
      </c>
      <c r="Y204" s="132">
        <v>2427400</v>
      </c>
      <c r="Z204" s="148" t="s">
        <v>87</v>
      </c>
    </row>
    <row r="205" spans="1:26" s="7" customFormat="1" ht="12.75" customHeight="1" x14ac:dyDescent="0.2">
      <c r="A205" s="131" t="s">
        <v>84</v>
      </c>
      <c r="B205" s="132">
        <f t="shared" si="42"/>
        <v>40</v>
      </c>
      <c r="C205" s="133" t="s">
        <v>85</v>
      </c>
      <c r="D205" s="133" t="s">
        <v>86</v>
      </c>
      <c r="E205" s="134">
        <v>84511564</v>
      </c>
      <c r="F205" s="134"/>
      <c r="G205" s="134"/>
      <c r="H205" s="135" t="s">
        <v>42</v>
      </c>
      <c r="I205" s="136" t="s">
        <v>888</v>
      </c>
      <c r="J205" s="137">
        <v>3</v>
      </c>
      <c r="K205" s="138">
        <v>4</v>
      </c>
      <c r="L205" s="139">
        <v>9</v>
      </c>
      <c r="M205" s="132">
        <f t="shared" si="31"/>
        <v>1</v>
      </c>
      <c r="N205" s="140" t="s">
        <v>61</v>
      </c>
      <c r="O205" s="141" t="str">
        <f>IF(ISBLANK(N205),"",VLOOKUP(N205,[15]Parámetros!$G$2:$H$23,2,FALSE))</f>
        <v>Contratación régimen especial - Selección de comisionista</v>
      </c>
      <c r="P205" s="142">
        <f t="shared" si="38"/>
        <v>1</v>
      </c>
      <c r="Q205" s="143">
        <f t="shared" si="32"/>
        <v>84511564</v>
      </c>
      <c r="R205" s="143">
        <f t="shared" si="33"/>
        <v>0</v>
      </c>
      <c r="S205" s="144" t="s">
        <v>224</v>
      </c>
      <c r="T205" s="140">
        <f t="shared" si="39"/>
        <v>3</v>
      </c>
      <c r="U205" s="145" t="str">
        <f t="shared" si="34"/>
        <v>SUBDIRECCION DE GESTION CONTRACTUAL</v>
      </c>
      <c r="V205" s="132" t="str">
        <f t="shared" si="40"/>
        <v>CO-DC</v>
      </c>
      <c r="W205" s="145" t="str">
        <f t="shared" si="41"/>
        <v>Distrito Capital de Bogotá</v>
      </c>
      <c r="X205" s="146" t="s">
        <v>331</v>
      </c>
      <c r="Y205" s="132">
        <v>2427400</v>
      </c>
      <c r="Z205" s="148" t="s">
        <v>75</v>
      </c>
    </row>
    <row r="206" spans="1:26" s="7" customFormat="1" ht="12.75" customHeight="1" x14ac:dyDescent="0.2">
      <c r="A206" s="131" t="s">
        <v>84</v>
      </c>
      <c r="B206" s="132">
        <f t="shared" si="42"/>
        <v>41</v>
      </c>
      <c r="C206" s="133" t="s">
        <v>85</v>
      </c>
      <c r="D206" s="133" t="s">
        <v>86</v>
      </c>
      <c r="E206" s="134"/>
      <c r="F206" s="134">
        <v>42930000</v>
      </c>
      <c r="G206" s="134"/>
      <c r="H206" s="135" t="s">
        <v>42</v>
      </c>
      <c r="I206" s="136" t="s">
        <v>888</v>
      </c>
      <c r="J206" s="137">
        <v>3</v>
      </c>
      <c r="K206" s="138">
        <v>4</v>
      </c>
      <c r="L206" s="139">
        <v>9</v>
      </c>
      <c r="M206" s="132">
        <f t="shared" si="31"/>
        <v>1</v>
      </c>
      <c r="N206" s="140" t="s">
        <v>61</v>
      </c>
      <c r="O206" s="141" t="str">
        <f>IF(ISBLANK(N206),"",VLOOKUP(N206,[15]Parámetros!$G$2:$H$23,2,FALSE))</f>
        <v>Contratación régimen especial - Selección de comisionista</v>
      </c>
      <c r="P206" s="142">
        <f t="shared" ref="P206:P238" si="43">IF(ISBLANK(N206),"",1)</f>
        <v>1</v>
      </c>
      <c r="Q206" s="143">
        <f t="shared" si="32"/>
        <v>42930000</v>
      </c>
      <c r="R206" s="143">
        <f t="shared" si="33"/>
        <v>42930000</v>
      </c>
      <c r="S206" s="144" t="s">
        <v>222</v>
      </c>
      <c r="T206" s="140">
        <f t="shared" ref="T206:T238" si="44">IF(ISBLANK(S206),"",IF(VALUE(S206)=0,0,IF(VALUE(S206)=1,3,"")))</f>
        <v>0</v>
      </c>
      <c r="U206" s="145" t="str">
        <f t="shared" si="34"/>
        <v>SUBDIRECCION DE GESTION CONTRACTUAL</v>
      </c>
      <c r="V206" s="132" t="str">
        <f t="shared" si="40"/>
        <v>CO-DC</v>
      </c>
      <c r="W206" s="145" t="str">
        <f t="shared" si="41"/>
        <v>Distrito Capital de Bogotá</v>
      </c>
      <c r="X206" s="146" t="s">
        <v>331</v>
      </c>
      <c r="Y206" s="132">
        <v>2427400</v>
      </c>
      <c r="Z206" s="148" t="s">
        <v>75</v>
      </c>
    </row>
    <row r="207" spans="1:26" s="7" customFormat="1" ht="12.75" customHeight="1" x14ac:dyDescent="0.2">
      <c r="A207" s="131" t="s">
        <v>84</v>
      </c>
      <c r="B207" s="132">
        <f t="shared" si="42"/>
        <v>42</v>
      </c>
      <c r="C207" s="133" t="s">
        <v>85</v>
      </c>
      <c r="D207" s="133" t="s">
        <v>86</v>
      </c>
      <c r="E207" s="134"/>
      <c r="F207" s="134">
        <v>400000000</v>
      </c>
      <c r="G207" s="134"/>
      <c r="H207" s="135" t="s">
        <v>103</v>
      </c>
      <c r="I207" s="136" t="s">
        <v>895</v>
      </c>
      <c r="J207" s="137">
        <v>2</v>
      </c>
      <c r="K207" s="138">
        <v>3</v>
      </c>
      <c r="L207" s="139">
        <v>10</v>
      </c>
      <c r="M207" s="132">
        <f t="shared" si="31"/>
        <v>1</v>
      </c>
      <c r="N207" s="140" t="s">
        <v>36</v>
      </c>
      <c r="O207" s="141" t="str">
        <f>IF(ISBLANK(N207),"",VLOOKUP(N207,[1]Parámetros!$G$2:$H$23,2,FALSE))</f>
        <v xml:space="preserve">Contratación directa (con ofertas) </v>
      </c>
      <c r="P207" s="142">
        <f t="shared" si="43"/>
        <v>1</v>
      </c>
      <c r="Q207" s="143">
        <f t="shared" si="32"/>
        <v>400000000</v>
      </c>
      <c r="R207" s="143">
        <f t="shared" si="33"/>
        <v>400000000</v>
      </c>
      <c r="S207" s="144" t="s">
        <v>224</v>
      </c>
      <c r="T207" s="140">
        <f t="shared" si="44"/>
        <v>3</v>
      </c>
      <c r="U207" s="145" t="str">
        <f t="shared" si="34"/>
        <v>SUBDIRECCION DE GESTION CONTRACTUAL</v>
      </c>
      <c r="V207" s="132" t="str">
        <f t="shared" si="40"/>
        <v>CO-DC</v>
      </c>
      <c r="W207" s="145" t="str">
        <f t="shared" si="41"/>
        <v>Distrito Capital de Bogotá</v>
      </c>
      <c r="X207" s="146" t="s">
        <v>628</v>
      </c>
      <c r="Y207" s="132">
        <v>2427400</v>
      </c>
      <c r="Z207" s="148" t="s">
        <v>87</v>
      </c>
    </row>
    <row r="208" spans="1:26" s="7" customFormat="1" ht="12.75" customHeight="1" x14ac:dyDescent="0.2">
      <c r="A208" s="131" t="s">
        <v>84</v>
      </c>
      <c r="B208" s="132">
        <f t="shared" si="42"/>
        <v>43</v>
      </c>
      <c r="C208" s="133" t="s">
        <v>85</v>
      </c>
      <c r="D208" s="133" t="s">
        <v>86</v>
      </c>
      <c r="E208" s="134"/>
      <c r="F208" s="134">
        <v>1800000000</v>
      </c>
      <c r="G208" s="134"/>
      <c r="H208" s="135" t="s">
        <v>92</v>
      </c>
      <c r="I208" s="136" t="s">
        <v>892</v>
      </c>
      <c r="J208" s="137">
        <v>2</v>
      </c>
      <c r="K208" s="138">
        <v>5</v>
      </c>
      <c r="L208" s="139">
        <v>8</v>
      </c>
      <c r="M208" s="132">
        <f t="shared" si="31"/>
        <v>1</v>
      </c>
      <c r="N208" s="140" t="s">
        <v>36</v>
      </c>
      <c r="O208" s="141" t="str">
        <f>IF(ISBLANK(N208),"",VLOOKUP(N208,[15]Parámetros!$G$2:$H$23,2,FALSE))</f>
        <v xml:space="preserve">Contratación directa (con ofertas) </v>
      </c>
      <c r="P208" s="142">
        <f t="shared" si="43"/>
        <v>1</v>
      </c>
      <c r="Q208" s="143">
        <f t="shared" si="32"/>
        <v>1800000000</v>
      </c>
      <c r="R208" s="143">
        <f t="shared" si="33"/>
        <v>1800000000</v>
      </c>
      <c r="S208" s="144" t="s">
        <v>222</v>
      </c>
      <c r="T208" s="140">
        <f t="shared" si="44"/>
        <v>0</v>
      </c>
      <c r="U208" s="145" t="str">
        <f t="shared" si="34"/>
        <v>SUBDIRECCION DE GESTION CONTRACTUAL</v>
      </c>
      <c r="V208" s="132" t="str">
        <f t="shared" si="40"/>
        <v>CO-DC</v>
      </c>
      <c r="W208" s="145" t="str">
        <f t="shared" si="41"/>
        <v>Distrito Capital de Bogotá</v>
      </c>
      <c r="X208" s="146" t="s">
        <v>628</v>
      </c>
      <c r="Y208" s="132">
        <v>2427400</v>
      </c>
      <c r="Z208" s="148" t="s">
        <v>87</v>
      </c>
    </row>
    <row r="209" spans="1:26" s="7" customFormat="1" ht="12.75" customHeight="1" x14ac:dyDescent="0.2">
      <c r="A209" s="131" t="s">
        <v>84</v>
      </c>
      <c r="B209" s="132">
        <f t="shared" si="42"/>
        <v>44</v>
      </c>
      <c r="C209" s="133" t="s">
        <v>329</v>
      </c>
      <c r="D209" s="133" t="s">
        <v>86</v>
      </c>
      <c r="E209" s="134"/>
      <c r="F209" s="134">
        <v>2700000000</v>
      </c>
      <c r="G209" s="134"/>
      <c r="H209" s="135" t="s">
        <v>92</v>
      </c>
      <c r="I209" s="136" t="s">
        <v>892</v>
      </c>
      <c r="J209" s="137">
        <v>2</v>
      </c>
      <c r="K209" s="138">
        <v>5</v>
      </c>
      <c r="L209" s="139">
        <v>8</v>
      </c>
      <c r="M209" s="132">
        <f t="shared" si="31"/>
        <v>1</v>
      </c>
      <c r="N209" s="140" t="s">
        <v>36</v>
      </c>
      <c r="O209" s="141" t="str">
        <f>IF(ISBLANK(N209),"",VLOOKUP(N209,[15]Parámetros!$G$2:$H$23,2,FALSE))</f>
        <v xml:space="preserve">Contratación directa (con ofertas) </v>
      </c>
      <c r="P209" s="142">
        <f t="shared" si="43"/>
        <v>1</v>
      </c>
      <c r="Q209" s="143">
        <f t="shared" si="32"/>
        <v>2700000000</v>
      </c>
      <c r="R209" s="143">
        <f t="shared" si="33"/>
        <v>2700000000</v>
      </c>
      <c r="S209" s="144" t="s">
        <v>222</v>
      </c>
      <c r="T209" s="140">
        <f t="shared" si="44"/>
        <v>0</v>
      </c>
      <c r="U209" s="145" t="str">
        <f t="shared" si="34"/>
        <v>SUBDIRECCION DE GESTION CONTRACTUAL</v>
      </c>
      <c r="V209" s="132" t="str">
        <f t="shared" si="40"/>
        <v>CO-DC</v>
      </c>
      <c r="W209" s="145" t="str">
        <f t="shared" si="41"/>
        <v>Distrito Capital de Bogotá</v>
      </c>
      <c r="X209" s="146" t="s">
        <v>628</v>
      </c>
      <c r="Y209" s="132">
        <v>2427400</v>
      </c>
      <c r="Z209" s="148" t="s">
        <v>87</v>
      </c>
    </row>
    <row r="210" spans="1:26" s="7" customFormat="1" ht="12.75" customHeight="1" x14ac:dyDescent="0.2">
      <c r="A210" s="131" t="s">
        <v>84</v>
      </c>
      <c r="B210" s="132">
        <f t="shared" si="42"/>
        <v>45</v>
      </c>
      <c r="C210" s="133" t="s">
        <v>342</v>
      </c>
      <c r="D210" s="133" t="s">
        <v>88</v>
      </c>
      <c r="E210" s="134"/>
      <c r="F210" s="134">
        <v>532873475.50294244</v>
      </c>
      <c r="G210" s="134"/>
      <c r="H210" s="135">
        <v>80111600</v>
      </c>
      <c r="I210" s="136" t="s">
        <v>886</v>
      </c>
      <c r="J210" s="137">
        <v>1</v>
      </c>
      <c r="K210" s="138">
        <v>1</v>
      </c>
      <c r="L210" s="139">
        <v>12</v>
      </c>
      <c r="M210" s="132">
        <f t="shared" si="31"/>
        <v>1</v>
      </c>
      <c r="N210" s="140" t="s">
        <v>216</v>
      </c>
      <c r="O210" s="141" t="str">
        <f>IF(ISBLANK(N210),"",VLOOKUP(N210,[15]Parámetros!$G$2:$H$23,2,FALSE))</f>
        <v>Contratación directa.</v>
      </c>
      <c r="P210" s="142">
        <f t="shared" si="43"/>
        <v>1</v>
      </c>
      <c r="Q210" s="143">
        <f t="shared" si="32"/>
        <v>532873475.50294244</v>
      </c>
      <c r="R210" s="143">
        <f t="shared" si="33"/>
        <v>532873475.50294244</v>
      </c>
      <c r="S210" s="144" t="s">
        <v>222</v>
      </c>
      <c r="T210" s="140">
        <f t="shared" si="44"/>
        <v>0</v>
      </c>
      <c r="U210" s="145" t="str">
        <f t="shared" si="34"/>
        <v>SUBDIRECCION DE GESTION CONTRACTUAL</v>
      </c>
      <c r="V210" s="132" t="str">
        <f t="shared" si="40"/>
        <v>CO-DC</v>
      </c>
      <c r="W210" s="145" t="str">
        <f t="shared" si="41"/>
        <v>Distrito Capital de Bogotá</v>
      </c>
      <c r="X210" s="146" t="s">
        <v>628</v>
      </c>
      <c r="Y210" s="132">
        <v>2427400</v>
      </c>
      <c r="Z210" s="148" t="s">
        <v>87</v>
      </c>
    </row>
    <row r="211" spans="1:26" s="7" customFormat="1" ht="12.75" customHeight="1" x14ac:dyDescent="0.2">
      <c r="A211" s="131" t="s">
        <v>84</v>
      </c>
      <c r="B211" s="132">
        <f t="shared" si="42"/>
        <v>46</v>
      </c>
      <c r="C211" s="133" t="s">
        <v>343</v>
      </c>
      <c r="D211" s="133" t="s">
        <v>88</v>
      </c>
      <c r="E211" s="134"/>
      <c r="F211" s="134">
        <v>462703317.26866001</v>
      </c>
      <c r="G211" s="134"/>
      <c r="H211" s="135">
        <v>80111600</v>
      </c>
      <c r="I211" s="136" t="s">
        <v>886</v>
      </c>
      <c r="J211" s="137">
        <v>1</v>
      </c>
      <c r="K211" s="138">
        <v>1</v>
      </c>
      <c r="L211" s="139">
        <v>12</v>
      </c>
      <c r="M211" s="132">
        <f t="shared" si="31"/>
        <v>1</v>
      </c>
      <c r="N211" s="140" t="s">
        <v>216</v>
      </c>
      <c r="O211" s="141" t="str">
        <f>IF(ISBLANK(N211),"",VLOOKUP(N211,[15]Parámetros!$G$2:$H$23,2,FALSE))</f>
        <v>Contratación directa.</v>
      </c>
      <c r="P211" s="142">
        <f t="shared" si="43"/>
        <v>1</v>
      </c>
      <c r="Q211" s="143">
        <f t="shared" si="32"/>
        <v>462703317.26866001</v>
      </c>
      <c r="R211" s="143">
        <f t="shared" si="33"/>
        <v>462703317.26866001</v>
      </c>
      <c r="S211" s="144" t="s">
        <v>222</v>
      </c>
      <c r="T211" s="140">
        <f t="shared" si="44"/>
        <v>0</v>
      </c>
      <c r="U211" s="145" t="str">
        <f t="shared" si="34"/>
        <v>SUBDIRECCION DE GESTION CONTRACTUAL</v>
      </c>
      <c r="V211" s="132" t="str">
        <f t="shared" si="40"/>
        <v>CO-DC</v>
      </c>
      <c r="W211" s="145" t="str">
        <f t="shared" si="41"/>
        <v>Distrito Capital de Bogotá</v>
      </c>
      <c r="X211" s="146" t="s">
        <v>628</v>
      </c>
      <c r="Y211" s="132">
        <v>2427400</v>
      </c>
      <c r="Z211" s="148" t="s">
        <v>87</v>
      </c>
    </row>
    <row r="212" spans="1:26" s="7" customFormat="1" ht="12.75" customHeight="1" x14ac:dyDescent="0.2">
      <c r="A212" s="131" t="s">
        <v>84</v>
      </c>
      <c r="B212" s="132">
        <f t="shared" si="42"/>
        <v>47</v>
      </c>
      <c r="C212" s="133" t="s">
        <v>90</v>
      </c>
      <c r="D212" s="133" t="s">
        <v>88</v>
      </c>
      <c r="E212" s="134"/>
      <c r="F212" s="134">
        <v>344578782.46415001</v>
      </c>
      <c r="G212" s="134"/>
      <c r="H212" s="135">
        <v>80111600</v>
      </c>
      <c r="I212" s="136" t="s">
        <v>886</v>
      </c>
      <c r="J212" s="137">
        <v>1</v>
      </c>
      <c r="K212" s="138">
        <v>1</v>
      </c>
      <c r="L212" s="139">
        <v>12</v>
      </c>
      <c r="M212" s="132">
        <f t="shared" si="31"/>
        <v>1</v>
      </c>
      <c r="N212" s="140" t="s">
        <v>216</v>
      </c>
      <c r="O212" s="141" t="str">
        <f>IF(ISBLANK(N212),"",VLOOKUP(N212,[15]Parámetros!$G$2:$H$23,2,FALSE))</f>
        <v>Contratación directa.</v>
      </c>
      <c r="P212" s="142">
        <f t="shared" si="43"/>
        <v>1</v>
      </c>
      <c r="Q212" s="143">
        <f t="shared" si="32"/>
        <v>344578782.46415001</v>
      </c>
      <c r="R212" s="143">
        <f t="shared" si="33"/>
        <v>344578782.46415001</v>
      </c>
      <c r="S212" s="144" t="s">
        <v>222</v>
      </c>
      <c r="T212" s="140">
        <f t="shared" si="44"/>
        <v>0</v>
      </c>
      <c r="U212" s="145" t="str">
        <f t="shared" si="34"/>
        <v>SUBDIRECCION DE GESTION CONTRACTUAL</v>
      </c>
      <c r="V212" s="132" t="str">
        <f t="shared" si="40"/>
        <v>CO-DC</v>
      </c>
      <c r="W212" s="145" t="str">
        <f t="shared" si="41"/>
        <v>Distrito Capital de Bogotá</v>
      </c>
      <c r="X212" s="146" t="s">
        <v>628</v>
      </c>
      <c r="Y212" s="132">
        <v>2427400</v>
      </c>
      <c r="Z212" s="148" t="s">
        <v>87</v>
      </c>
    </row>
    <row r="213" spans="1:26" s="7" customFormat="1" ht="12.75" customHeight="1" x14ac:dyDescent="0.2">
      <c r="A213" s="131" t="s">
        <v>84</v>
      </c>
      <c r="B213" s="132">
        <f t="shared" si="42"/>
        <v>48</v>
      </c>
      <c r="C213" s="133" t="s">
        <v>342</v>
      </c>
      <c r="D213" s="133" t="s">
        <v>88</v>
      </c>
      <c r="E213" s="134"/>
      <c r="F213" s="134">
        <f>265237115-380000+380000</f>
        <v>265237115</v>
      </c>
      <c r="G213" s="134"/>
      <c r="H213" s="135" t="s">
        <v>752</v>
      </c>
      <c r="I213" s="136" t="s">
        <v>887</v>
      </c>
      <c r="J213" s="137">
        <v>2</v>
      </c>
      <c r="K213" s="138">
        <v>3</v>
      </c>
      <c r="L213" s="139">
        <v>9</v>
      </c>
      <c r="M213" s="132">
        <f t="shared" si="31"/>
        <v>1</v>
      </c>
      <c r="N213" s="140" t="s">
        <v>226</v>
      </c>
      <c r="O213" s="141" t="str">
        <f>IF(ISBLANK(N213),"",VLOOKUP(N213,[15]Parámetros!$G$2:$H$23,2,FALSE))</f>
        <v>Licitación pública</v>
      </c>
      <c r="P213" s="142">
        <f t="shared" si="43"/>
        <v>1</v>
      </c>
      <c r="Q213" s="143">
        <f t="shared" si="32"/>
        <v>265237115</v>
      </c>
      <c r="R213" s="143">
        <f t="shared" si="33"/>
        <v>265237115</v>
      </c>
      <c r="S213" s="144" t="s">
        <v>222</v>
      </c>
      <c r="T213" s="140">
        <f t="shared" si="44"/>
        <v>0</v>
      </c>
      <c r="U213" s="145" t="str">
        <f t="shared" si="34"/>
        <v>SUBDIRECCION DE GESTION CONTRACTUAL</v>
      </c>
      <c r="V213" s="132" t="str">
        <f t="shared" si="40"/>
        <v>CO-DC</v>
      </c>
      <c r="W213" s="145" t="str">
        <f t="shared" si="41"/>
        <v>Distrito Capital de Bogotá</v>
      </c>
      <c r="X213" s="146" t="s">
        <v>628</v>
      </c>
      <c r="Y213" s="132">
        <v>2427400</v>
      </c>
      <c r="Z213" s="148" t="s">
        <v>87</v>
      </c>
    </row>
    <row r="214" spans="1:26" s="7" customFormat="1" ht="12.75" customHeight="1" x14ac:dyDescent="0.2">
      <c r="A214" s="131" t="s">
        <v>84</v>
      </c>
      <c r="B214" s="132">
        <f t="shared" si="42"/>
        <v>49</v>
      </c>
      <c r="C214" s="133" t="s">
        <v>343</v>
      </c>
      <c r="D214" s="133" t="s">
        <v>88</v>
      </c>
      <c r="E214" s="134"/>
      <c r="F214" s="134">
        <f>1392000000+60000000</f>
        <v>1452000000</v>
      </c>
      <c r="G214" s="134"/>
      <c r="H214" s="135" t="s">
        <v>752</v>
      </c>
      <c r="I214" s="136" t="s">
        <v>887</v>
      </c>
      <c r="J214" s="137">
        <v>2</v>
      </c>
      <c r="K214" s="138">
        <v>3</v>
      </c>
      <c r="L214" s="139">
        <v>9</v>
      </c>
      <c r="M214" s="132">
        <f t="shared" si="31"/>
        <v>1</v>
      </c>
      <c r="N214" s="140" t="s">
        <v>226</v>
      </c>
      <c r="O214" s="141" t="str">
        <f>IF(ISBLANK(N214),"",VLOOKUP(N214,[15]Parámetros!$G$2:$H$23,2,FALSE))</f>
        <v>Licitación pública</v>
      </c>
      <c r="P214" s="142">
        <f t="shared" si="43"/>
        <v>1</v>
      </c>
      <c r="Q214" s="143">
        <f t="shared" si="32"/>
        <v>1452000000</v>
      </c>
      <c r="R214" s="143">
        <f t="shared" si="33"/>
        <v>1452000000</v>
      </c>
      <c r="S214" s="144" t="s">
        <v>222</v>
      </c>
      <c r="T214" s="140">
        <f t="shared" si="44"/>
        <v>0</v>
      </c>
      <c r="U214" s="145" t="str">
        <f t="shared" si="34"/>
        <v>SUBDIRECCION DE GESTION CONTRACTUAL</v>
      </c>
      <c r="V214" s="132" t="str">
        <f t="shared" si="40"/>
        <v>CO-DC</v>
      </c>
      <c r="W214" s="145" t="str">
        <f t="shared" si="41"/>
        <v>Distrito Capital de Bogotá</v>
      </c>
      <c r="X214" s="146" t="s">
        <v>628</v>
      </c>
      <c r="Y214" s="132">
        <v>2427400</v>
      </c>
      <c r="Z214" s="148" t="s">
        <v>87</v>
      </c>
    </row>
    <row r="215" spans="1:26" s="7" customFormat="1" ht="12.75" customHeight="1" x14ac:dyDescent="0.2">
      <c r="A215" s="131" t="s">
        <v>84</v>
      </c>
      <c r="B215" s="132">
        <f t="shared" si="42"/>
        <v>50</v>
      </c>
      <c r="C215" s="133" t="s">
        <v>342</v>
      </c>
      <c r="D215" s="133" t="s">
        <v>88</v>
      </c>
      <c r="E215" s="134"/>
      <c r="F215" s="134">
        <v>1600000000</v>
      </c>
      <c r="G215" s="134"/>
      <c r="H215" s="135" t="s">
        <v>92</v>
      </c>
      <c r="I215" s="136" t="s">
        <v>892</v>
      </c>
      <c r="J215" s="137">
        <v>2</v>
      </c>
      <c r="K215" s="138">
        <v>5</v>
      </c>
      <c r="L215" s="139">
        <v>8</v>
      </c>
      <c r="M215" s="132">
        <f t="shared" si="31"/>
        <v>1</v>
      </c>
      <c r="N215" s="140" t="s">
        <v>36</v>
      </c>
      <c r="O215" s="141" t="str">
        <f>IF(ISBLANK(N215),"",VLOOKUP(N215,[15]Parámetros!$G$2:$H$23,2,FALSE))</f>
        <v xml:space="preserve">Contratación directa (con ofertas) </v>
      </c>
      <c r="P215" s="142">
        <f t="shared" si="43"/>
        <v>1</v>
      </c>
      <c r="Q215" s="143">
        <f t="shared" si="32"/>
        <v>1600000000</v>
      </c>
      <c r="R215" s="143">
        <f t="shared" si="33"/>
        <v>1600000000</v>
      </c>
      <c r="S215" s="144" t="s">
        <v>222</v>
      </c>
      <c r="T215" s="140">
        <f t="shared" si="44"/>
        <v>0</v>
      </c>
      <c r="U215" s="145" t="str">
        <f t="shared" si="34"/>
        <v>SUBDIRECCION DE GESTION CONTRACTUAL</v>
      </c>
      <c r="V215" s="132" t="str">
        <f t="shared" si="40"/>
        <v>CO-DC</v>
      </c>
      <c r="W215" s="145" t="str">
        <f t="shared" si="41"/>
        <v>Distrito Capital de Bogotá</v>
      </c>
      <c r="X215" s="146" t="s">
        <v>628</v>
      </c>
      <c r="Y215" s="132">
        <v>2427400</v>
      </c>
      <c r="Z215" s="148" t="s">
        <v>87</v>
      </c>
    </row>
    <row r="216" spans="1:26" s="7" customFormat="1" ht="12.75" customHeight="1" x14ac:dyDescent="0.2">
      <c r="A216" s="131" t="s">
        <v>84</v>
      </c>
      <c r="B216" s="132">
        <f t="shared" si="42"/>
        <v>51</v>
      </c>
      <c r="C216" s="133" t="s">
        <v>343</v>
      </c>
      <c r="D216" s="133" t="s">
        <v>88</v>
      </c>
      <c r="E216" s="134"/>
      <c r="F216" s="134">
        <v>1440000000</v>
      </c>
      <c r="G216" s="134"/>
      <c r="H216" s="135" t="s">
        <v>92</v>
      </c>
      <c r="I216" s="136" t="s">
        <v>892</v>
      </c>
      <c r="J216" s="137">
        <v>2</v>
      </c>
      <c r="K216" s="138">
        <v>5</v>
      </c>
      <c r="L216" s="139">
        <v>8</v>
      </c>
      <c r="M216" s="132">
        <f t="shared" si="31"/>
        <v>1</v>
      </c>
      <c r="N216" s="140" t="s">
        <v>36</v>
      </c>
      <c r="O216" s="141" t="str">
        <f>IF(ISBLANK(N216),"",VLOOKUP(N216,[15]Parámetros!$G$2:$H$23,2,FALSE))</f>
        <v xml:space="preserve">Contratación directa (con ofertas) </v>
      </c>
      <c r="P216" s="142">
        <f t="shared" si="43"/>
        <v>1</v>
      </c>
      <c r="Q216" s="143">
        <f t="shared" si="32"/>
        <v>1440000000</v>
      </c>
      <c r="R216" s="143">
        <f t="shared" si="33"/>
        <v>1440000000</v>
      </c>
      <c r="S216" s="144" t="s">
        <v>222</v>
      </c>
      <c r="T216" s="140">
        <f t="shared" si="44"/>
        <v>0</v>
      </c>
      <c r="U216" s="145" t="str">
        <f t="shared" si="34"/>
        <v>SUBDIRECCION DE GESTION CONTRACTUAL</v>
      </c>
      <c r="V216" s="132" t="str">
        <f t="shared" si="40"/>
        <v>CO-DC</v>
      </c>
      <c r="W216" s="145" t="str">
        <f t="shared" si="41"/>
        <v>Distrito Capital de Bogotá</v>
      </c>
      <c r="X216" s="146" t="s">
        <v>628</v>
      </c>
      <c r="Y216" s="132">
        <v>2427400</v>
      </c>
      <c r="Z216" s="148" t="s">
        <v>87</v>
      </c>
    </row>
    <row r="217" spans="1:26" s="7" customFormat="1" ht="12.75" customHeight="1" x14ac:dyDescent="0.2">
      <c r="A217" s="131" t="s">
        <v>84</v>
      </c>
      <c r="B217" s="132">
        <f t="shared" si="42"/>
        <v>52</v>
      </c>
      <c r="C217" s="133" t="s">
        <v>329</v>
      </c>
      <c r="D217" s="133" t="s">
        <v>89</v>
      </c>
      <c r="E217" s="134"/>
      <c r="F217" s="134">
        <v>1600000000</v>
      </c>
      <c r="G217" s="134"/>
      <c r="H217" s="135" t="s">
        <v>92</v>
      </c>
      <c r="I217" s="136" t="s">
        <v>892</v>
      </c>
      <c r="J217" s="137">
        <v>2</v>
      </c>
      <c r="K217" s="138">
        <v>5</v>
      </c>
      <c r="L217" s="139">
        <v>8</v>
      </c>
      <c r="M217" s="132">
        <f t="shared" si="31"/>
        <v>1</v>
      </c>
      <c r="N217" s="140" t="s">
        <v>36</v>
      </c>
      <c r="O217" s="141" t="str">
        <f>IF(ISBLANK(N217),"",VLOOKUP(N217,[15]Parámetros!$G$2:$H$23,2,FALSE))</f>
        <v xml:space="preserve">Contratación directa (con ofertas) </v>
      </c>
      <c r="P217" s="142">
        <f t="shared" si="43"/>
        <v>1</v>
      </c>
      <c r="Q217" s="143">
        <f t="shared" si="32"/>
        <v>1600000000</v>
      </c>
      <c r="R217" s="143">
        <f t="shared" si="33"/>
        <v>1600000000</v>
      </c>
      <c r="S217" s="144" t="s">
        <v>222</v>
      </c>
      <c r="T217" s="140">
        <f t="shared" si="44"/>
        <v>0</v>
      </c>
      <c r="U217" s="145" t="str">
        <f t="shared" si="34"/>
        <v>SUBDIRECCION DE GESTION CONTRACTUAL</v>
      </c>
      <c r="V217" s="132" t="str">
        <f t="shared" si="40"/>
        <v>CO-DC</v>
      </c>
      <c r="W217" s="145" t="str">
        <f t="shared" si="41"/>
        <v>Distrito Capital de Bogotá</v>
      </c>
      <c r="X217" s="146" t="s">
        <v>628</v>
      </c>
      <c r="Y217" s="132">
        <v>2427400</v>
      </c>
      <c r="Z217" s="148" t="s">
        <v>87</v>
      </c>
    </row>
    <row r="218" spans="1:26" s="7" customFormat="1" ht="12.75" customHeight="1" x14ac:dyDescent="0.2">
      <c r="A218" s="131" t="s">
        <v>84</v>
      </c>
      <c r="B218" s="132">
        <f t="shared" si="42"/>
        <v>53</v>
      </c>
      <c r="C218" s="133" t="s">
        <v>342</v>
      </c>
      <c r="D218" s="133" t="s">
        <v>88</v>
      </c>
      <c r="E218" s="134"/>
      <c r="F218" s="134">
        <v>14606577</v>
      </c>
      <c r="G218" s="134"/>
      <c r="H218" s="135" t="s">
        <v>42</v>
      </c>
      <c r="I218" s="136" t="s">
        <v>888</v>
      </c>
      <c r="J218" s="137">
        <v>3</v>
      </c>
      <c r="K218" s="138">
        <v>4</v>
      </c>
      <c r="L218" s="139">
        <v>9</v>
      </c>
      <c r="M218" s="132">
        <f t="shared" ref="M218:M283" si="45">IF(ISBLANK(J218),"",1)</f>
        <v>1</v>
      </c>
      <c r="N218" s="140" t="s">
        <v>61</v>
      </c>
      <c r="O218" s="141" t="str">
        <f>IF(ISBLANK(N218),"",VLOOKUP(N218,[15]Parámetros!$G$2:$H$23,2,FALSE))</f>
        <v>Contratación régimen especial - Selección de comisionista</v>
      </c>
      <c r="P218" s="142">
        <f t="shared" si="43"/>
        <v>1</v>
      </c>
      <c r="Q218" s="143">
        <f t="shared" ref="Q218:Q283" si="46">+E218+F218+G218</f>
        <v>14606577</v>
      </c>
      <c r="R218" s="143">
        <f t="shared" ref="R218:R283" si="47">+F218</f>
        <v>14606577</v>
      </c>
      <c r="S218" s="144" t="s">
        <v>222</v>
      </c>
      <c r="T218" s="140">
        <f t="shared" si="44"/>
        <v>0</v>
      </c>
      <c r="U218" s="145" t="str">
        <f t="shared" ref="U218:U283" si="48">IF(ISBLANK(N218),"","SUBDIRECCION DE GESTION CONTRACTUAL")</f>
        <v>SUBDIRECCION DE GESTION CONTRACTUAL</v>
      </c>
      <c r="V218" s="132" t="str">
        <f t="shared" si="40"/>
        <v>CO-DC</v>
      </c>
      <c r="W218" s="145" t="str">
        <f t="shared" si="41"/>
        <v>Distrito Capital de Bogotá</v>
      </c>
      <c r="X218" s="146" t="s">
        <v>331</v>
      </c>
      <c r="Y218" s="132">
        <v>2427400</v>
      </c>
      <c r="Z218" s="148" t="s">
        <v>75</v>
      </c>
    </row>
    <row r="219" spans="1:26" s="7" customFormat="1" ht="12.75" customHeight="1" x14ac:dyDescent="0.2">
      <c r="A219" s="131" t="s">
        <v>84</v>
      </c>
      <c r="B219" s="132">
        <f t="shared" si="42"/>
        <v>54</v>
      </c>
      <c r="C219" s="133" t="s">
        <v>343</v>
      </c>
      <c r="D219" s="133" t="s">
        <v>88</v>
      </c>
      <c r="E219" s="134"/>
      <c r="F219" s="134">
        <v>106920000</v>
      </c>
      <c r="G219" s="134"/>
      <c r="H219" s="135" t="s">
        <v>42</v>
      </c>
      <c r="I219" s="136" t="s">
        <v>888</v>
      </c>
      <c r="J219" s="137">
        <v>3</v>
      </c>
      <c r="K219" s="138">
        <v>4</v>
      </c>
      <c r="L219" s="139">
        <v>9</v>
      </c>
      <c r="M219" s="132">
        <f t="shared" si="45"/>
        <v>1</v>
      </c>
      <c r="N219" s="140" t="s">
        <v>61</v>
      </c>
      <c r="O219" s="141" t="str">
        <f>IF(ISBLANK(N219),"",VLOOKUP(N219,[15]Parámetros!$G$2:$H$23,2,FALSE))</f>
        <v>Contratación régimen especial - Selección de comisionista</v>
      </c>
      <c r="P219" s="142">
        <f t="shared" si="43"/>
        <v>1</v>
      </c>
      <c r="Q219" s="143">
        <f t="shared" si="46"/>
        <v>106920000</v>
      </c>
      <c r="R219" s="143">
        <f t="shared" si="47"/>
        <v>106920000</v>
      </c>
      <c r="S219" s="144" t="s">
        <v>222</v>
      </c>
      <c r="T219" s="140">
        <f t="shared" si="44"/>
        <v>0</v>
      </c>
      <c r="U219" s="145" t="str">
        <f t="shared" si="48"/>
        <v>SUBDIRECCION DE GESTION CONTRACTUAL</v>
      </c>
      <c r="V219" s="132" t="str">
        <f t="shared" si="40"/>
        <v>CO-DC</v>
      </c>
      <c r="W219" s="145" t="str">
        <f t="shared" si="41"/>
        <v>Distrito Capital de Bogotá</v>
      </c>
      <c r="X219" s="146" t="s">
        <v>331</v>
      </c>
      <c r="Y219" s="132">
        <v>2427400</v>
      </c>
      <c r="Z219" s="148" t="s">
        <v>75</v>
      </c>
    </row>
    <row r="220" spans="1:26" s="7" customFormat="1" ht="12.75" customHeight="1" x14ac:dyDescent="0.2">
      <c r="A220" s="131" t="s">
        <v>84</v>
      </c>
      <c r="B220" s="132">
        <f t="shared" si="42"/>
        <v>55</v>
      </c>
      <c r="C220" s="133" t="s">
        <v>90</v>
      </c>
      <c r="D220" s="133" t="s">
        <v>88</v>
      </c>
      <c r="E220" s="134"/>
      <c r="F220" s="134">
        <v>48600000</v>
      </c>
      <c r="G220" s="134"/>
      <c r="H220" s="135" t="s">
        <v>42</v>
      </c>
      <c r="I220" s="136" t="s">
        <v>888</v>
      </c>
      <c r="J220" s="137">
        <v>3</v>
      </c>
      <c r="K220" s="138">
        <v>4</v>
      </c>
      <c r="L220" s="139">
        <v>9</v>
      </c>
      <c r="M220" s="132">
        <f t="shared" si="45"/>
        <v>1</v>
      </c>
      <c r="N220" s="140" t="s">
        <v>61</v>
      </c>
      <c r="O220" s="141" t="str">
        <f>IF(ISBLANK(N220),"",VLOOKUP(N220,[15]Parámetros!$G$2:$H$23,2,FALSE))</f>
        <v>Contratación régimen especial - Selección de comisionista</v>
      </c>
      <c r="P220" s="142">
        <f t="shared" si="43"/>
        <v>1</v>
      </c>
      <c r="Q220" s="143">
        <f t="shared" si="46"/>
        <v>48600000</v>
      </c>
      <c r="R220" s="143">
        <f t="shared" si="47"/>
        <v>48600000</v>
      </c>
      <c r="S220" s="144" t="s">
        <v>222</v>
      </c>
      <c r="T220" s="140">
        <f t="shared" si="44"/>
        <v>0</v>
      </c>
      <c r="U220" s="145" t="str">
        <f t="shared" si="48"/>
        <v>SUBDIRECCION DE GESTION CONTRACTUAL</v>
      </c>
      <c r="V220" s="132" t="str">
        <f t="shared" si="40"/>
        <v>CO-DC</v>
      </c>
      <c r="W220" s="145" t="str">
        <f t="shared" si="41"/>
        <v>Distrito Capital de Bogotá</v>
      </c>
      <c r="X220" s="146" t="s">
        <v>331</v>
      </c>
      <c r="Y220" s="132">
        <v>2427400</v>
      </c>
      <c r="Z220" s="148" t="s">
        <v>75</v>
      </c>
    </row>
    <row r="221" spans="1:26" s="7" customFormat="1" ht="12.75" customHeight="1" x14ac:dyDescent="0.2">
      <c r="A221" s="131" t="s">
        <v>84</v>
      </c>
      <c r="B221" s="132">
        <f t="shared" si="42"/>
        <v>56</v>
      </c>
      <c r="C221" s="133" t="s">
        <v>342</v>
      </c>
      <c r="D221" s="133" t="s">
        <v>88</v>
      </c>
      <c r="E221" s="134"/>
      <c r="F221" s="134">
        <v>27000000</v>
      </c>
      <c r="G221" s="134"/>
      <c r="H221" s="135" t="s">
        <v>93</v>
      </c>
      <c r="I221" s="136" t="s">
        <v>896</v>
      </c>
      <c r="J221" s="137">
        <v>3</v>
      </c>
      <c r="K221" s="138">
        <v>4</v>
      </c>
      <c r="L221" s="139">
        <v>9</v>
      </c>
      <c r="M221" s="132">
        <f t="shared" si="45"/>
        <v>1</v>
      </c>
      <c r="N221" s="140" t="s">
        <v>36</v>
      </c>
      <c r="O221" s="141" t="str">
        <f>IF(ISBLANK(N221),"",VLOOKUP(N221,[15]Parámetros!$G$2:$H$23,2,FALSE))</f>
        <v xml:space="preserve">Contratación directa (con ofertas) </v>
      </c>
      <c r="P221" s="142">
        <f t="shared" si="43"/>
        <v>1</v>
      </c>
      <c r="Q221" s="143">
        <f t="shared" si="46"/>
        <v>27000000</v>
      </c>
      <c r="R221" s="143">
        <f t="shared" si="47"/>
        <v>27000000</v>
      </c>
      <c r="S221" s="144" t="s">
        <v>222</v>
      </c>
      <c r="T221" s="140">
        <f t="shared" si="44"/>
        <v>0</v>
      </c>
      <c r="U221" s="145" t="str">
        <f t="shared" si="48"/>
        <v>SUBDIRECCION DE GESTION CONTRACTUAL</v>
      </c>
      <c r="V221" s="132" t="str">
        <f t="shared" si="40"/>
        <v>CO-DC</v>
      </c>
      <c r="W221" s="145" t="str">
        <f t="shared" si="41"/>
        <v>Distrito Capital de Bogotá</v>
      </c>
      <c r="X221" s="146" t="s">
        <v>628</v>
      </c>
      <c r="Y221" s="132">
        <v>2427400</v>
      </c>
      <c r="Z221" s="148" t="s">
        <v>87</v>
      </c>
    </row>
    <row r="222" spans="1:26" s="7" customFormat="1" ht="12.75" customHeight="1" x14ac:dyDescent="0.2">
      <c r="A222" s="131" t="s">
        <v>84</v>
      </c>
      <c r="B222" s="132">
        <f t="shared" si="42"/>
        <v>57</v>
      </c>
      <c r="C222" s="133" t="s">
        <v>344</v>
      </c>
      <c r="D222" s="133" t="s">
        <v>345</v>
      </c>
      <c r="E222" s="134"/>
      <c r="F222" s="134">
        <f>4731015587-182284447</f>
        <v>4548731140</v>
      </c>
      <c r="G222" s="134"/>
      <c r="H222" s="135">
        <v>80111600</v>
      </c>
      <c r="I222" s="136" t="s">
        <v>886</v>
      </c>
      <c r="J222" s="137">
        <v>1</v>
      </c>
      <c r="K222" s="138">
        <v>1</v>
      </c>
      <c r="L222" s="139">
        <v>12</v>
      </c>
      <c r="M222" s="132">
        <f t="shared" si="45"/>
        <v>1</v>
      </c>
      <c r="N222" s="140" t="s">
        <v>216</v>
      </c>
      <c r="O222" s="141" t="str">
        <f>IF(ISBLANK(N222),"",VLOOKUP(N222,[15]Parámetros!$G$2:$H$23,2,FALSE))</f>
        <v>Contratación directa.</v>
      </c>
      <c r="P222" s="142">
        <f t="shared" si="43"/>
        <v>1</v>
      </c>
      <c r="Q222" s="143">
        <f t="shared" si="46"/>
        <v>4548731140</v>
      </c>
      <c r="R222" s="143">
        <f t="shared" si="47"/>
        <v>4548731140</v>
      </c>
      <c r="S222" s="144" t="s">
        <v>222</v>
      </c>
      <c r="T222" s="140">
        <f t="shared" si="44"/>
        <v>0</v>
      </c>
      <c r="U222" s="145" t="str">
        <f t="shared" si="48"/>
        <v>SUBDIRECCION DE GESTION CONTRACTUAL</v>
      </c>
      <c r="V222" s="132" t="str">
        <f t="shared" si="40"/>
        <v>CO-DC</v>
      </c>
      <c r="W222" s="145" t="str">
        <f t="shared" si="41"/>
        <v>Distrito Capital de Bogotá</v>
      </c>
      <c r="X222" s="146" t="s">
        <v>628</v>
      </c>
      <c r="Y222" s="132">
        <v>2427400</v>
      </c>
      <c r="Z222" s="148" t="s">
        <v>87</v>
      </c>
    </row>
    <row r="223" spans="1:26" s="7" customFormat="1" ht="12.75" customHeight="1" x14ac:dyDescent="0.2">
      <c r="A223" s="131" t="s">
        <v>84</v>
      </c>
      <c r="B223" s="132">
        <f t="shared" si="42"/>
        <v>58</v>
      </c>
      <c r="C223" s="133" t="s">
        <v>344</v>
      </c>
      <c r="D223" s="133" t="s">
        <v>345</v>
      </c>
      <c r="E223" s="134"/>
      <c r="F223" s="134">
        <f>3375904460+163647055</f>
        <v>3539551515</v>
      </c>
      <c r="G223" s="134"/>
      <c r="H223" s="135" t="s">
        <v>752</v>
      </c>
      <c r="I223" s="136" t="s">
        <v>887</v>
      </c>
      <c r="J223" s="137">
        <v>2</v>
      </c>
      <c r="K223" s="138">
        <v>3</v>
      </c>
      <c r="L223" s="139">
        <v>9</v>
      </c>
      <c r="M223" s="132">
        <f t="shared" si="45"/>
        <v>1</v>
      </c>
      <c r="N223" s="140" t="s">
        <v>226</v>
      </c>
      <c r="O223" s="141" t="str">
        <f>IF(ISBLANK(N223),"",VLOOKUP(N223,[15]Parámetros!$G$2:$H$23,2,FALSE))</f>
        <v>Licitación pública</v>
      </c>
      <c r="P223" s="142">
        <f t="shared" si="43"/>
        <v>1</v>
      </c>
      <c r="Q223" s="143">
        <f t="shared" si="46"/>
        <v>3539551515</v>
      </c>
      <c r="R223" s="143">
        <f t="shared" si="47"/>
        <v>3539551515</v>
      </c>
      <c r="S223" s="144" t="s">
        <v>222</v>
      </c>
      <c r="T223" s="140">
        <f t="shared" si="44"/>
        <v>0</v>
      </c>
      <c r="U223" s="145" t="str">
        <f t="shared" si="48"/>
        <v>SUBDIRECCION DE GESTION CONTRACTUAL</v>
      </c>
      <c r="V223" s="132" t="str">
        <f t="shared" si="40"/>
        <v>CO-DC</v>
      </c>
      <c r="W223" s="145" t="str">
        <f t="shared" si="41"/>
        <v>Distrito Capital de Bogotá</v>
      </c>
      <c r="X223" s="146" t="s">
        <v>628</v>
      </c>
      <c r="Y223" s="132">
        <v>2427400</v>
      </c>
      <c r="Z223" s="148" t="s">
        <v>87</v>
      </c>
    </row>
    <row r="224" spans="1:26" s="7" customFormat="1" ht="12.75" customHeight="1" x14ac:dyDescent="0.2">
      <c r="A224" s="131" t="s">
        <v>84</v>
      </c>
      <c r="B224" s="132">
        <f t="shared" si="42"/>
        <v>59</v>
      </c>
      <c r="C224" s="133" t="s">
        <v>85</v>
      </c>
      <c r="D224" s="133" t="s">
        <v>86</v>
      </c>
      <c r="E224" s="134"/>
      <c r="F224" s="134">
        <v>300000000</v>
      </c>
      <c r="G224" s="134"/>
      <c r="H224" s="135" t="s">
        <v>230</v>
      </c>
      <c r="I224" s="136" t="s">
        <v>897</v>
      </c>
      <c r="J224" s="137">
        <v>2</v>
      </c>
      <c r="K224" s="138">
        <v>3</v>
      </c>
      <c r="L224" s="139">
        <v>4</v>
      </c>
      <c r="M224" s="132">
        <f t="shared" si="45"/>
        <v>1</v>
      </c>
      <c r="N224" s="140" t="s">
        <v>43</v>
      </c>
      <c r="O224" s="141" t="str">
        <f>IF(ISBLANK(N224),"",VLOOKUP(N224,[15]Parámetros!$G$2:$H$23,2,FALSE))</f>
        <v>Selección abreviada subasta inversa</v>
      </c>
      <c r="P224" s="142">
        <f t="shared" si="43"/>
        <v>1</v>
      </c>
      <c r="Q224" s="143">
        <f t="shared" si="46"/>
        <v>300000000</v>
      </c>
      <c r="R224" s="143">
        <f t="shared" si="47"/>
        <v>300000000</v>
      </c>
      <c r="S224" s="144" t="s">
        <v>222</v>
      </c>
      <c r="T224" s="140">
        <f t="shared" si="44"/>
        <v>0</v>
      </c>
      <c r="U224" s="145" t="str">
        <f t="shared" si="48"/>
        <v>SUBDIRECCION DE GESTION CONTRACTUAL</v>
      </c>
      <c r="V224" s="132" t="str">
        <f t="shared" si="40"/>
        <v>CO-DC</v>
      </c>
      <c r="W224" s="145" t="str">
        <f t="shared" si="41"/>
        <v>Distrito Capital de Bogotá</v>
      </c>
      <c r="X224" s="146" t="s">
        <v>307</v>
      </c>
      <c r="Y224" s="132">
        <v>2427400</v>
      </c>
      <c r="Z224" s="148" t="s">
        <v>94</v>
      </c>
    </row>
    <row r="225" spans="1:26" s="7" customFormat="1" ht="12.75" customHeight="1" x14ac:dyDescent="0.2">
      <c r="A225" s="131" t="s">
        <v>84</v>
      </c>
      <c r="B225" s="132">
        <f t="shared" si="42"/>
        <v>60</v>
      </c>
      <c r="C225" s="133" t="s">
        <v>91</v>
      </c>
      <c r="D225" s="133" t="s">
        <v>89</v>
      </c>
      <c r="E225" s="134"/>
      <c r="F225" s="134">
        <f>325175000-325175000</f>
        <v>0</v>
      </c>
      <c r="G225" s="134"/>
      <c r="H225" s="135" t="s">
        <v>752</v>
      </c>
      <c r="I225" s="136" t="s">
        <v>887</v>
      </c>
      <c r="J225" s="150">
        <v>1</v>
      </c>
      <c r="K225" s="150">
        <v>2</v>
      </c>
      <c r="L225" s="150">
        <v>3</v>
      </c>
      <c r="M225" s="132">
        <f t="shared" si="45"/>
        <v>1</v>
      </c>
      <c r="N225" s="140" t="s">
        <v>36</v>
      </c>
      <c r="O225" s="141" t="str">
        <f>IF(ISBLANK(N225),"",VLOOKUP(N225,[15]Parámetros!$G$2:$H$23,2,FALSE))</f>
        <v xml:space="preserve">Contratación directa (con ofertas) </v>
      </c>
      <c r="P225" s="142">
        <f t="shared" si="43"/>
        <v>1</v>
      </c>
      <c r="Q225" s="143">
        <f t="shared" si="46"/>
        <v>0</v>
      </c>
      <c r="R225" s="143">
        <f t="shared" si="47"/>
        <v>0</v>
      </c>
      <c r="S225" s="144" t="s">
        <v>222</v>
      </c>
      <c r="T225" s="140">
        <f t="shared" si="44"/>
        <v>0</v>
      </c>
      <c r="U225" s="145" t="str">
        <f t="shared" si="48"/>
        <v>SUBDIRECCION DE GESTION CONTRACTUAL</v>
      </c>
      <c r="V225" s="132" t="str">
        <f t="shared" si="40"/>
        <v>CO-DC</v>
      </c>
      <c r="W225" s="145" t="str">
        <f t="shared" si="41"/>
        <v>Distrito Capital de Bogotá</v>
      </c>
      <c r="X225" s="146" t="s">
        <v>628</v>
      </c>
      <c r="Y225" s="132">
        <v>2427400</v>
      </c>
      <c r="Z225" s="148" t="s">
        <v>87</v>
      </c>
    </row>
    <row r="226" spans="1:26" s="7" customFormat="1" ht="12.75" customHeight="1" x14ac:dyDescent="0.2">
      <c r="A226" s="131" t="s">
        <v>84</v>
      </c>
      <c r="B226" s="132">
        <f t="shared" si="42"/>
        <v>61</v>
      </c>
      <c r="C226" s="133" t="s">
        <v>329</v>
      </c>
      <c r="D226" s="133" t="s">
        <v>89</v>
      </c>
      <c r="E226" s="134"/>
      <c r="F226" s="134">
        <f>96000000-96000000</f>
        <v>0</v>
      </c>
      <c r="G226" s="134"/>
      <c r="H226" s="135" t="s">
        <v>752</v>
      </c>
      <c r="I226" s="136" t="s">
        <v>887</v>
      </c>
      <c r="J226" s="150">
        <v>1</v>
      </c>
      <c r="K226" s="150">
        <v>2</v>
      </c>
      <c r="L226" s="150">
        <v>3</v>
      </c>
      <c r="M226" s="132">
        <f t="shared" si="45"/>
        <v>1</v>
      </c>
      <c r="N226" s="140" t="s">
        <v>36</v>
      </c>
      <c r="O226" s="141" t="str">
        <f>IF(ISBLANK(N226),"",VLOOKUP(N226,[15]Parámetros!$G$2:$H$23,2,FALSE))</f>
        <v xml:space="preserve">Contratación directa (con ofertas) </v>
      </c>
      <c r="P226" s="142">
        <f t="shared" si="43"/>
        <v>1</v>
      </c>
      <c r="Q226" s="143">
        <f t="shared" si="46"/>
        <v>0</v>
      </c>
      <c r="R226" s="143">
        <f t="shared" si="47"/>
        <v>0</v>
      </c>
      <c r="S226" s="144" t="s">
        <v>222</v>
      </c>
      <c r="T226" s="140">
        <f t="shared" si="44"/>
        <v>0</v>
      </c>
      <c r="U226" s="145" t="str">
        <f t="shared" si="48"/>
        <v>SUBDIRECCION DE GESTION CONTRACTUAL</v>
      </c>
      <c r="V226" s="132" t="str">
        <f t="shared" si="40"/>
        <v>CO-DC</v>
      </c>
      <c r="W226" s="145" t="str">
        <f t="shared" si="41"/>
        <v>Distrito Capital de Bogotá</v>
      </c>
      <c r="X226" s="146" t="s">
        <v>628</v>
      </c>
      <c r="Y226" s="132">
        <v>2427400</v>
      </c>
      <c r="Z226" s="148" t="s">
        <v>87</v>
      </c>
    </row>
    <row r="227" spans="1:26" s="7" customFormat="1" ht="12.75" customHeight="1" x14ac:dyDescent="0.2">
      <c r="A227" s="131" t="s">
        <v>84</v>
      </c>
      <c r="B227" s="132">
        <f t="shared" si="42"/>
        <v>62</v>
      </c>
      <c r="C227" s="133" t="s">
        <v>330</v>
      </c>
      <c r="D227" s="133" t="s">
        <v>89</v>
      </c>
      <c r="E227" s="134"/>
      <c r="F227" s="134">
        <f>942450000-865200000-77250000</f>
        <v>0</v>
      </c>
      <c r="G227" s="134"/>
      <c r="H227" s="135" t="s">
        <v>752</v>
      </c>
      <c r="I227" s="136" t="s">
        <v>887</v>
      </c>
      <c r="J227" s="150">
        <v>1</v>
      </c>
      <c r="K227" s="150">
        <v>2</v>
      </c>
      <c r="L227" s="150">
        <v>3</v>
      </c>
      <c r="M227" s="132">
        <f t="shared" si="45"/>
        <v>1</v>
      </c>
      <c r="N227" s="140" t="s">
        <v>36</v>
      </c>
      <c r="O227" s="141" t="str">
        <f>IF(ISBLANK(N227),"",VLOOKUP(N227,[15]Parámetros!$G$2:$H$23,2,FALSE))</f>
        <v xml:space="preserve">Contratación directa (con ofertas) </v>
      </c>
      <c r="P227" s="142">
        <f t="shared" si="43"/>
        <v>1</v>
      </c>
      <c r="Q227" s="143">
        <f t="shared" si="46"/>
        <v>0</v>
      </c>
      <c r="R227" s="143">
        <f t="shared" si="47"/>
        <v>0</v>
      </c>
      <c r="S227" s="144" t="s">
        <v>222</v>
      </c>
      <c r="T227" s="140">
        <f t="shared" si="44"/>
        <v>0</v>
      </c>
      <c r="U227" s="145" t="str">
        <f t="shared" si="48"/>
        <v>SUBDIRECCION DE GESTION CONTRACTUAL</v>
      </c>
      <c r="V227" s="132" t="str">
        <f t="shared" si="40"/>
        <v>CO-DC</v>
      </c>
      <c r="W227" s="145" t="str">
        <f t="shared" si="41"/>
        <v>Distrito Capital de Bogotá</v>
      </c>
      <c r="X227" s="146" t="s">
        <v>628</v>
      </c>
      <c r="Y227" s="132">
        <v>2427400</v>
      </c>
      <c r="Z227" s="148" t="s">
        <v>87</v>
      </c>
    </row>
    <row r="228" spans="1:26" s="7" customFormat="1" ht="12.75" customHeight="1" x14ac:dyDescent="0.2">
      <c r="A228" s="131" t="s">
        <v>84</v>
      </c>
      <c r="B228" s="132">
        <f t="shared" si="42"/>
        <v>63</v>
      </c>
      <c r="C228" s="133" t="s">
        <v>333</v>
      </c>
      <c r="D228" s="133" t="s">
        <v>334</v>
      </c>
      <c r="E228" s="134"/>
      <c r="F228" s="134">
        <f>198202843-198202843</f>
        <v>0</v>
      </c>
      <c r="G228" s="134"/>
      <c r="H228" s="135" t="s">
        <v>752</v>
      </c>
      <c r="I228" s="136" t="s">
        <v>887</v>
      </c>
      <c r="J228" s="150">
        <v>1</v>
      </c>
      <c r="K228" s="150">
        <v>2</v>
      </c>
      <c r="L228" s="150">
        <v>3</v>
      </c>
      <c r="M228" s="132">
        <f t="shared" si="45"/>
        <v>1</v>
      </c>
      <c r="N228" s="140" t="s">
        <v>36</v>
      </c>
      <c r="O228" s="141" t="str">
        <f>IF(ISBLANK(N228),"",VLOOKUP(N228,[15]Parámetros!$G$2:$H$23,2,FALSE))</f>
        <v xml:space="preserve">Contratación directa (con ofertas) </v>
      </c>
      <c r="P228" s="142">
        <f t="shared" si="43"/>
        <v>1</v>
      </c>
      <c r="Q228" s="143">
        <f t="shared" si="46"/>
        <v>0</v>
      </c>
      <c r="R228" s="143">
        <f t="shared" si="47"/>
        <v>0</v>
      </c>
      <c r="S228" s="144" t="s">
        <v>222</v>
      </c>
      <c r="T228" s="140">
        <f t="shared" si="44"/>
        <v>0</v>
      </c>
      <c r="U228" s="145" t="str">
        <f t="shared" si="48"/>
        <v>SUBDIRECCION DE GESTION CONTRACTUAL</v>
      </c>
      <c r="V228" s="132" t="str">
        <f t="shared" si="40"/>
        <v>CO-DC</v>
      </c>
      <c r="W228" s="145" t="str">
        <f t="shared" si="41"/>
        <v>Distrito Capital de Bogotá</v>
      </c>
      <c r="X228" s="146" t="s">
        <v>628</v>
      </c>
      <c r="Y228" s="132">
        <v>2427400</v>
      </c>
      <c r="Z228" s="148" t="s">
        <v>87</v>
      </c>
    </row>
    <row r="229" spans="1:26" s="7" customFormat="1" ht="12.75" customHeight="1" x14ac:dyDescent="0.2">
      <c r="A229" s="131" t="s">
        <v>84</v>
      </c>
      <c r="B229" s="132">
        <f t="shared" si="42"/>
        <v>64</v>
      </c>
      <c r="C229" s="133" t="s">
        <v>335</v>
      </c>
      <c r="D229" s="133" t="s">
        <v>336</v>
      </c>
      <c r="E229" s="134"/>
      <c r="F229" s="134">
        <f>80000000-80000000</f>
        <v>0</v>
      </c>
      <c r="G229" s="134"/>
      <c r="H229" s="135" t="s">
        <v>752</v>
      </c>
      <c r="I229" s="136" t="s">
        <v>887</v>
      </c>
      <c r="J229" s="150">
        <v>1</v>
      </c>
      <c r="K229" s="150">
        <v>2</v>
      </c>
      <c r="L229" s="150">
        <v>3</v>
      </c>
      <c r="M229" s="132">
        <f t="shared" si="45"/>
        <v>1</v>
      </c>
      <c r="N229" s="140" t="s">
        <v>36</v>
      </c>
      <c r="O229" s="141" t="str">
        <f>IF(ISBLANK(N229),"",VLOOKUP(N229,[15]Parámetros!$G$2:$H$23,2,FALSE))</f>
        <v xml:space="preserve">Contratación directa (con ofertas) </v>
      </c>
      <c r="P229" s="142">
        <f t="shared" si="43"/>
        <v>1</v>
      </c>
      <c r="Q229" s="143">
        <f t="shared" si="46"/>
        <v>0</v>
      </c>
      <c r="R229" s="143">
        <f t="shared" si="47"/>
        <v>0</v>
      </c>
      <c r="S229" s="144" t="s">
        <v>222</v>
      </c>
      <c r="T229" s="140">
        <f t="shared" si="44"/>
        <v>0</v>
      </c>
      <c r="U229" s="145" t="str">
        <f t="shared" si="48"/>
        <v>SUBDIRECCION DE GESTION CONTRACTUAL</v>
      </c>
      <c r="V229" s="132" t="str">
        <f t="shared" si="40"/>
        <v>CO-DC</v>
      </c>
      <c r="W229" s="145" t="str">
        <f t="shared" si="41"/>
        <v>Distrito Capital de Bogotá</v>
      </c>
      <c r="X229" s="146" t="s">
        <v>628</v>
      </c>
      <c r="Y229" s="132">
        <v>2427400</v>
      </c>
      <c r="Z229" s="148" t="s">
        <v>87</v>
      </c>
    </row>
    <row r="230" spans="1:26" s="7" customFormat="1" ht="12.75" customHeight="1" x14ac:dyDescent="0.2">
      <c r="A230" s="131" t="s">
        <v>84</v>
      </c>
      <c r="B230" s="132">
        <f t="shared" si="42"/>
        <v>65</v>
      </c>
      <c r="C230" s="133" t="s">
        <v>337</v>
      </c>
      <c r="D230" s="133" t="s">
        <v>338</v>
      </c>
      <c r="E230" s="134"/>
      <c r="F230" s="134">
        <f>200000000-200000000</f>
        <v>0</v>
      </c>
      <c r="G230" s="134"/>
      <c r="H230" s="135" t="s">
        <v>752</v>
      </c>
      <c r="I230" s="136" t="s">
        <v>887</v>
      </c>
      <c r="J230" s="150">
        <v>1</v>
      </c>
      <c r="K230" s="150">
        <v>2</v>
      </c>
      <c r="L230" s="150">
        <v>3</v>
      </c>
      <c r="M230" s="132">
        <f t="shared" si="45"/>
        <v>1</v>
      </c>
      <c r="N230" s="140" t="s">
        <v>36</v>
      </c>
      <c r="O230" s="141" t="str">
        <f>IF(ISBLANK(N230),"",VLOOKUP(N230,[15]Parámetros!$G$2:$H$23,2,FALSE))</f>
        <v xml:space="preserve">Contratación directa (con ofertas) </v>
      </c>
      <c r="P230" s="142">
        <f t="shared" si="43"/>
        <v>1</v>
      </c>
      <c r="Q230" s="143">
        <f t="shared" si="46"/>
        <v>0</v>
      </c>
      <c r="R230" s="143">
        <f t="shared" si="47"/>
        <v>0</v>
      </c>
      <c r="S230" s="144" t="s">
        <v>222</v>
      </c>
      <c r="T230" s="140">
        <f t="shared" si="44"/>
        <v>0</v>
      </c>
      <c r="U230" s="145" t="str">
        <f t="shared" si="48"/>
        <v>SUBDIRECCION DE GESTION CONTRACTUAL</v>
      </c>
      <c r="V230" s="132" t="str">
        <f t="shared" si="40"/>
        <v>CO-DC</v>
      </c>
      <c r="W230" s="145" t="str">
        <f t="shared" si="41"/>
        <v>Distrito Capital de Bogotá</v>
      </c>
      <c r="X230" s="146" t="s">
        <v>628</v>
      </c>
      <c r="Y230" s="132">
        <v>2427400</v>
      </c>
      <c r="Z230" s="148" t="s">
        <v>87</v>
      </c>
    </row>
    <row r="231" spans="1:26" s="7" customFormat="1" ht="12.75" customHeight="1" x14ac:dyDescent="0.2">
      <c r="A231" s="131" t="s">
        <v>84</v>
      </c>
      <c r="B231" s="132">
        <f t="shared" si="42"/>
        <v>66</v>
      </c>
      <c r="C231" s="133" t="s">
        <v>339</v>
      </c>
      <c r="D231" s="133" t="s">
        <v>338</v>
      </c>
      <c r="E231" s="134"/>
      <c r="F231" s="134">
        <f>70000000-70000000</f>
        <v>0</v>
      </c>
      <c r="G231" s="134"/>
      <c r="H231" s="135" t="s">
        <v>752</v>
      </c>
      <c r="I231" s="136" t="s">
        <v>887</v>
      </c>
      <c r="J231" s="150">
        <v>1</v>
      </c>
      <c r="K231" s="150">
        <v>2</v>
      </c>
      <c r="L231" s="150">
        <v>3</v>
      </c>
      <c r="M231" s="132">
        <f t="shared" si="45"/>
        <v>1</v>
      </c>
      <c r="N231" s="140" t="s">
        <v>36</v>
      </c>
      <c r="O231" s="141" t="str">
        <f>IF(ISBLANK(N231),"",VLOOKUP(N231,[15]Parámetros!$G$2:$H$23,2,FALSE))</f>
        <v xml:space="preserve">Contratación directa (con ofertas) </v>
      </c>
      <c r="P231" s="142">
        <f t="shared" si="43"/>
        <v>1</v>
      </c>
      <c r="Q231" s="143">
        <f t="shared" si="46"/>
        <v>0</v>
      </c>
      <c r="R231" s="143">
        <f t="shared" si="47"/>
        <v>0</v>
      </c>
      <c r="S231" s="144" t="s">
        <v>222</v>
      </c>
      <c r="T231" s="140">
        <f t="shared" si="44"/>
        <v>0</v>
      </c>
      <c r="U231" s="145" t="str">
        <f t="shared" si="48"/>
        <v>SUBDIRECCION DE GESTION CONTRACTUAL</v>
      </c>
      <c r="V231" s="132" t="str">
        <f t="shared" si="40"/>
        <v>CO-DC</v>
      </c>
      <c r="W231" s="145" t="str">
        <f t="shared" si="41"/>
        <v>Distrito Capital de Bogotá</v>
      </c>
      <c r="X231" s="146" t="s">
        <v>628</v>
      </c>
      <c r="Y231" s="132">
        <v>2427400</v>
      </c>
      <c r="Z231" s="148" t="s">
        <v>87</v>
      </c>
    </row>
    <row r="232" spans="1:26" s="7" customFormat="1" ht="12.75" customHeight="1" x14ac:dyDescent="0.2">
      <c r="A232" s="131" t="s">
        <v>84</v>
      </c>
      <c r="B232" s="132">
        <f t="shared" si="42"/>
        <v>67</v>
      </c>
      <c r="C232" s="133" t="s">
        <v>340</v>
      </c>
      <c r="D232" s="133" t="s">
        <v>341</v>
      </c>
      <c r="E232" s="134"/>
      <c r="F232" s="134">
        <v>0</v>
      </c>
      <c r="G232" s="134"/>
      <c r="H232" s="135" t="s">
        <v>752</v>
      </c>
      <c r="I232" s="136" t="s">
        <v>887</v>
      </c>
      <c r="J232" s="150">
        <v>1</v>
      </c>
      <c r="K232" s="150">
        <v>2</v>
      </c>
      <c r="L232" s="150">
        <v>3</v>
      </c>
      <c r="M232" s="132">
        <f t="shared" si="45"/>
        <v>1</v>
      </c>
      <c r="N232" s="140" t="s">
        <v>36</v>
      </c>
      <c r="O232" s="141" t="str">
        <f>IF(ISBLANK(N232),"",VLOOKUP(N232,[15]Parámetros!$G$2:$H$23,2,FALSE))</f>
        <v xml:space="preserve">Contratación directa (con ofertas) </v>
      </c>
      <c r="P232" s="142">
        <f t="shared" si="43"/>
        <v>1</v>
      </c>
      <c r="Q232" s="143">
        <f t="shared" si="46"/>
        <v>0</v>
      </c>
      <c r="R232" s="143">
        <f t="shared" si="47"/>
        <v>0</v>
      </c>
      <c r="S232" s="144" t="s">
        <v>222</v>
      </c>
      <c r="T232" s="140">
        <f t="shared" si="44"/>
        <v>0</v>
      </c>
      <c r="U232" s="145" t="str">
        <f t="shared" si="48"/>
        <v>SUBDIRECCION DE GESTION CONTRACTUAL</v>
      </c>
      <c r="V232" s="132" t="str">
        <f t="shared" si="40"/>
        <v>CO-DC</v>
      </c>
      <c r="W232" s="145" t="str">
        <f t="shared" si="41"/>
        <v>Distrito Capital de Bogotá</v>
      </c>
      <c r="X232" s="146" t="s">
        <v>628</v>
      </c>
      <c r="Y232" s="132">
        <v>2427400</v>
      </c>
      <c r="Z232" s="148" t="s">
        <v>87</v>
      </c>
    </row>
    <row r="233" spans="1:26" s="7" customFormat="1" ht="12.75" customHeight="1" x14ac:dyDescent="0.2">
      <c r="A233" s="131" t="s">
        <v>84</v>
      </c>
      <c r="B233" s="132">
        <f t="shared" si="42"/>
        <v>68</v>
      </c>
      <c r="C233" s="133" t="s">
        <v>342</v>
      </c>
      <c r="D233" s="133" t="s">
        <v>88</v>
      </c>
      <c r="E233" s="134"/>
      <c r="F233" s="134">
        <f>380000-380000</f>
        <v>0</v>
      </c>
      <c r="G233" s="134"/>
      <c r="H233" s="135" t="s">
        <v>752</v>
      </c>
      <c r="I233" s="136" t="s">
        <v>887</v>
      </c>
      <c r="J233" s="150">
        <v>1</v>
      </c>
      <c r="K233" s="150">
        <v>2</v>
      </c>
      <c r="L233" s="150">
        <v>3</v>
      </c>
      <c r="M233" s="132">
        <f t="shared" si="45"/>
        <v>1</v>
      </c>
      <c r="N233" s="140" t="s">
        <v>36</v>
      </c>
      <c r="O233" s="141" t="str">
        <f>IF(ISBLANK(N233),"",VLOOKUP(N233,[15]Parámetros!$G$2:$H$23,2,FALSE))</f>
        <v xml:space="preserve">Contratación directa (con ofertas) </v>
      </c>
      <c r="P233" s="142">
        <f t="shared" si="43"/>
        <v>1</v>
      </c>
      <c r="Q233" s="143">
        <f t="shared" si="46"/>
        <v>0</v>
      </c>
      <c r="R233" s="143">
        <f t="shared" si="47"/>
        <v>0</v>
      </c>
      <c r="S233" s="144" t="s">
        <v>222</v>
      </c>
      <c r="T233" s="140">
        <f t="shared" si="44"/>
        <v>0</v>
      </c>
      <c r="U233" s="145" t="str">
        <f t="shared" si="48"/>
        <v>SUBDIRECCION DE GESTION CONTRACTUAL</v>
      </c>
      <c r="V233" s="132" t="str">
        <f t="shared" si="40"/>
        <v>CO-DC</v>
      </c>
      <c r="W233" s="145" t="str">
        <f t="shared" si="41"/>
        <v>Distrito Capital de Bogotá</v>
      </c>
      <c r="X233" s="146" t="s">
        <v>628</v>
      </c>
      <c r="Y233" s="132">
        <v>2427400</v>
      </c>
      <c r="Z233" s="148" t="s">
        <v>87</v>
      </c>
    </row>
    <row r="234" spans="1:26" s="7" customFormat="1" ht="12.75" customHeight="1" x14ac:dyDescent="0.2">
      <c r="A234" s="131" t="s">
        <v>84</v>
      </c>
      <c r="B234" s="132">
        <f t="shared" si="42"/>
        <v>69</v>
      </c>
      <c r="C234" s="133" t="s">
        <v>343</v>
      </c>
      <c r="D234" s="133" t="s">
        <v>88</v>
      </c>
      <c r="E234" s="134"/>
      <c r="F234" s="134">
        <f>60000000-60000000</f>
        <v>0</v>
      </c>
      <c r="G234" s="134"/>
      <c r="H234" s="135" t="s">
        <v>752</v>
      </c>
      <c r="I234" s="136" t="s">
        <v>887</v>
      </c>
      <c r="J234" s="150">
        <v>1</v>
      </c>
      <c r="K234" s="150">
        <v>2</v>
      </c>
      <c r="L234" s="150">
        <v>3</v>
      </c>
      <c r="M234" s="132">
        <f t="shared" si="45"/>
        <v>1</v>
      </c>
      <c r="N234" s="140" t="s">
        <v>36</v>
      </c>
      <c r="O234" s="141" t="str">
        <f>IF(ISBLANK(N234),"",VLOOKUP(N234,[15]Parámetros!$G$2:$H$23,2,FALSE))</f>
        <v xml:space="preserve">Contratación directa (con ofertas) </v>
      </c>
      <c r="P234" s="142">
        <f t="shared" si="43"/>
        <v>1</v>
      </c>
      <c r="Q234" s="143">
        <f t="shared" si="46"/>
        <v>0</v>
      </c>
      <c r="R234" s="143">
        <f t="shared" si="47"/>
        <v>0</v>
      </c>
      <c r="S234" s="144" t="s">
        <v>222</v>
      </c>
      <c r="T234" s="140">
        <f t="shared" si="44"/>
        <v>0</v>
      </c>
      <c r="U234" s="145" t="str">
        <f t="shared" si="48"/>
        <v>SUBDIRECCION DE GESTION CONTRACTUAL</v>
      </c>
      <c r="V234" s="132" t="str">
        <f t="shared" si="40"/>
        <v>CO-DC</v>
      </c>
      <c r="W234" s="145" t="str">
        <f t="shared" si="41"/>
        <v>Distrito Capital de Bogotá</v>
      </c>
      <c r="X234" s="146" t="s">
        <v>628</v>
      </c>
      <c r="Y234" s="132">
        <v>2427400</v>
      </c>
      <c r="Z234" s="148" t="s">
        <v>87</v>
      </c>
    </row>
    <row r="235" spans="1:26" s="7" customFormat="1" ht="12.75" customHeight="1" x14ac:dyDescent="0.2">
      <c r="A235" s="131" t="s">
        <v>84</v>
      </c>
      <c r="B235" s="132">
        <f t="shared" si="42"/>
        <v>70</v>
      </c>
      <c r="C235" s="133" t="s">
        <v>344</v>
      </c>
      <c r="D235" s="133" t="s">
        <v>345</v>
      </c>
      <c r="E235" s="134"/>
      <c r="F235" s="134">
        <f>163647055-163647055</f>
        <v>0</v>
      </c>
      <c r="G235" s="134"/>
      <c r="H235" s="135" t="s">
        <v>752</v>
      </c>
      <c r="I235" s="136" t="s">
        <v>887</v>
      </c>
      <c r="J235" s="150">
        <v>1</v>
      </c>
      <c r="K235" s="150">
        <v>2</v>
      </c>
      <c r="L235" s="150">
        <v>3</v>
      </c>
      <c r="M235" s="132">
        <f t="shared" si="45"/>
        <v>1</v>
      </c>
      <c r="N235" s="140" t="s">
        <v>36</v>
      </c>
      <c r="O235" s="141" t="str">
        <f>IF(ISBLANK(N235),"",VLOOKUP(N235,[15]Parámetros!$G$2:$H$23,2,FALSE))</f>
        <v xml:space="preserve">Contratación directa (con ofertas) </v>
      </c>
      <c r="P235" s="142">
        <f t="shared" si="43"/>
        <v>1</v>
      </c>
      <c r="Q235" s="143">
        <f t="shared" si="46"/>
        <v>0</v>
      </c>
      <c r="R235" s="143">
        <f t="shared" si="47"/>
        <v>0</v>
      </c>
      <c r="S235" s="144" t="s">
        <v>222</v>
      </c>
      <c r="T235" s="140">
        <f t="shared" si="44"/>
        <v>0</v>
      </c>
      <c r="U235" s="145" t="str">
        <f t="shared" si="48"/>
        <v>SUBDIRECCION DE GESTION CONTRACTUAL</v>
      </c>
      <c r="V235" s="132" t="str">
        <f t="shared" si="40"/>
        <v>CO-DC</v>
      </c>
      <c r="W235" s="145" t="str">
        <f t="shared" si="41"/>
        <v>Distrito Capital de Bogotá</v>
      </c>
      <c r="X235" s="146" t="s">
        <v>628</v>
      </c>
      <c r="Y235" s="132">
        <v>2427400</v>
      </c>
      <c r="Z235" s="148" t="s">
        <v>87</v>
      </c>
    </row>
    <row r="236" spans="1:26" s="7" customFormat="1" ht="12.75" customHeight="1" x14ac:dyDescent="0.2">
      <c r="A236" s="131" t="s">
        <v>84</v>
      </c>
      <c r="B236" s="132">
        <v>71</v>
      </c>
      <c r="C236" s="133" t="s">
        <v>344</v>
      </c>
      <c r="D236" s="133" t="s">
        <v>345</v>
      </c>
      <c r="E236" s="134"/>
      <c r="F236" s="134">
        <v>653284447</v>
      </c>
      <c r="G236" s="134"/>
      <c r="H236" s="264" t="s">
        <v>842</v>
      </c>
      <c r="I236" s="180" t="s">
        <v>891</v>
      </c>
      <c r="J236" s="150">
        <v>3</v>
      </c>
      <c r="K236" s="150">
        <v>4</v>
      </c>
      <c r="L236" s="150">
        <v>9</v>
      </c>
      <c r="M236" s="132">
        <f t="shared" si="45"/>
        <v>1</v>
      </c>
      <c r="N236" s="140" t="s">
        <v>36</v>
      </c>
      <c r="O236" s="141" t="str">
        <f>IF(ISBLANK(N236),"",VLOOKUP(N236,[16]Parámetros!$G$2:$H$23,2,FALSE))</f>
        <v xml:space="preserve">Contratación directa (con ofertas) </v>
      </c>
      <c r="P236" s="142">
        <f t="shared" si="43"/>
        <v>1</v>
      </c>
      <c r="Q236" s="143">
        <f t="shared" ref="Q236:Q237" si="49">IF(VALUE(E236+F236+G236)=0,"",E236+F236+G236)</f>
        <v>653284447</v>
      </c>
      <c r="R236" s="143">
        <f t="shared" ref="R236:R237" si="50">IF(VALUE(F236)=0,"",F236)</f>
        <v>653284447</v>
      </c>
      <c r="S236" s="144" t="s">
        <v>222</v>
      </c>
      <c r="T236" s="140">
        <f t="shared" si="44"/>
        <v>0</v>
      </c>
      <c r="U236" s="145" t="str">
        <f t="shared" si="48"/>
        <v>SUBDIRECCION DE GESTION CONTRACTUAL</v>
      </c>
      <c r="V236" s="132" t="str">
        <f t="shared" si="40"/>
        <v>CO-DC</v>
      </c>
      <c r="W236" s="145" t="str">
        <f t="shared" si="41"/>
        <v>Distrito Capital de Bogotá</v>
      </c>
      <c r="X236" s="146" t="s">
        <v>628</v>
      </c>
      <c r="Y236" s="132">
        <v>2427400</v>
      </c>
      <c r="Z236" s="148" t="s">
        <v>87</v>
      </c>
    </row>
    <row r="237" spans="1:26" s="7" customFormat="1" ht="12.75" customHeight="1" x14ac:dyDescent="0.2">
      <c r="A237" s="131" t="s">
        <v>84</v>
      </c>
      <c r="B237" s="132">
        <v>72</v>
      </c>
      <c r="C237" s="133" t="s">
        <v>344</v>
      </c>
      <c r="D237" s="133" t="s">
        <v>345</v>
      </c>
      <c r="E237" s="134"/>
      <c r="F237" s="134">
        <v>29000000</v>
      </c>
      <c r="G237" s="134"/>
      <c r="H237" s="264" t="s">
        <v>843</v>
      </c>
      <c r="I237" s="180" t="s">
        <v>890</v>
      </c>
      <c r="J237" s="150">
        <v>3</v>
      </c>
      <c r="K237" s="150">
        <v>4</v>
      </c>
      <c r="L237" s="150">
        <v>9</v>
      </c>
      <c r="M237" s="132">
        <f t="shared" si="45"/>
        <v>1</v>
      </c>
      <c r="N237" s="140" t="s">
        <v>36</v>
      </c>
      <c r="O237" s="141" t="str">
        <f>IF(ISBLANK(N237),"",VLOOKUP(N237,[16]Parámetros!$G$2:$H$23,2,FALSE))</f>
        <v xml:space="preserve">Contratación directa (con ofertas) </v>
      </c>
      <c r="P237" s="142">
        <f t="shared" si="43"/>
        <v>1</v>
      </c>
      <c r="Q237" s="143">
        <f t="shared" si="49"/>
        <v>29000000</v>
      </c>
      <c r="R237" s="143">
        <f t="shared" si="50"/>
        <v>29000000</v>
      </c>
      <c r="S237" s="144" t="s">
        <v>222</v>
      </c>
      <c r="T237" s="140">
        <f t="shared" si="44"/>
        <v>0</v>
      </c>
      <c r="U237" s="145" t="str">
        <f t="shared" si="48"/>
        <v>SUBDIRECCION DE GESTION CONTRACTUAL</v>
      </c>
      <c r="V237" s="132" t="str">
        <f t="shared" si="40"/>
        <v>CO-DC</v>
      </c>
      <c r="W237" s="145" t="str">
        <f t="shared" si="41"/>
        <v>Distrito Capital de Bogotá</v>
      </c>
      <c r="X237" s="146" t="s">
        <v>628</v>
      </c>
      <c r="Y237" s="132">
        <v>2427400</v>
      </c>
      <c r="Z237" s="148" t="s">
        <v>87</v>
      </c>
    </row>
    <row r="238" spans="1:26" s="7" customFormat="1" ht="12.75" customHeight="1" x14ac:dyDescent="0.2">
      <c r="A238" s="188" t="s">
        <v>99</v>
      </c>
      <c r="B238" s="189">
        <v>1</v>
      </c>
      <c r="C238" s="190" t="s">
        <v>346</v>
      </c>
      <c r="D238" s="190" t="s">
        <v>100</v>
      </c>
      <c r="E238" s="191"/>
      <c r="F238" s="191">
        <v>494415925</v>
      </c>
      <c r="G238" s="191"/>
      <c r="H238" s="192">
        <v>80111600</v>
      </c>
      <c r="I238" s="193" t="s">
        <v>347</v>
      </c>
      <c r="J238" s="194">
        <v>1</v>
      </c>
      <c r="K238" s="194">
        <v>1</v>
      </c>
      <c r="L238" s="194">
        <v>12</v>
      </c>
      <c r="M238" s="195">
        <f t="shared" si="45"/>
        <v>1</v>
      </c>
      <c r="N238" s="196" t="s">
        <v>216</v>
      </c>
      <c r="O238" s="141" t="str">
        <f>IF(ISBLANK(N238),"",VLOOKUP(N238,[17]Parámetros!$G$2:$H$23,2,FALSE))</f>
        <v>Contratación directa.</v>
      </c>
      <c r="P238" s="197">
        <f t="shared" si="43"/>
        <v>1</v>
      </c>
      <c r="Q238" s="143">
        <f t="shared" si="46"/>
        <v>494415925</v>
      </c>
      <c r="R238" s="143">
        <f t="shared" si="47"/>
        <v>494415925</v>
      </c>
      <c r="S238" s="198" t="s">
        <v>222</v>
      </c>
      <c r="T238" s="199">
        <f t="shared" si="44"/>
        <v>0</v>
      </c>
      <c r="U238" s="145" t="str">
        <f t="shared" si="48"/>
        <v>SUBDIRECCION DE GESTION CONTRACTUAL</v>
      </c>
      <c r="V238" s="189" t="str">
        <f t="shared" si="40"/>
        <v>CO-DC</v>
      </c>
      <c r="W238" s="200" t="str">
        <f t="shared" si="41"/>
        <v>Distrito Capital de Bogotá</v>
      </c>
      <c r="X238" s="201" t="s">
        <v>106</v>
      </c>
      <c r="Y238" s="147">
        <v>2427400</v>
      </c>
      <c r="Z238" s="202" t="s">
        <v>348</v>
      </c>
    </row>
    <row r="239" spans="1:26" s="7" customFormat="1" ht="12.75" customHeight="1" x14ac:dyDescent="0.2">
      <c r="A239" s="131" t="s">
        <v>99</v>
      </c>
      <c r="B239" s="132">
        <v>2</v>
      </c>
      <c r="C239" s="133" t="s">
        <v>346</v>
      </c>
      <c r="D239" s="133" t="s">
        <v>100</v>
      </c>
      <c r="E239" s="134"/>
      <c r="F239" s="134">
        <v>10000000</v>
      </c>
      <c r="G239" s="134"/>
      <c r="H239" s="135" t="s">
        <v>752</v>
      </c>
      <c r="I239" s="136" t="s">
        <v>349</v>
      </c>
      <c r="J239" s="137">
        <v>2</v>
      </c>
      <c r="K239" s="138">
        <v>3</v>
      </c>
      <c r="L239" s="139">
        <v>9</v>
      </c>
      <c r="M239" s="132">
        <f t="shared" si="45"/>
        <v>1</v>
      </c>
      <c r="N239" s="140" t="s">
        <v>226</v>
      </c>
      <c r="O239" s="141" t="str">
        <f>IF(ISBLANK(N239),"",VLOOKUP(N239,[17]Parámetros!$G$2:$H$23,2,FALSE))</f>
        <v>Licitación pública</v>
      </c>
      <c r="P239" s="142">
        <v>1</v>
      </c>
      <c r="Q239" s="143">
        <f t="shared" si="46"/>
        <v>10000000</v>
      </c>
      <c r="R239" s="143">
        <f t="shared" si="47"/>
        <v>10000000</v>
      </c>
      <c r="S239" s="144" t="s">
        <v>222</v>
      </c>
      <c r="T239" s="140">
        <v>0</v>
      </c>
      <c r="U239" s="145" t="str">
        <f t="shared" si="48"/>
        <v>SUBDIRECCION DE GESTION CONTRACTUAL</v>
      </c>
      <c r="V239" s="132" t="str">
        <f t="shared" si="40"/>
        <v>CO-DC</v>
      </c>
      <c r="W239" s="145" t="str">
        <f t="shared" si="41"/>
        <v>Distrito Capital de Bogotá</v>
      </c>
      <c r="X239" s="146" t="s">
        <v>106</v>
      </c>
      <c r="Y239" s="147">
        <v>2427400</v>
      </c>
      <c r="Z239" s="148" t="s">
        <v>348</v>
      </c>
    </row>
    <row r="240" spans="1:26" s="7" customFormat="1" ht="12.75" customHeight="1" x14ac:dyDescent="0.25">
      <c r="A240" s="131" t="s">
        <v>99</v>
      </c>
      <c r="B240" s="132">
        <v>3</v>
      </c>
      <c r="C240" s="133" t="s">
        <v>346</v>
      </c>
      <c r="D240" s="133" t="s">
        <v>100</v>
      </c>
      <c r="E240" s="134"/>
      <c r="F240" s="134">
        <v>50000000</v>
      </c>
      <c r="G240" s="134"/>
      <c r="H240" s="135" t="s">
        <v>121</v>
      </c>
      <c r="I240" s="136" t="s">
        <v>817</v>
      </c>
      <c r="J240" s="150">
        <v>1</v>
      </c>
      <c r="K240" s="150">
        <v>2</v>
      </c>
      <c r="L240" s="150">
        <v>10</v>
      </c>
      <c r="M240" s="132">
        <f t="shared" si="45"/>
        <v>1</v>
      </c>
      <c r="N240" s="140" t="s">
        <v>43</v>
      </c>
      <c r="O240" s="141" t="str">
        <f>IF(ISBLANK(N240),"",VLOOKUP(N240,[1]Parámetros!$G$2:$H$23,2,FALSE))</f>
        <v>Selección abreviada subasta inversa</v>
      </c>
      <c r="P240" s="142">
        <v>1</v>
      </c>
      <c r="Q240" s="143">
        <f t="shared" si="46"/>
        <v>50000000</v>
      </c>
      <c r="R240" s="143">
        <f t="shared" si="47"/>
        <v>50000000</v>
      </c>
      <c r="S240" s="144" t="s">
        <v>222</v>
      </c>
      <c r="T240" s="140">
        <v>0</v>
      </c>
      <c r="U240" s="145" t="str">
        <f t="shared" si="48"/>
        <v>SUBDIRECCION DE GESTION CONTRACTUAL</v>
      </c>
      <c r="V240" s="132" t="str">
        <f t="shared" ref="V240:V303" si="51">IF(ISBLANK(N240),"","CO-DC")</f>
        <v>CO-DC</v>
      </c>
      <c r="W240" s="145" t="str">
        <f t="shared" ref="W240:W303" si="52">IF(ISBLANK(N240),"","Distrito Capital de Bogotá")</f>
        <v>Distrito Capital de Bogotá</v>
      </c>
      <c r="X240" s="146" t="s">
        <v>307</v>
      </c>
      <c r="Y240" s="132">
        <v>2427400</v>
      </c>
      <c r="Z240" s="127" t="s">
        <v>94</v>
      </c>
    </row>
    <row r="241" spans="1:26" s="7" customFormat="1" ht="12.75" customHeight="1" x14ac:dyDescent="0.2">
      <c r="A241" s="131" t="s">
        <v>99</v>
      </c>
      <c r="B241" s="132">
        <v>4</v>
      </c>
      <c r="C241" s="133" t="s">
        <v>346</v>
      </c>
      <c r="D241" s="133" t="s">
        <v>100</v>
      </c>
      <c r="E241" s="134"/>
      <c r="F241" s="134">
        <v>160000000</v>
      </c>
      <c r="G241" s="134"/>
      <c r="H241" s="203" t="s">
        <v>350</v>
      </c>
      <c r="I241" s="136" t="s">
        <v>351</v>
      </c>
      <c r="J241" s="150">
        <v>2</v>
      </c>
      <c r="K241" s="150">
        <v>2</v>
      </c>
      <c r="L241" s="150">
        <v>4</v>
      </c>
      <c r="M241" s="132">
        <f t="shared" si="45"/>
        <v>1</v>
      </c>
      <c r="N241" s="140" t="s">
        <v>36</v>
      </c>
      <c r="O241" s="141" t="str">
        <f>IF(ISBLANK(N241),"",VLOOKUP(N241,[17]Parámetros!$G$2:$H$23,2,FALSE))</f>
        <v xml:space="preserve">Contratación directa (con ofertas) </v>
      </c>
      <c r="P241" s="142">
        <v>1</v>
      </c>
      <c r="Q241" s="143">
        <f t="shared" si="46"/>
        <v>160000000</v>
      </c>
      <c r="R241" s="143">
        <f t="shared" si="47"/>
        <v>160000000</v>
      </c>
      <c r="S241" s="144" t="s">
        <v>222</v>
      </c>
      <c r="T241" s="140">
        <v>0</v>
      </c>
      <c r="U241" s="145" t="str">
        <f t="shared" si="48"/>
        <v>SUBDIRECCION DE GESTION CONTRACTUAL</v>
      </c>
      <c r="V241" s="132" t="str">
        <f t="shared" si="51"/>
        <v>CO-DC</v>
      </c>
      <c r="W241" s="145" t="str">
        <f t="shared" si="52"/>
        <v>Distrito Capital de Bogotá</v>
      </c>
      <c r="X241" s="146" t="s">
        <v>106</v>
      </c>
      <c r="Y241" s="147">
        <v>2427400</v>
      </c>
      <c r="Z241" s="148" t="s">
        <v>348</v>
      </c>
    </row>
    <row r="242" spans="1:26" s="7" customFormat="1" ht="12.75" customHeight="1" x14ac:dyDescent="0.2">
      <c r="A242" s="131" t="s">
        <v>99</v>
      </c>
      <c r="B242" s="132">
        <v>5</v>
      </c>
      <c r="C242" s="133" t="s">
        <v>352</v>
      </c>
      <c r="D242" s="133" t="s">
        <v>100</v>
      </c>
      <c r="E242" s="134"/>
      <c r="F242" s="134">
        <v>637415925</v>
      </c>
      <c r="G242" s="134"/>
      <c r="H242" s="135">
        <v>80111600</v>
      </c>
      <c r="I242" s="136" t="s">
        <v>347</v>
      </c>
      <c r="J242" s="150">
        <v>1</v>
      </c>
      <c r="K242" s="150">
        <v>1</v>
      </c>
      <c r="L242" s="150">
        <v>12</v>
      </c>
      <c r="M242" s="132">
        <f t="shared" si="45"/>
        <v>1</v>
      </c>
      <c r="N242" s="140" t="s">
        <v>216</v>
      </c>
      <c r="O242" s="141" t="str">
        <f>IF(ISBLANK(N242),"",VLOOKUP(N242,[17]Parámetros!$G$2:$H$23,2,FALSE))</f>
        <v>Contratación directa.</v>
      </c>
      <c r="P242" s="142">
        <f>IF(ISBLANK(N242),"",1)</f>
        <v>1</v>
      </c>
      <c r="Q242" s="143">
        <f t="shared" si="46"/>
        <v>637415925</v>
      </c>
      <c r="R242" s="143">
        <f t="shared" si="47"/>
        <v>637415925</v>
      </c>
      <c r="S242" s="144" t="s">
        <v>222</v>
      </c>
      <c r="T242" s="140">
        <f>IF(ISBLANK(S242),"",IF(VALUE(S242)=0,0,IF(VALUE(S242)=1,3,"")))</f>
        <v>0</v>
      </c>
      <c r="U242" s="145" t="str">
        <f t="shared" si="48"/>
        <v>SUBDIRECCION DE GESTION CONTRACTUAL</v>
      </c>
      <c r="V242" s="132" t="str">
        <f t="shared" si="51"/>
        <v>CO-DC</v>
      </c>
      <c r="W242" s="145" t="str">
        <f t="shared" si="52"/>
        <v>Distrito Capital de Bogotá</v>
      </c>
      <c r="X242" s="146" t="s">
        <v>106</v>
      </c>
      <c r="Y242" s="147">
        <v>2427400</v>
      </c>
      <c r="Z242" s="148" t="s">
        <v>348</v>
      </c>
    </row>
    <row r="243" spans="1:26" s="7" customFormat="1" ht="12.75" customHeight="1" x14ac:dyDescent="0.2">
      <c r="A243" s="131" t="s">
        <v>99</v>
      </c>
      <c r="B243" s="132">
        <v>6</v>
      </c>
      <c r="C243" s="133" t="s">
        <v>352</v>
      </c>
      <c r="D243" s="133" t="s">
        <v>100</v>
      </c>
      <c r="E243" s="134"/>
      <c r="F243" s="134">
        <v>50000000</v>
      </c>
      <c r="G243" s="134"/>
      <c r="H243" s="135" t="s">
        <v>42</v>
      </c>
      <c r="I243" s="136" t="s">
        <v>353</v>
      </c>
      <c r="J243" s="137">
        <v>3</v>
      </c>
      <c r="K243" s="138">
        <v>4</v>
      </c>
      <c r="L243" s="139">
        <v>9</v>
      </c>
      <c r="M243" s="132">
        <f t="shared" si="45"/>
        <v>1</v>
      </c>
      <c r="N243" s="140" t="s">
        <v>61</v>
      </c>
      <c r="O243" s="141" t="str">
        <f>IF(ISBLANK(N243),"",VLOOKUP(N243,[15]Parámetros!$G$2:$H$23,2,FALSE))</f>
        <v>Contratación régimen especial - Selección de comisionista</v>
      </c>
      <c r="P243" s="142">
        <v>1</v>
      </c>
      <c r="Q243" s="143">
        <f t="shared" si="46"/>
        <v>50000000</v>
      </c>
      <c r="R243" s="143">
        <f t="shared" si="47"/>
        <v>50000000</v>
      </c>
      <c r="S243" s="144" t="s">
        <v>222</v>
      </c>
      <c r="T243" s="140">
        <v>0</v>
      </c>
      <c r="U243" s="145" t="str">
        <f t="shared" si="48"/>
        <v>SUBDIRECCION DE GESTION CONTRACTUAL</v>
      </c>
      <c r="V243" s="132" t="str">
        <f t="shared" si="51"/>
        <v>CO-DC</v>
      </c>
      <c r="W243" s="145" t="str">
        <f t="shared" si="52"/>
        <v>Distrito Capital de Bogotá</v>
      </c>
      <c r="X243" s="146" t="s">
        <v>106</v>
      </c>
      <c r="Y243" s="147">
        <v>2427400</v>
      </c>
      <c r="Z243" s="148" t="s">
        <v>348</v>
      </c>
    </row>
    <row r="244" spans="1:26" s="7" customFormat="1" ht="12.75" customHeight="1" x14ac:dyDescent="0.2">
      <c r="A244" s="131" t="s">
        <v>99</v>
      </c>
      <c r="B244" s="132">
        <v>7</v>
      </c>
      <c r="C244" s="133" t="s">
        <v>352</v>
      </c>
      <c r="D244" s="133" t="s">
        <v>100</v>
      </c>
      <c r="E244" s="134"/>
      <c r="F244" s="134">
        <v>170000000</v>
      </c>
      <c r="G244" s="134"/>
      <c r="H244" s="135" t="s">
        <v>752</v>
      </c>
      <c r="I244" s="136" t="s">
        <v>349</v>
      </c>
      <c r="J244" s="137">
        <v>2</v>
      </c>
      <c r="K244" s="138">
        <v>3</v>
      </c>
      <c r="L244" s="139">
        <v>9</v>
      </c>
      <c r="M244" s="132">
        <f t="shared" si="45"/>
        <v>1</v>
      </c>
      <c r="N244" s="140" t="s">
        <v>226</v>
      </c>
      <c r="O244" s="141" t="str">
        <f>IF(ISBLANK(N244),"",VLOOKUP(N244,[17]Parámetros!$G$2:$H$23,2,FALSE))</f>
        <v>Licitación pública</v>
      </c>
      <c r="P244" s="142">
        <v>1</v>
      </c>
      <c r="Q244" s="143">
        <f t="shared" si="46"/>
        <v>170000000</v>
      </c>
      <c r="R244" s="143">
        <f t="shared" si="47"/>
        <v>170000000</v>
      </c>
      <c r="S244" s="144" t="s">
        <v>222</v>
      </c>
      <c r="T244" s="140">
        <v>0</v>
      </c>
      <c r="U244" s="145" t="str">
        <f t="shared" si="48"/>
        <v>SUBDIRECCION DE GESTION CONTRACTUAL</v>
      </c>
      <c r="V244" s="132" t="str">
        <f t="shared" si="51"/>
        <v>CO-DC</v>
      </c>
      <c r="W244" s="145" t="str">
        <f t="shared" si="52"/>
        <v>Distrito Capital de Bogotá</v>
      </c>
      <c r="X244" s="146" t="s">
        <v>106</v>
      </c>
      <c r="Y244" s="147">
        <v>2427400</v>
      </c>
      <c r="Z244" s="148" t="s">
        <v>348</v>
      </c>
    </row>
    <row r="245" spans="1:26" s="7" customFormat="1" ht="12.75" customHeight="1" x14ac:dyDescent="0.2">
      <c r="A245" s="131" t="s">
        <v>99</v>
      </c>
      <c r="B245" s="132">
        <v>8</v>
      </c>
      <c r="C245" s="133" t="s">
        <v>352</v>
      </c>
      <c r="D245" s="133" t="s">
        <v>100</v>
      </c>
      <c r="E245" s="134"/>
      <c r="F245" s="134">
        <v>50000000</v>
      </c>
      <c r="G245" s="134"/>
      <c r="H245" s="135" t="s">
        <v>604</v>
      </c>
      <c r="I245" s="136" t="s">
        <v>354</v>
      </c>
      <c r="J245" s="137">
        <v>2</v>
      </c>
      <c r="K245" s="138">
        <v>2</v>
      </c>
      <c r="L245" s="139">
        <v>10</v>
      </c>
      <c r="M245" s="132">
        <f t="shared" si="45"/>
        <v>1</v>
      </c>
      <c r="N245" s="140" t="s">
        <v>36</v>
      </c>
      <c r="O245" s="141" t="str">
        <f>IF(ISBLANK(N245),"",VLOOKUP(N245,[17]Parámetros!$G$2:$H$23,2,FALSE))</f>
        <v xml:space="preserve">Contratación directa (con ofertas) </v>
      </c>
      <c r="P245" s="142">
        <v>1</v>
      </c>
      <c r="Q245" s="143">
        <f t="shared" si="46"/>
        <v>50000000</v>
      </c>
      <c r="R245" s="143">
        <f t="shared" si="47"/>
        <v>50000000</v>
      </c>
      <c r="S245" s="144" t="s">
        <v>222</v>
      </c>
      <c r="T245" s="140">
        <v>0</v>
      </c>
      <c r="U245" s="145" t="str">
        <f t="shared" si="48"/>
        <v>SUBDIRECCION DE GESTION CONTRACTUAL</v>
      </c>
      <c r="V245" s="132" t="str">
        <f t="shared" si="51"/>
        <v>CO-DC</v>
      </c>
      <c r="W245" s="145" t="str">
        <f t="shared" si="52"/>
        <v>Distrito Capital de Bogotá</v>
      </c>
      <c r="X245" s="146" t="s">
        <v>307</v>
      </c>
      <c r="Y245" s="132">
        <v>2427400</v>
      </c>
      <c r="Z245" s="148" t="s">
        <v>94</v>
      </c>
    </row>
    <row r="246" spans="1:26" s="7" customFormat="1" ht="12.75" customHeight="1" x14ac:dyDescent="0.2">
      <c r="A246" s="131" t="s">
        <v>99</v>
      </c>
      <c r="B246" s="132">
        <v>9</v>
      </c>
      <c r="C246" s="133" t="s">
        <v>352</v>
      </c>
      <c r="D246" s="133" t="s">
        <v>100</v>
      </c>
      <c r="E246" s="134"/>
      <c r="F246" s="134">
        <v>39981077</v>
      </c>
      <c r="G246" s="134"/>
      <c r="H246" s="135" t="s">
        <v>103</v>
      </c>
      <c r="I246" s="136" t="s">
        <v>594</v>
      </c>
      <c r="J246" s="137">
        <v>2</v>
      </c>
      <c r="K246" s="138">
        <v>3</v>
      </c>
      <c r="L246" s="139">
        <v>10</v>
      </c>
      <c r="M246" s="132">
        <f t="shared" si="45"/>
        <v>1</v>
      </c>
      <c r="N246" s="140" t="s">
        <v>36</v>
      </c>
      <c r="O246" s="141" t="str">
        <f>IF(ISBLANK(N246),"",VLOOKUP(N246,[1]Parámetros!$G$2:$H$23,2,FALSE))</f>
        <v xml:space="preserve">Contratación directa (con ofertas) </v>
      </c>
      <c r="P246" s="142">
        <v>1</v>
      </c>
      <c r="Q246" s="143">
        <f t="shared" si="46"/>
        <v>39981077</v>
      </c>
      <c r="R246" s="143">
        <f t="shared" si="47"/>
        <v>39981077</v>
      </c>
      <c r="S246" s="144" t="s">
        <v>222</v>
      </c>
      <c r="T246" s="140">
        <v>0</v>
      </c>
      <c r="U246" s="145" t="str">
        <f t="shared" si="48"/>
        <v>SUBDIRECCION DE GESTION CONTRACTUAL</v>
      </c>
      <c r="V246" s="132" t="str">
        <f t="shared" si="51"/>
        <v>CO-DC</v>
      </c>
      <c r="W246" s="145" t="str">
        <f t="shared" si="52"/>
        <v>Distrito Capital de Bogotá</v>
      </c>
      <c r="X246" s="146" t="s">
        <v>106</v>
      </c>
      <c r="Y246" s="147">
        <v>2427400</v>
      </c>
      <c r="Z246" s="148" t="s">
        <v>348</v>
      </c>
    </row>
    <row r="247" spans="1:26" s="7" customFormat="1" ht="12.75" customHeight="1" x14ac:dyDescent="0.2">
      <c r="A247" s="131" t="s">
        <v>99</v>
      </c>
      <c r="B247" s="132">
        <v>10</v>
      </c>
      <c r="C247" s="133" t="s">
        <v>352</v>
      </c>
      <c r="D247" s="133" t="s">
        <v>100</v>
      </c>
      <c r="E247" s="134"/>
      <c r="F247" s="134">
        <v>625000000</v>
      </c>
      <c r="G247" s="134"/>
      <c r="H247" s="135" t="s">
        <v>355</v>
      </c>
      <c r="I247" s="136" t="s">
        <v>356</v>
      </c>
      <c r="J247" s="150">
        <v>1</v>
      </c>
      <c r="K247" s="150">
        <v>3</v>
      </c>
      <c r="L247" s="150">
        <v>9</v>
      </c>
      <c r="M247" s="132">
        <f t="shared" si="45"/>
        <v>1</v>
      </c>
      <c r="N247" s="140" t="s">
        <v>36</v>
      </c>
      <c r="O247" s="141" t="str">
        <f>IF(ISBLANK(N247),"",VLOOKUP(N247,[17]Parámetros!$G$2:$H$23,2,FALSE))</f>
        <v xml:space="preserve">Contratación directa (con ofertas) </v>
      </c>
      <c r="P247" s="142">
        <v>1</v>
      </c>
      <c r="Q247" s="143">
        <f t="shared" si="46"/>
        <v>625000000</v>
      </c>
      <c r="R247" s="143">
        <f t="shared" si="47"/>
        <v>625000000</v>
      </c>
      <c r="S247" s="144" t="s">
        <v>222</v>
      </c>
      <c r="T247" s="140">
        <v>0</v>
      </c>
      <c r="U247" s="145" t="str">
        <f t="shared" si="48"/>
        <v>SUBDIRECCION DE GESTION CONTRACTUAL</v>
      </c>
      <c r="V247" s="132" t="str">
        <f t="shared" si="51"/>
        <v>CO-DC</v>
      </c>
      <c r="W247" s="145" t="str">
        <f t="shared" si="52"/>
        <v>Distrito Capital de Bogotá</v>
      </c>
      <c r="X247" s="146" t="s">
        <v>106</v>
      </c>
      <c r="Y247" s="147">
        <v>2427400</v>
      </c>
      <c r="Z247" s="148" t="s">
        <v>348</v>
      </c>
    </row>
    <row r="248" spans="1:26" s="7" customFormat="1" ht="12.75" customHeight="1" x14ac:dyDescent="0.2">
      <c r="A248" s="131" t="s">
        <v>99</v>
      </c>
      <c r="B248" s="132">
        <v>11</v>
      </c>
      <c r="C248" s="133" t="s">
        <v>357</v>
      </c>
      <c r="D248" s="133" t="s">
        <v>100</v>
      </c>
      <c r="E248" s="134"/>
      <c r="F248" s="134">
        <v>214500000</v>
      </c>
      <c r="G248" s="134"/>
      <c r="H248" s="135">
        <v>80111600</v>
      </c>
      <c r="I248" s="136" t="s">
        <v>347</v>
      </c>
      <c r="J248" s="150">
        <v>1</v>
      </c>
      <c r="K248" s="150">
        <v>1</v>
      </c>
      <c r="L248" s="150">
        <v>12</v>
      </c>
      <c r="M248" s="132">
        <f t="shared" si="45"/>
        <v>1</v>
      </c>
      <c r="N248" s="140" t="s">
        <v>216</v>
      </c>
      <c r="O248" s="141" t="str">
        <f>IF(ISBLANK(N248),"",VLOOKUP(N248,[17]Parámetros!$G$2:$H$23,2,FALSE))</f>
        <v>Contratación directa.</v>
      </c>
      <c r="P248" s="142">
        <f>IF(ISBLANK(N248),"",1)</f>
        <v>1</v>
      </c>
      <c r="Q248" s="143">
        <f t="shared" si="46"/>
        <v>214500000</v>
      </c>
      <c r="R248" s="143">
        <f t="shared" si="47"/>
        <v>214500000</v>
      </c>
      <c r="S248" s="144" t="s">
        <v>222</v>
      </c>
      <c r="T248" s="140">
        <f>IF(ISBLANK(S248),"",IF(VALUE(S248)=0,0,IF(VALUE(S248)=1,3,"")))</f>
        <v>0</v>
      </c>
      <c r="U248" s="145" t="str">
        <f t="shared" si="48"/>
        <v>SUBDIRECCION DE GESTION CONTRACTUAL</v>
      </c>
      <c r="V248" s="132" t="str">
        <f t="shared" si="51"/>
        <v>CO-DC</v>
      </c>
      <c r="W248" s="145" t="str">
        <f t="shared" si="52"/>
        <v>Distrito Capital de Bogotá</v>
      </c>
      <c r="X248" s="146" t="s">
        <v>106</v>
      </c>
      <c r="Y248" s="147">
        <v>2427400</v>
      </c>
      <c r="Z248" s="148" t="s">
        <v>348</v>
      </c>
    </row>
    <row r="249" spans="1:26" s="7" customFormat="1" ht="12.75" customHeight="1" x14ac:dyDescent="0.2">
      <c r="A249" s="131" t="s">
        <v>99</v>
      </c>
      <c r="B249" s="132">
        <v>12</v>
      </c>
      <c r="C249" s="133" t="s">
        <v>358</v>
      </c>
      <c r="D249" s="133" t="s">
        <v>100</v>
      </c>
      <c r="E249" s="134"/>
      <c r="F249" s="134">
        <v>214500000</v>
      </c>
      <c r="G249" s="134"/>
      <c r="H249" s="135">
        <v>80111600</v>
      </c>
      <c r="I249" s="136" t="s">
        <v>347</v>
      </c>
      <c r="J249" s="150">
        <v>1</v>
      </c>
      <c r="K249" s="150">
        <v>1</v>
      </c>
      <c r="L249" s="150">
        <v>12</v>
      </c>
      <c r="M249" s="132">
        <f t="shared" si="45"/>
        <v>1</v>
      </c>
      <c r="N249" s="140" t="s">
        <v>216</v>
      </c>
      <c r="O249" s="141" t="str">
        <f>IF(ISBLANK(N249),"",VLOOKUP(N249,[17]Parámetros!$G$2:$H$23,2,FALSE))</f>
        <v>Contratación directa.</v>
      </c>
      <c r="P249" s="142">
        <f>IF(ISBLANK(N249),"",1)</f>
        <v>1</v>
      </c>
      <c r="Q249" s="143">
        <f t="shared" si="46"/>
        <v>214500000</v>
      </c>
      <c r="R249" s="143">
        <f t="shared" si="47"/>
        <v>214500000</v>
      </c>
      <c r="S249" s="144" t="s">
        <v>222</v>
      </c>
      <c r="T249" s="140">
        <f>IF(ISBLANK(S249),"",IF(VALUE(S249)=0,0,IF(VALUE(S249)=1,3,"")))</f>
        <v>0</v>
      </c>
      <c r="U249" s="145" t="str">
        <f t="shared" si="48"/>
        <v>SUBDIRECCION DE GESTION CONTRACTUAL</v>
      </c>
      <c r="V249" s="132" t="str">
        <f t="shared" si="51"/>
        <v>CO-DC</v>
      </c>
      <c r="W249" s="145" t="str">
        <f t="shared" si="52"/>
        <v>Distrito Capital de Bogotá</v>
      </c>
      <c r="X249" s="146" t="s">
        <v>106</v>
      </c>
      <c r="Y249" s="147">
        <v>2427400</v>
      </c>
      <c r="Z249" s="148" t="s">
        <v>348</v>
      </c>
    </row>
    <row r="250" spans="1:26" s="7" customFormat="1" ht="12.75" customHeight="1" x14ac:dyDescent="0.2">
      <c r="A250" s="131" t="s">
        <v>99</v>
      </c>
      <c r="B250" s="132">
        <v>13</v>
      </c>
      <c r="C250" s="133" t="s">
        <v>358</v>
      </c>
      <c r="D250" s="133" t="s">
        <v>100</v>
      </c>
      <c r="E250" s="134"/>
      <c r="F250" s="134">
        <v>15000000</v>
      </c>
      <c r="G250" s="134"/>
      <c r="H250" s="135" t="s">
        <v>42</v>
      </c>
      <c r="I250" s="136" t="s">
        <v>353</v>
      </c>
      <c r="J250" s="137">
        <v>3</v>
      </c>
      <c r="K250" s="138">
        <v>4</v>
      </c>
      <c r="L250" s="139">
        <v>9</v>
      </c>
      <c r="M250" s="132">
        <f t="shared" si="45"/>
        <v>1</v>
      </c>
      <c r="N250" s="140" t="s">
        <v>61</v>
      </c>
      <c r="O250" s="141" t="str">
        <f>IF(ISBLANK(N250),"",VLOOKUP(N250,[15]Parámetros!$G$2:$H$23,2,FALSE))</f>
        <v>Contratación régimen especial - Selección de comisionista</v>
      </c>
      <c r="P250" s="142">
        <v>1</v>
      </c>
      <c r="Q250" s="143">
        <f t="shared" si="46"/>
        <v>15000000</v>
      </c>
      <c r="R250" s="143">
        <f t="shared" si="47"/>
        <v>15000000</v>
      </c>
      <c r="S250" s="144" t="s">
        <v>222</v>
      </c>
      <c r="T250" s="140">
        <v>0</v>
      </c>
      <c r="U250" s="145" t="str">
        <f t="shared" si="48"/>
        <v>SUBDIRECCION DE GESTION CONTRACTUAL</v>
      </c>
      <c r="V250" s="132" t="str">
        <f t="shared" si="51"/>
        <v>CO-DC</v>
      </c>
      <c r="W250" s="145" t="str">
        <f t="shared" si="52"/>
        <v>Distrito Capital de Bogotá</v>
      </c>
      <c r="X250" s="146" t="s">
        <v>106</v>
      </c>
      <c r="Y250" s="147">
        <v>2427400</v>
      </c>
      <c r="Z250" s="148" t="s">
        <v>348</v>
      </c>
    </row>
    <row r="251" spans="1:26" s="7" customFormat="1" ht="12.75" customHeight="1" x14ac:dyDescent="0.2">
      <c r="A251" s="131" t="s">
        <v>99</v>
      </c>
      <c r="B251" s="132">
        <v>14</v>
      </c>
      <c r="C251" s="133" t="s">
        <v>358</v>
      </c>
      <c r="D251" s="133" t="s">
        <v>100</v>
      </c>
      <c r="E251" s="134"/>
      <c r="F251" s="134">
        <v>97500000</v>
      </c>
      <c r="G251" s="134"/>
      <c r="H251" s="135" t="s">
        <v>752</v>
      </c>
      <c r="I251" s="136" t="s">
        <v>349</v>
      </c>
      <c r="J251" s="137">
        <v>2</v>
      </c>
      <c r="K251" s="138">
        <v>3</v>
      </c>
      <c r="L251" s="139">
        <v>9</v>
      </c>
      <c r="M251" s="132">
        <f t="shared" si="45"/>
        <v>1</v>
      </c>
      <c r="N251" s="140" t="s">
        <v>226</v>
      </c>
      <c r="O251" s="141" t="str">
        <f>IF(ISBLANK(N251),"",VLOOKUP(N251,[17]Parámetros!$G$2:$H$23,2,FALSE))</f>
        <v>Licitación pública</v>
      </c>
      <c r="P251" s="142">
        <v>1</v>
      </c>
      <c r="Q251" s="143">
        <f t="shared" si="46"/>
        <v>97500000</v>
      </c>
      <c r="R251" s="143">
        <f t="shared" si="47"/>
        <v>97500000</v>
      </c>
      <c r="S251" s="144" t="s">
        <v>222</v>
      </c>
      <c r="T251" s="140">
        <v>0</v>
      </c>
      <c r="U251" s="145" t="str">
        <f t="shared" si="48"/>
        <v>SUBDIRECCION DE GESTION CONTRACTUAL</v>
      </c>
      <c r="V251" s="132" t="str">
        <f t="shared" si="51"/>
        <v>CO-DC</v>
      </c>
      <c r="W251" s="145" t="str">
        <f t="shared" si="52"/>
        <v>Distrito Capital de Bogotá</v>
      </c>
      <c r="X251" s="146" t="s">
        <v>106</v>
      </c>
      <c r="Y251" s="147">
        <v>2427400</v>
      </c>
      <c r="Z251" s="148" t="s">
        <v>348</v>
      </c>
    </row>
    <row r="252" spans="1:26" s="7" customFormat="1" ht="12.75" customHeight="1" x14ac:dyDescent="0.2">
      <c r="A252" s="131" t="s">
        <v>99</v>
      </c>
      <c r="B252" s="132">
        <v>15</v>
      </c>
      <c r="C252" s="133" t="s">
        <v>358</v>
      </c>
      <c r="D252" s="133" t="s">
        <v>100</v>
      </c>
      <c r="E252" s="134"/>
      <c r="F252" s="134">
        <v>32500000</v>
      </c>
      <c r="G252" s="134"/>
      <c r="H252" s="135" t="s">
        <v>752</v>
      </c>
      <c r="I252" s="136" t="s">
        <v>349</v>
      </c>
      <c r="J252" s="160">
        <v>2</v>
      </c>
      <c r="K252" s="160">
        <v>3</v>
      </c>
      <c r="L252" s="160">
        <v>9</v>
      </c>
      <c r="M252" s="132">
        <f t="shared" si="45"/>
        <v>1</v>
      </c>
      <c r="N252" s="140" t="s">
        <v>226</v>
      </c>
      <c r="O252" s="141" t="str">
        <f>IF(ISBLANK(N252),"",VLOOKUP(N252,[17]Parámetros!$G$2:$H$23,2,FALSE))</f>
        <v>Licitación pública</v>
      </c>
      <c r="P252" s="142">
        <v>1</v>
      </c>
      <c r="Q252" s="143">
        <f t="shared" si="46"/>
        <v>32500000</v>
      </c>
      <c r="R252" s="143">
        <f t="shared" si="47"/>
        <v>32500000</v>
      </c>
      <c r="S252" s="144" t="s">
        <v>222</v>
      </c>
      <c r="T252" s="140">
        <v>0</v>
      </c>
      <c r="U252" s="145" t="str">
        <f t="shared" si="48"/>
        <v>SUBDIRECCION DE GESTION CONTRACTUAL</v>
      </c>
      <c r="V252" s="132" t="str">
        <f t="shared" si="51"/>
        <v>CO-DC</v>
      </c>
      <c r="W252" s="145" t="str">
        <f t="shared" si="52"/>
        <v>Distrito Capital de Bogotá</v>
      </c>
      <c r="X252" s="146" t="s">
        <v>106</v>
      </c>
      <c r="Y252" s="147">
        <v>2427400</v>
      </c>
      <c r="Z252" s="148" t="s">
        <v>348</v>
      </c>
    </row>
    <row r="253" spans="1:26" s="7" customFormat="1" ht="12.75" customHeight="1" x14ac:dyDescent="0.2">
      <c r="A253" s="131" t="s">
        <v>99</v>
      </c>
      <c r="B253" s="132">
        <v>16</v>
      </c>
      <c r="C253" s="133" t="s">
        <v>359</v>
      </c>
      <c r="D253" s="133" t="s">
        <v>102</v>
      </c>
      <c r="E253" s="134"/>
      <c r="F253" s="134">
        <v>372760055</v>
      </c>
      <c r="G253" s="134"/>
      <c r="H253" s="135">
        <v>80111600</v>
      </c>
      <c r="I253" s="136" t="s">
        <v>347</v>
      </c>
      <c r="J253" s="150">
        <v>1</v>
      </c>
      <c r="K253" s="150">
        <v>1</v>
      </c>
      <c r="L253" s="150">
        <v>12</v>
      </c>
      <c r="M253" s="132">
        <f t="shared" si="45"/>
        <v>1</v>
      </c>
      <c r="N253" s="140" t="s">
        <v>216</v>
      </c>
      <c r="O253" s="141" t="str">
        <f>IF(ISBLANK(N253),"",VLOOKUP(N253,[17]Parámetros!$G$2:$H$23,2,FALSE))</f>
        <v>Contratación directa.</v>
      </c>
      <c r="P253" s="142">
        <f>IF(ISBLANK(N253),"",1)</f>
        <v>1</v>
      </c>
      <c r="Q253" s="143">
        <f t="shared" si="46"/>
        <v>372760055</v>
      </c>
      <c r="R253" s="143">
        <f t="shared" si="47"/>
        <v>372760055</v>
      </c>
      <c r="S253" s="144" t="s">
        <v>222</v>
      </c>
      <c r="T253" s="140">
        <f>IF(ISBLANK(S253),"",IF(VALUE(S253)=0,0,IF(VALUE(S253)=1,3,"")))</f>
        <v>0</v>
      </c>
      <c r="U253" s="145" t="str">
        <f t="shared" si="48"/>
        <v>SUBDIRECCION DE GESTION CONTRACTUAL</v>
      </c>
      <c r="V253" s="132" t="str">
        <f t="shared" si="51"/>
        <v>CO-DC</v>
      </c>
      <c r="W253" s="145" t="str">
        <f t="shared" si="52"/>
        <v>Distrito Capital de Bogotá</v>
      </c>
      <c r="X253" s="146" t="s">
        <v>106</v>
      </c>
      <c r="Y253" s="147">
        <v>2427400</v>
      </c>
      <c r="Z253" s="148" t="s">
        <v>348</v>
      </c>
    </row>
    <row r="254" spans="1:26" s="7" customFormat="1" ht="12.75" customHeight="1" x14ac:dyDescent="0.2">
      <c r="A254" s="131" t="s">
        <v>99</v>
      </c>
      <c r="B254" s="132">
        <v>17</v>
      </c>
      <c r="C254" s="133" t="s">
        <v>359</v>
      </c>
      <c r="D254" s="133" t="s">
        <v>102</v>
      </c>
      <c r="E254" s="134"/>
      <c r="F254" s="134">
        <v>50373850</v>
      </c>
      <c r="G254" s="134"/>
      <c r="H254" s="135" t="s">
        <v>42</v>
      </c>
      <c r="I254" s="136" t="s">
        <v>353</v>
      </c>
      <c r="J254" s="137">
        <v>3</v>
      </c>
      <c r="K254" s="138">
        <v>4</v>
      </c>
      <c r="L254" s="139">
        <v>9</v>
      </c>
      <c r="M254" s="132">
        <f t="shared" si="45"/>
        <v>1</v>
      </c>
      <c r="N254" s="140" t="s">
        <v>61</v>
      </c>
      <c r="O254" s="141" t="str">
        <f>IF(ISBLANK(N254),"",VLOOKUP(N254,[15]Parámetros!$G$2:$H$23,2,FALSE))</f>
        <v>Contratación régimen especial - Selección de comisionista</v>
      </c>
      <c r="P254" s="142">
        <v>1</v>
      </c>
      <c r="Q254" s="143">
        <f t="shared" si="46"/>
        <v>50373850</v>
      </c>
      <c r="R254" s="143">
        <f t="shared" si="47"/>
        <v>50373850</v>
      </c>
      <c r="S254" s="144" t="s">
        <v>222</v>
      </c>
      <c r="T254" s="140">
        <v>0</v>
      </c>
      <c r="U254" s="145" t="str">
        <f t="shared" si="48"/>
        <v>SUBDIRECCION DE GESTION CONTRACTUAL</v>
      </c>
      <c r="V254" s="132" t="str">
        <f t="shared" si="51"/>
        <v>CO-DC</v>
      </c>
      <c r="W254" s="145" t="str">
        <f t="shared" si="52"/>
        <v>Distrito Capital de Bogotá</v>
      </c>
      <c r="X254" s="146" t="s">
        <v>106</v>
      </c>
      <c r="Y254" s="147">
        <v>2427400</v>
      </c>
      <c r="Z254" s="148" t="s">
        <v>348</v>
      </c>
    </row>
    <row r="255" spans="1:26" s="7" customFormat="1" ht="12.75" customHeight="1" x14ac:dyDescent="0.2">
      <c r="A255" s="131" t="s">
        <v>99</v>
      </c>
      <c r="B255" s="132">
        <v>18</v>
      </c>
      <c r="C255" s="133" t="s">
        <v>359</v>
      </c>
      <c r="D255" s="133" t="s">
        <v>102</v>
      </c>
      <c r="E255" s="134"/>
      <c r="F255" s="134">
        <v>644981800</v>
      </c>
      <c r="G255" s="134"/>
      <c r="H255" s="135" t="s">
        <v>752</v>
      </c>
      <c r="I255" s="136" t="s">
        <v>349</v>
      </c>
      <c r="J255" s="137">
        <v>2</v>
      </c>
      <c r="K255" s="138">
        <v>3</v>
      </c>
      <c r="L255" s="139">
        <v>9</v>
      </c>
      <c r="M255" s="132">
        <f t="shared" si="45"/>
        <v>1</v>
      </c>
      <c r="N255" s="140" t="s">
        <v>226</v>
      </c>
      <c r="O255" s="141" t="str">
        <f>IF(ISBLANK(N255),"",VLOOKUP(N255,[17]Parámetros!$G$2:$H$23,2,FALSE))</f>
        <v>Licitación pública</v>
      </c>
      <c r="P255" s="142">
        <v>1</v>
      </c>
      <c r="Q255" s="143">
        <f t="shared" si="46"/>
        <v>644981800</v>
      </c>
      <c r="R255" s="143">
        <f t="shared" si="47"/>
        <v>644981800</v>
      </c>
      <c r="S255" s="144" t="s">
        <v>222</v>
      </c>
      <c r="T255" s="140">
        <v>0</v>
      </c>
      <c r="U255" s="145" t="str">
        <f t="shared" si="48"/>
        <v>SUBDIRECCION DE GESTION CONTRACTUAL</v>
      </c>
      <c r="V255" s="132" t="str">
        <f t="shared" si="51"/>
        <v>CO-DC</v>
      </c>
      <c r="W255" s="145" t="str">
        <f t="shared" si="52"/>
        <v>Distrito Capital de Bogotá</v>
      </c>
      <c r="X255" s="146" t="s">
        <v>106</v>
      </c>
      <c r="Y255" s="147">
        <v>2427400</v>
      </c>
      <c r="Z255" s="148" t="s">
        <v>348</v>
      </c>
    </row>
    <row r="256" spans="1:26" s="7" customFormat="1" ht="12.75" customHeight="1" x14ac:dyDescent="0.2">
      <c r="A256" s="131" t="s">
        <v>99</v>
      </c>
      <c r="B256" s="132">
        <v>19</v>
      </c>
      <c r="C256" s="133" t="s">
        <v>359</v>
      </c>
      <c r="D256" s="133" t="s">
        <v>102</v>
      </c>
      <c r="E256" s="134"/>
      <c r="F256" s="134">
        <v>30000000</v>
      </c>
      <c r="G256" s="134"/>
      <c r="H256" s="135" t="s">
        <v>752</v>
      </c>
      <c r="I256" s="136" t="s">
        <v>349</v>
      </c>
      <c r="J256" s="160">
        <v>2</v>
      </c>
      <c r="K256" s="160">
        <v>3</v>
      </c>
      <c r="L256" s="160">
        <v>9</v>
      </c>
      <c r="M256" s="132">
        <f t="shared" si="45"/>
        <v>1</v>
      </c>
      <c r="N256" s="140" t="s">
        <v>226</v>
      </c>
      <c r="O256" s="141" t="str">
        <f>IF(ISBLANK(N256),"",VLOOKUP(N256,[17]Parámetros!$G$2:$H$23,2,FALSE))</f>
        <v>Licitación pública</v>
      </c>
      <c r="P256" s="142">
        <v>1</v>
      </c>
      <c r="Q256" s="143">
        <f t="shared" si="46"/>
        <v>30000000</v>
      </c>
      <c r="R256" s="143">
        <f t="shared" si="47"/>
        <v>30000000</v>
      </c>
      <c r="S256" s="144" t="s">
        <v>222</v>
      </c>
      <c r="T256" s="140">
        <v>0</v>
      </c>
      <c r="U256" s="145" t="str">
        <f t="shared" si="48"/>
        <v>SUBDIRECCION DE GESTION CONTRACTUAL</v>
      </c>
      <c r="V256" s="132" t="str">
        <f t="shared" si="51"/>
        <v>CO-DC</v>
      </c>
      <c r="W256" s="145" t="str">
        <f t="shared" si="52"/>
        <v>Distrito Capital de Bogotá</v>
      </c>
      <c r="X256" s="146" t="s">
        <v>106</v>
      </c>
      <c r="Y256" s="147">
        <v>2427400</v>
      </c>
      <c r="Z256" s="148" t="s">
        <v>348</v>
      </c>
    </row>
    <row r="257" spans="1:26" s="7" customFormat="1" ht="12.75" customHeight="1" x14ac:dyDescent="0.2">
      <c r="A257" s="131" t="s">
        <v>99</v>
      </c>
      <c r="B257" s="132">
        <v>20</v>
      </c>
      <c r="C257" s="133" t="s">
        <v>359</v>
      </c>
      <c r="D257" s="133" t="s">
        <v>102</v>
      </c>
      <c r="E257" s="134"/>
      <c r="F257" s="134">
        <v>25000000</v>
      </c>
      <c r="G257" s="134"/>
      <c r="H257" s="135" t="s">
        <v>604</v>
      </c>
      <c r="I257" s="136" t="s">
        <v>354</v>
      </c>
      <c r="J257" s="137">
        <v>2</v>
      </c>
      <c r="K257" s="138">
        <v>2</v>
      </c>
      <c r="L257" s="139">
        <v>10</v>
      </c>
      <c r="M257" s="132">
        <f t="shared" si="45"/>
        <v>1</v>
      </c>
      <c r="N257" s="140" t="s">
        <v>36</v>
      </c>
      <c r="O257" s="141" t="str">
        <f>IF(ISBLANK(N257),"",VLOOKUP(N257,[17]Parámetros!$G$2:$H$23,2,FALSE))</f>
        <v xml:space="preserve">Contratación directa (con ofertas) </v>
      </c>
      <c r="P257" s="142">
        <v>1</v>
      </c>
      <c r="Q257" s="143">
        <f t="shared" si="46"/>
        <v>25000000</v>
      </c>
      <c r="R257" s="143">
        <f t="shared" si="47"/>
        <v>25000000</v>
      </c>
      <c r="S257" s="144" t="s">
        <v>222</v>
      </c>
      <c r="T257" s="140">
        <v>0</v>
      </c>
      <c r="U257" s="145" t="str">
        <f t="shared" si="48"/>
        <v>SUBDIRECCION DE GESTION CONTRACTUAL</v>
      </c>
      <c r="V257" s="132" t="str">
        <f t="shared" si="51"/>
        <v>CO-DC</v>
      </c>
      <c r="W257" s="145" t="str">
        <f t="shared" si="52"/>
        <v>Distrito Capital de Bogotá</v>
      </c>
      <c r="X257" s="146" t="s">
        <v>307</v>
      </c>
      <c r="Y257" s="132">
        <v>2427400</v>
      </c>
      <c r="Z257" s="148" t="s">
        <v>94</v>
      </c>
    </row>
    <row r="258" spans="1:26" s="7" customFormat="1" ht="12.75" customHeight="1" x14ac:dyDescent="0.2">
      <c r="A258" s="131" t="s">
        <v>99</v>
      </c>
      <c r="B258" s="132">
        <v>21</v>
      </c>
      <c r="C258" s="133" t="s">
        <v>359</v>
      </c>
      <c r="D258" s="133" t="s">
        <v>102</v>
      </c>
      <c r="E258" s="134"/>
      <c r="F258" s="134">
        <v>490217170</v>
      </c>
      <c r="G258" s="134"/>
      <c r="H258" s="135" t="s">
        <v>101</v>
      </c>
      <c r="I258" s="136" t="s">
        <v>360</v>
      </c>
      <c r="J258" s="150">
        <v>6</v>
      </c>
      <c r="K258" s="150">
        <v>6</v>
      </c>
      <c r="L258" s="150">
        <v>6</v>
      </c>
      <c r="M258" s="132">
        <f t="shared" si="45"/>
        <v>1</v>
      </c>
      <c r="N258" s="140" t="s">
        <v>36</v>
      </c>
      <c r="O258" s="141" t="str">
        <f>IF(ISBLANK(N258),"",VLOOKUP(N258,[17]Parámetros!$G$2:$H$23,2,FALSE))</f>
        <v xml:space="preserve">Contratación directa (con ofertas) </v>
      </c>
      <c r="P258" s="142">
        <v>1</v>
      </c>
      <c r="Q258" s="143">
        <f t="shared" si="46"/>
        <v>490217170</v>
      </c>
      <c r="R258" s="143">
        <f t="shared" si="47"/>
        <v>490217170</v>
      </c>
      <c r="S258" s="144" t="s">
        <v>222</v>
      </c>
      <c r="T258" s="140">
        <v>0</v>
      </c>
      <c r="U258" s="145" t="str">
        <f t="shared" si="48"/>
        <v>SUBDIRECCION DE GESTION CONTRACTUAL</v>
      </c>
      <c r="V258" s="132" t="str">
        <f t="shared" si="51"/>
        <v>CO-DC</v>
      </c>
      <c r="W258" s="145" t="str">
        <f t="shared" si="52"/>
        <v>Distrito Capital de Bogotá</v>
      </c>
      <c r="X258" s="146" t="s">
        <v>106</v>
      </c>
      <c r="Y258" s="147">
        <v>2427400</v>
      </c>
      <c r="Z258" s="148" t="s">
        <v>348</v>
      </c>
    </row>
    <row r="259" spans="1:26" s="7" customFormat="1" ht="12.75" customHeight="1" x14ac:dyDescent="0.2">
      <c r="A259" s="131" t="s">
        <v>99</v>
      </c>
      <c r="B259" s="132">
        <v>22</v>
      </c>
      <c r="C259" s="133" t="s">
        <v>359</v>
      </c>
      <c r="D259" s="133" t="s">
        <v>102</v>
      </c>
      <c r="E259" s="134"/>
      <c r="F259" s="134">
        <v>93675000</v>
      </c>
      <c r="G259" s="134"/>
      <c r="H259" s="135" t="s">
        <v>361</v>
      </c>
      <c r="I259" s="136" t="s">
        <v>362</v>
      </c>
      <c r="J259" s="150">
        <v>1</v>
      </c>
      <c r="K259" s="150">
        <v>3</v>
      </c>
      <c r="L259" s="150">
        <v>9</v>
      </c>
      <c r="M259" s="132">
        <f t="shared" si="45"/>
        <v>1</v>
      </c>
      <c r="N259" s="140" t="s">
        <v>36</v>
      </c>
      <c r="O259" s="141" t="str">
        <f>IF(ISBLANK(N259),"",VLOOKUP(N259,[17]Parámetros!$G$2:$H$23,2,FALSE))</f>
        <v xml:space="preserve">Contratación directa (con ofertas) </v>
      </c>
      <c r="P259" s="142">
        <v>1</v>
      </c>
      <c r="Q259" s="143">
        <f t="shared" si="46"/>
        <v>93675000</v>
      </c>
      <c r="R259" s="143">
        <f t="shared" si="47"/>
        <v>93675000</v>
      </c>
      <c r="S259" s="144" t="s">
        <v>222</v>
      </c>
      <c r="T259" s="140">
        <v>0</v>
      </c>
      <c r="U259" s="145" t="str">
        <f t="shared" si="48"/>
        <v>SUBDIRECCION DE GESTION CONTRACTUAL</v>
      </c>
      <c r="V259" s="132" t="str">
        <f t="shared" si="51"/>
        <v>CO-DC</v>
      </c>
      <c r="W259" s="145" t="str">
        <f t="shared" si="52"/>
        <v>Distrito Capital de Bogotá</v>
      </c>
      <c r="X259" s="146" t="s">
        <v>106</v>
      </c>
      <c r="Y259" s="147">
        <v>2427400</v>
      </c>
      <c r="Z259" s="148" t="s">
        <v>348</v>
      </c>
    </row>
    <row r="260" spans="1:26" s="7" customFormat="1" ht="12.75" customHeight="1" x14ac:dyDescent="0.2">
      <c r="A260" s="131" t="s">
        <v>99</v>
      </c>
      <c r="B260" s="132">
        <v>23</v>
      </c>
      <c r="C260" s="133" t="s">
        <v>363</v>
      </c>
      <c r="D260" s="133" t="s">
        <v>102</v>
      </c>
      <c r="E260" s="134"/>
      <c r="F260" s="134">
        <v>54000000</v>
      </c>
      <c r="G260" s="134"/>
      <c r="H260" s="135">
        <v>80111600</v>
      </c>
      <c r="I260" s="136" t="s">
        <v>347</v>
      </c>
      <c r="J260" s="150">
        <v>1</v>
      </c>
      <c r="K260" s="150">
        <v>1</v>
      </c>
      <c r="L260" s="150">
        <v>12</v>
      </c>
      <c r="M260" s="132">
        <f t="shared" si="45"/>
        <v>1</v>
      </c>
      <c r="N260" s="140" t="s">
        <v>216</v>
      </c>
      <c r="O260" s="141" t="str">
        <f>IF(ISBLANK(N260),"",VLOOKUP(N260,[17]Parámetros!$G$2:$H$23,2,FALSE))</f>
        <v>Contratación directa.</v>
      </c>
      <c r="P260" s="142">
        <f>IF(ISBLANK(N260),"",1)</f>
        <v>1</v>
      </c>
      <c r="Q260" s="143">
        <f t="shared" si="46"/>
        <v>54000000</v>
      </c>
      <c r="R260" s="143">
        <f t="shared" si="47"/>
        <v>54000000</v>
      </c>
      <c r="S260" s="144" t="s">
        <v>222</v>
      </c>
      <c r="T260" s="140">
        <f>IF(ISBLANK(S260),"",IF(VALUE(S260)=0,0,IF(VALUE(S260)=1,3,"")))</f>
        <v>0</v>
      </c>
      <c r="U260" s="145" t="str">
        <f t="shared" si="48"/>
        <v>SUBDIRECCION DE GESTION CONTRACTUAL</v>
      </c>
      <c r="V260" s="132" t="str">
        <f t="shared" si="51"/>
        <v>CO-DC</v>
      </c>
      <c r="W260" s="145" t="str">
        <f t="shared" si="52"/>
        <v>Distrito Capital de Bogotá</v>
      </c>
      <c r="X260" s="146" t="s">
        <v>106</v>
      </c>
      <c r="Y260" s="147">
        <v>2427400</v>
      </c>
      <c r="Z260" s="148" t="s">
        <v>348</v>
      </c>
    </row>
    <row r="261" spans="1:26" s="7" customFormat="1" ht="12.75" customHeight="1" x14ac:dyDescent="0.2">
      <c r="A261" s="131" t="s">
        <v>99</v>
      </c>
      <c r="B261" s="132">
        <v>24</v>
      </c>
      <c r="C261" s="133" t="s">
        <v>363</v>
      </c>
      <c r="D261" s="133" t="s">
        <v>102</v>
      </c>
      <c r="E261" s="134"/>
      <c r="F261" s="134">
        <v>9415000</v>
      </c>
      <c r="G261" s="134"/>
      <c r="H261" s="135" t="s">
        <v>42</v>
      </c>
      <c r="I261" s="136" t="s">
        <v>353</v>
      </c>
      <c r="J261" s="137">
        <v>3</v>
      </c>
      <c r="K261" s="138">
        <v>4</v>
      </c>
      <c r="L261" s="139">
        <v>9</v>
      </c>
      <c r="M261" s="132">
        <f t="shared" si="45"/>
        <v>1</v>
      </c>
      <c r="N261" s="140" t="s">
        <v>61</v>
      </c>
      <c r="O261" s="141" t="str">
        <f>IF(ISBLANK(N261),"",VLOOKUP(N261,[15]Parámetros!$G$2:$H$23,2,FALSE))</f>
        <v>Contratación régimen especial - Selección de comisionista</v>
      </c>
      <c r="P261" s="142">
        <v>1</v>
      </c>
      <c r="Q261" s="143">
        <f t="shared" si="46"/>
        <v>9415000</v>
      </c>
      <c r="R261" s="143">
        <f t="shared" si="47"/>
        <v>9415000</v>
      </c>
      <c r="S261" s="144" t="s">
        <v>222</v>
      </c>
      <c r="T261" s="140">
        <v>0</v>
      </c>
      <c r="U261" s="145" t="str">
        <f t="shared" si="48"/>
        <v>SUBDIRECCION DE GESTION CONTRACTUAL</v>
      </c>
      <c r="V261" s="132" t="str">
        <f t="shared" si="51"/>
        <v>CO-DC</v>
      </c>
      <c r="W261" s="145" t="str">
        <f t="shared" si="52"/>
        <v>Distrito Capital de Bogotá</v>
      </c>
      <c r="X261" s="146" t="s">
        <v>106</v>
      </c>
      <c r="Y261" s="147">
        <v>2427400</v>
      </c>
      <c r="Z261" s="148" t="s">
        <v>348</v>
      </c>
    </row>
    <row r="262" spans="1:26" s="7" customFormat="1" ht="12.75" customHeight="1" x14ac:dyDescent="0.2">
      <c r="A262" s="131" t="s">
        <v>99</v>
      </c>
      <c r="B262" s="132">
        <v>25</v>
      </c>
      <c r="C262" s="133" t="s">
        <v>363</v>
      </c>
      <c r="D262" s="133" t="s">
        <v>102</v>
      </c>
      <c r="E262" s="134"/>
      <c r="F262" s="134">
        <v>264370750</v>
      </c>
      <c r="G262" s="134"/>
      <c r="H262" s="135" t="s">
        <v>752</v>
      </c>
      <c r="I262" s="136" t="s">
        <v>349</v>
      </c>
      <c r="J262" s="137">
        <v>2</v>
      </c>
      <c r="K262" s="138">
        <v>3</v>
      </c>
      <c r="L262" s="139">
        <v>9</v>
      </c>
      <c r="M262" s="132">
        <f t="shared" si="45"/>
        <v>1</v>
      </c>
      <c r="N262" s="140" t="s">
        <v>226</v>
      </c>
      <c r="O262" s="141" t="str">
        <f>IF(ISBLANK(N262),"",VLOOKUP(N262,[17]Parámetros!$G$2:$H$23,2,FALSE))</f>
        <v>Licitación pública</v>
      </c>
      <c r="P262" s="142">
        <v>1</v>
      </c>
      <c r="Q262" s="143">
        <f t="shared" si="46"/>
        <v>264370750</v>
      </c>
      <c r="R262" s="143">
        <f t="shared" si="47"/>
        <v>264370750</v>
      </c>
      <c r="S262" s="144" t="s">
        <v>222</v>
      </c>
      <c r="T262" s="140">
        <v>0</v>
      </c>
      <c r="U262" s="145" t="str">
        <f t="shared" si="48"/>
        <v>SUBDIRECCION DE GESTION CONTRACTUAL</v>
      </c>
      <c r="V262" s="132" t="str">
        <f t="shared" si="51"/>
        <v>CO-DC</v>
      </c>
      <c r="W262" s="145" t="str">
        <f t="shared" si="52"/>
        <v>Distrito Capital de Bogotá</v>
      </c>
      <c r="X262" s="146" t="s">
        <v>106</v>
      </c>
      <c r="Y262" s="147">
        <v>2427400</v>
      </c>
      <c r="Z262" s="148" t="s">
        <v>348</v>
      </c>
    </row>
    <row r="263" spans="1:26" s="7" customFormat="1" ht="12.75" customHeight="1" x14ac:dyDescent="0.2">
      <c r="A263" s="131" t="s">
        <v>99</v>
      </c>
      <c r="B263" s="132">
        <v>26</v>
      </c>
      <c r="C263" s="133" t="s">
        <v>364</v>
      </c>
      <c r="D263" s="133" t="s">
        <v>100</v>
      </c>
      <c r="E263" s="134"/>
      <c r="F263" s="134">
        <f>2413647155+83000000</f>
        <v>2496647155</v>
      </c>
      <c r="G263" s="134"/>
      <c r="H263" s="135">
        <v>80111600</v>
      </c>
      <c r="I263" s="136" t="s">
        <v>347</v>
      </c>
      <c r="J263" s="150">
        <v>1</v>
      </c>
      <c r="K263" s="150">
        <v>1</v>
      </c>
      <c r="L263" s="150">
        <v>12</v>
      </c>
      <c r="M263" s="132">
        <f t="shared" si="45"/>
        <v>1</v>
      </c>
      <c r="N263" s="140" t="s">
        <v>216</v>
      </c>
      <c r="O263" s="141" t="str">
        <f>IF(ISBLANK(N263),"",VLOOKUP(N263,[17]Parámetros!$G$2:$H$23,2,FALSE))</f>
        <v>Contratación directa.</v>
      </c>
      <c r="P263" s="142">
        <f>IF(ISBLANK(N263),"",1)</f>
        <v>1</v>
      </c>
      <c r="Q263" s="143">
        <f t="shared" si="46"/>
        <v>2496647155</v>
      </c>
      <c r="R263" s="143">
        <f t="shared" si="47"/>
        <v>2496647155</v>
      </c>
      <c r="S263" s="144" t="s">
        <v>222</v>
      </c>
      <c r="T263" s="140">
        <f>IF(ISBLANK(S263),"",IF(VALUE(S263)=0,0,IF(VALUE(S263)=1,3,"")))</f>
        <v>0</v>
      </c>
      <c r="U263" s="145" t="str">
        <f t="shared" si="48"/>
        <v>SUBDIRECCION DE GESTION CONTRACTUAL</v>
      </c>
      <c r="V263" s="132" t="str">
        <f t="shared" si="51"/>
        <v>CO-DC</v>
      </c>
      <c r="W263" s="145" t="str">
        <f t="shared" si="52"/>
        <v>Distrito Capital de Bogotá</v>
      </c>
      <c r="X263" s="146" t="s">
        <v>106</v>
      </c>
      <c r="Y263" s="147">
        <v>2427400</v>
      </c>
      <c r="Z263" s="148" t="s">
        <v>348</v>
      </c>
    </row>
    <row r="264" spans="1:26" s="7" customFormat="1" ht="12.75" customHeight="1" x14ac:dyDescent="0.2">
      <c r="A264" s="131" t="s">
        <v>99</v>
      </c>
      <c r="B264" s="132">
        <v>27</v>
      </c>
      <c r="C264" s="133" t="s">
        <v>364</v>
      </c>
      <c r="D264" s="133" t="s">
        <v>100</v>
      </c>
      <c r="E264" s="134"/>
      <c r="F264" s="134">
        <v>276460000</v>
      </c>
      <c r="G264" s="134"/>
      <c r="H264" s="135" t="s">
        <v>42</v>
      </c>
      <c r="I264" s="136" t="s">
        <v>353</v>
      </c>
      <c r="J264" s="137">
        <v>3</v>
      </c>
      <c r="K264" s="138">
        <v>4</v>
      </c>
      <c r="L264" s="139">
        <v>9</v>
      </c>
      <c r="M264" s="132">
        <f t="shared" si="45"/>
        <v>1</v>
      </c>
      <c r="N264" s="140" t="s">
        <v>61</v>
      </c>
      <c r="O264" s="141" t="str">
        <f>IF(ISBLANK(N264),"",VLOOKUP(N264,[15]Parámetros!$G$2:$H$23,2,FALSE))</f>
        <v>Contratación régimen especial - Selección de comisionista</v>
      </c>
      <c r="P264" s="142">
        <v>1</v>
      </c>
      <c r="Q264" s="143">
        <f t="shared" si="46"/>
        <v>276460000</v>
      </c>
      <c r="R264" s="143">
        <f t="shared" si="47"/>
        <v>276460000</v>
      </c>
      <c r="S264" s="144" t="s">
        <v>222</v>
      </c>
      <c r="T264" s="140">
        <v>0</v>
      </c>
      <c r="U264" s="145" t="str">
        <f t="shared" si="48"/>
        <v>SUBDIRECCION DE GESTION CONTRACTUAL</v>
      </c>
      <c r="V264" s="132" t="str">
        <f t="shared" si="51"/>
        <v>CO-DC</v>
      </c>
      <c r="W264" s="145" t="str">
        <f t="shared" si="52"/>
        <v>Distrito Capital de Bogotá</v>
      </c>
      <c r="X264" s="146" t="s">
        <v>106</v>
      </c>
      <c r="Y264" s="147">
        <v>2427400</v>
      </c>
      <c r="Z264" s="148" t="s">
        <v>348</v>
      </c>
    </row>
    <row r="265" spans="1:26" s="7" customFormat="1" ht="12.75" customHeight="1" x14ac:dyDescent="0.2">
      <c r="A265" s="131" t="s">
        <v>99</v>
      </c>
      <c r="B265" s="132">
        <v>28</v>
      </c>
      <c r="C265" s="133" t="s">
        <v>364</v>
      </c>
      <c r="D265" s="133" t="s">
        <v>100</v>
      </c>
      <c r="E265" s="134"/>
      <c r="F265" s="134">
        <v>1891393118</v>
      </c>
      <c r="G265" s="134"/>
      <c r="H265" s="135" t="s">
        <v>752</v>
      </c>
      <c r="I265" s="136" t="s">
        <v>349</v>
      </c>
      <c r="J265" s="137">
        <v>2</v>
      </c>
      <c r="K265" s="138">
        <v>3</v>
      </c>
      <c r="L265" s="139">
        <v>9</v>
      </c>
      <c r="M265" s="132">
        <f t="shared" si="45"/>
        <v>1</v>
      </c>
      <c r="N265" s="140" t="s">
        <v>226</v>
      </c>
      <c r="O265" s="141" t="str">
        <f>IF(ISBLANK(N265),"",VLOOKUP(N265,[17]Parámetros!$G$2:$H$23,2,FALSE))</f>
        <v>Licitación pública</v>
      </c>
      <c r="P265" s="142">
        <v>1</v>
      </c>
      <c r="Q265" s="143">
        <f t="shared" si="46"/>
        <v>1891393118</v>
      </c>
      <c r="R265" s="143">
        <f t="shared" si="47"/>
        <v>1891393118</v>
      </c>
      <c r="S265" s="144" t="s">
        <v>222</v>
      </c>
      <c r="T265" s="140">
        <v>0</v>
      </c>
      <c r="U265" s="145" t="str">
        <f t="shared" si="48"/>
        <v>SUBDIRECCION DE GESTION CONTRACTUAL</v>
      </c>
      <c r="V265" s="132" t="str">
        <f t="shared" si="51"/>
        <v>CO-DC</v>
      </c>
      <c r="W265" s="145" t="str">
        <f t="shared" si="52"/>
        <v>Distrito Capital de Bogotá</v>
      </c>
      <c r="X265" s="146" t="s">
        <v>106</v>
      </c>
      <c r="Y265" s="147">
        <v>2427400</v>
      </c>
      <c r="Z265" s="148" t="s">
        <v>348</v>
      </c>
    </row>
    <row r="266" spans="1:26" s="7" customFormat="1" ht="12.75" customHeight="1" x14ac:dyDescent="0.2">
      <c r="A266" s="131" t="s">
        <v>99</v>
      </c>
      <c r="B266" s="132">
        <v>29</v>
      </c>
      <c r="C266" s="133" t="s">
        <v>364</v>
      </c>
      <c r="D266" s="133" t="s">
        <v>100</v>
      </c>
      <c r="E266" s="134"/>
      <c r="F266" s="134">
        <v>482500000</v>
      </c>
      <c r="G266" s="134"/>
      <c r="H266" s="135" t="s">
        <v>752</v>
      </c>
      <c r="I266" s="136" t="s">
        <v>349</v>
      </c>
      <c r="J266" s="160">
        <v>2</v>
      </c>
      <c r="K266" s="160">
        <v>3</v>
      </c>
      <c r="L266" s="160">
        <v>9</v>
      </c>
      <c r="M266" s="132">
        <f t="shared" si="45"/>
        <v>1</v>
      </c>
      <c r="N266" s="140" t="s">
        <v>226</v>
      </c>
      <c r="O266" s="141" t="str">
        <f>IF(ISBLANK(N266),"",VLOOKUP(N266,[17]Parámetros!$G$2:$H$23,2,FALSE))</f>
        <v>Licitación pública</v>
      </c>
      <c r="P266" s="142">
        <v>1</v>
      </c>
      <c r="Q266" s="143">
        <f t="shared" si="46"/>
        <v>482500000</v>
      </c>
      <c r="R266" s="143">
        <f t="shared" si="47"/>
        <v>482500000</v>
      </c>
      <c r="S266" s="144" t="s">
        <v>222</v>
      </c>
      <c r="T266" s="140">
        <v>0</v>
      </c>
      <c r="U266" s="145" t="str">
        <f t="shared" si="48"/>
        <v>SUBDIRECCION DE GESTION CONTRACTUAL</v>
      </c>
      <c r="V266" s="132" t="str">
        <f t="shared" si="51"/>
        <v>CO-DC</v>
      </c>
      <c r="W266" s="145" t="str">
        <f t="shared" si="52"/>
        <v>Distrito Capital de Bogotá</v>
      </c>
      <c r="X266" s="146" t="s">
        <v>106</v>
      </c>
      <c r="Y266" s="147">
        <v>2427400</v>
      </c>
      <c r="Z266" s="148" t="s">
        <v>348</v>
      </c>
    </row>
    <row r="267" spans="1:26" s="7" customFormat="1" ht="12.75" customHeight="1" x14ac:dyDescent="0.2">
      <c r="A267" s="131" t="s">
        <v>99</v>
      </c>
      <c r="B267" s="132">
        <v>30</v>
      </c>
      <c r="C267" s="133" t="s">
        <v>364</v>
      </c>
      <c r="D267" s="133" t="s">
        <v>100</v>
      </c>
      <c r="E267" s="134"/>
      <c r="F267" s="134">
        <v>100000000</v>
      </c>
      <c r="G267" s="134"/>
      <c r="H267" s="135" t="s">
        <v>604</v>
      </c>
      <c r="I267" s="136" t="s">
        <v>354</v>
      </c>
      <c r="J267" s="137">
        <v>2</v>
      </c>
      <c r="K267" s="138">
        <v>2</v>
      </c>
      <c r="L267" s="139">
        <v>10</v>
      </c>
      <c r="M267" s="132">
        <f t="shared" si="45"/>
        <v>1</v>
      </c>
      <c r="N267" s="140" t="s">
        <v>36</v>
      </c>
      <c r="O267" s="141" t="str">
        <f>IF(ISBLANK(N267),"",VLOOKUP(N267,[17]Parámetros!$G$2:$H$23,2,FALSE))</f>
        <v xml:space="preserve">Contratación directa (con ofertas) </v>
      </c>
      <c r="P267" s="142">
        <v>1</v>
      </c>
      <c r="Q267" s="143">
        <f t="shared" si="46"/>
        <v>100000000</v>
      </c>
      <c r="R267" s="143">
        <f t="shared" si="47"/>
        <v>100000000</v>
      </c>
      <c r="S267" s="144" t="s">
        <v>222</v>
      </c>
      <c r="T267" s="140">
        <v>0</v>
      </c>
      <c r="U267" s="145" t="str">
        <f t="shared" si="48"/>
        <v>SUBDIRECCION DE GESTION CONTRACTUAL</v>
      </c>
      <c r="V267" s="132" t="str">
        <f t="shared" si="51"/>
        <v>CO-DC</v>
      </c>
      <c r="W267" s="145" t="str">
        <f t="shared" si="52"/>
        <v>Distrito Capital de Bogotá</v>
      </c>
      <c r="X267" s="146" t="s">
        <v>307</v>
      </c>
      <c r="Y267" s="132">
        <v>2427400</v>
      </c>
      <c r="Z267" s="148" t="s">
        <v>94</v>
      </c>
    </row>
    <row r="268" spans="1:26" s="7" customFormat="1" ht="12.75" customHeight="1" x14ac:dyDescent="0.2">
      <c r="A268" s="131" t="s">
        <v>99</v>
      </c>
      <c r="B268" s="132">
        <v>31</v>
      </c>
      <c r="C268" s="133" t="s">
        <v>364</v>
      </c>
      <c r="D268" s="133" t="s">
        <v>100</v>
      </c>
      <c r="E268" s="134"/>
      <c r="F268" s="134">
        <v>198963482</v>
      </c>
      <c r="G268" s="134"/>
      <c r="H268" s="135" t="s">
        <v>103</v>
      </c>
      <c r="I268" s="136" t="s">
        <v>594</v>
      </c>
      <c r="J268" s="137">
        <v>2</v>
      </c>
      <c r="K268" s="138">
        <v>3</v>
      </c>
      <c r="L268" s="139">
        <v>10</v>
      </c>
      <c r="M268" s="132">
        <f t="shared" si="45"/>
        <v>1</v>
      </c>
      <c r="N268" s="140" t="s">
        <v>36</v>
      </c>
      <c r="O268" s="141" t="str">
        <f>IF(ISBLANK(N268),"",VLOOKUP(N268,[1]Parámetros!$G$2:$H$23,2,FALSE))</f>
        <v xml:space="preserve">Contratación directa (con ofertas) </v>
      </c>
      <c r="P268" s="142">
        <v>1</v>
      </c>
      <c r="Q268" s="143">
        <f t="shared" si="46"/>
        <v>198963482</v>
      </c>
      <c r="R268" s="143">
        <f t="shared" si="47"/>
        <v>198963482</v>
      </c>
      <c r="S268" s="144" t="s">
        <v>222</v>
      </c>
      <c r="T268" s="140">
        <v>0</v>
      </c>
      <c r="U268" s="145" t="str">
        <f t="shared" si="48"/>
        <v>SUBDIRECCION DE GESTION CONTRACTUAL</v>
      </c>
      <c r="V268" s="132" t="str">
        <f t="shared" si="51"/>
        <v>CO-DC</v>
      </c>
      <c r="W268" s="145" t="str">
        <f t="shared" si="52"/>
        <v>Distrito Capital de Bogotá</v>
      </c>
      <c r="X268" s="146" t="s">
        <v>106</v>
      </c>
      <c r="Y268" s="147">
        <v>2427400</v>
      </c>
      <c r="Z268" s="148" t="s">
        <v>348</v>
      </c>
    </row>
    <row r="269" spans="1:26" s="7" customFormat="1" ht="12.75" customHeight="1" x14ac:dyDescent="0.2">
      <c r="A269" s="131" t="s">
        <v>99</v>
      </c>
      <c r="B269" s="132">
        <v>32</v>
      </c>
      <c r="C269" s="133" t="s">
        <v>364</v>
      </c>
      <c r="D269" s="133" t="s">
        <v>100</v>
      </c>
      <c r="E269" s="134"/>
      <c r="F269" s="134">
        <f>150000000-83000000</f>
        <v>67000000</v>
      </c>
      <c r="G269" s="134"/>
      <c r="H269" s="135" t="s">
        <v>121</v>
      </c>
      <c r="I269" s="136" t="s">
        <v>817</v>
      </c>
      <c r="J269" s="150">
        <v>1</v>
      </c>
      <c r="K269" s="150">
        <v>2</v>
      </c>
      <c r="L269" s="150">
        <v>10</v>
      </c>
      <c r="M269" s="132">
        <f t="shared" ref="M269" si="53">IF(ISBLANK(J269),"",1)</f>
        <v>1</v>
      </c>
      <c r="N269" s="140" t="s">
        <v>43</v>
      </c>
      <c r="O269" s="141" t="str">
        <f>IF(ISBLANK(N269),"",VLOOKUP(N269,[1]Parámetros!$G$2:$H$23,2,FALSE))</f>
        <v>Selección abreviada subasta inversa</v>
      </c>
      <c r="P269" s="142">
        <v>1</v>
      </c>
      <c r="Q269" s="143">
        <f t="shared" si="46"/>
        <v>67000000</v>
      </c>
      <c r="R269" s="143">
        <f t="shared" si="47"/>
        <v>67000000</v>
      </c>
      <c r="S269" s="144" t="s">
        <v>222</v>
      </c>
      <c r="T269" s="140">
        <v>0</v>
      </c>
      <c r="U269" s="145" t="str">
        <f t="shared" si="48"/>
        <v>SUBDIRECCION DE GESTION CONTRACTUAL</v>
      </c>
      <c r="V269" s="132" t="str">
        <f t="shared" si="51"/>
        <v>CO-DC</v>
      </c>
      <c r="W269" s="145" t="str">
        <f t="shared" si="52"/>
        <v>Distrito Capital de Bogotá</v>
      </c>
      <c r="X269" s="146" t="s">
        <v>106</v>
      </c>
      <c r="Y269" s="147">
        <v>2427400</v>
      </c>
      <c r="Z269" s="148" t="s">
        <v>348</v>
      </c>
    </row>
    <row r="270" spans="1:26" s="7" customFormat="1" ht="12.75" customHeight="1" x14ac:dyDescent="0.2">
      <c r="A270" s="131" t="s">
        <v>99</v>
      </c>
      <c r="B270" s="132">
        <v>33</v>
      </c>
      <c r="C270" s="133" t="s">
        <v>364</v>
      </c>
      <c r="D270" s="133" t="s">
        <v>100</v>
      </c>
      <c r="E270" s="134"/>
      <c r="F270" s="134">
        <v>2224340000</v>
      </c>
      <c r="G270" s="134"/>
      <c r="H270" s="135" t="s">
        <v>101</v>
      </c>
      <c r="I270" s="136" t="s">
        <v>360</v>
      </c>
      <c r="J270" s="150">
        <v>6</v>
      </c>
      <c r="K270" s="150">
        <v>6</v>
      </c>
      <c r="L270" s="150">
        <v>6</v>
      </c>
      <c r="M270" s="132">
        <f t="shared" si="45"/>
        <v>1</v>
      </c>
      <c r="N270" s="140" t="s">
        <v>36</v>
      </c>
      <c r="O270" s="141" t="str">
        <f>IF(ISBLANK(N270),"",VLOOKUP(N270,[17]Parámetros!$G$2:$H$23,2,FALSE))</f>
        <v xml:space="preserve">Contratación directa (con ofertas) </v>
      </c>
      <c r="P270" s="142">
        <v>1</v>
      </c>
      <c r="Q270" s="143">
        <f t="shared" si="46"/>
        <v>2224340000</v>
      </c>
      <c r="R270" s="143">
        <f t="shared" si="47"/>
        <v>2224340000</v>
      </c>
      <c r="S270" s="144" t="s">
        <v>222</v>
      </c>
      <c r="T270" s="140">
        <v>0</v>
      </c>
      <c r="U270" s="145" t="str">
        <f t="shared" si="48"/>
        <v>SUBDIRECCION DE GESTION CONTRACTUAL</v>
      </c>
      <c r="V270" s="132" t="str">
        <f t="shared" si="51"/>
        <v>CO-DC</v>
      </c>
      <c r="W270" s="145" t="str">
        <f t="shared" si="52"/>
        <v>Distrito Capital de Bogotá</v>
      </c>
      <c r="X270" s="146" t="s">
        <v>106</v>
      </c>
      <c r="Y270" s="147">
        <v>2427400</v>
      </c>
      <c r="Z270" s="148" t="s">
        <v>348</v>
      </c>
    </row>
    <row r="271" spans="1:26" s="7" customFormat="1" ht="12.75" customHeight="1" x14ac:dyDescent="0.2">
      <c r="A271" s="131" t="s">
        <v>99</v>
      </c>
      <c r="B271" s="132">
        <v>34</v>
      </c>
      <c r="C271" s="133" t="s">
        <v>364</v>
      </c>
      <c r="D271" s="133" t="s">
        <v>100</v>
      </c>
      <c r="E271" s="134"/>
      <c r="F271" s="134">
        <v>150000000</v>
      </c>
      <c r="G271" s="134"/>
      <c r="H271" s="135" t="s">
        <v>105</v>
      </c>
      <c r="I271" s="136" t="s">
        <v>365</v>
      </c>
      <c r="J271" s="150">
        <v>10</v>
      </c>
      <c r="K271" s="150">
        <v>10</v>
      </c>
      <c r="L271" s="150">
        <v>2</v>
      </c>
      <c r="M271" s="132">
        <f t="shared" si="45"/>
        <v>1</v>
      </c>
      <c r="N271" s="140" t="s">
        <v>36</v>
      </c>
      <c r="O271" s="141" t="str">
        <f>IF(ISBLANK(N271),"",VLOOKUP(N271,[17]Parámetros!$G$2:$H$23,2,FALSE))</f>
        <v xml:space="preserve">Contratación directa (con ofertas) </v>
      </c>
      <c r="P271" s="142">
        <v>1</v>
      </c>
      <c r="Q271" s="143">
        <f t="shared" si="46"/>
        <v>150000000</v>
      </c>
      <c r="R271" s="143">
        <f t="shared" si="47"/>
        <v>150000000</v>
      </c>
      <c r="S271" s="144" t="s">
        <v>222</v>
      </c>
      <c r="T271" s="140">
        <v>0</v>
      </c>
      <c r="U271" s="145" t="str">
        <f t="shared" si="48"/>
        <v>SUBDIRECCION DE GESTION CONTRACTUAL</v>
      </c>
      <c r="V271" s="132" t="str">
        <f t="shared" si="51"/>
        <v>CO-DC</v>
      </c>
      <c r="W271" s="145" t="str">
        <f t="shared" si="52"/>
        <v>Distrito Capital de Bogotá</v>
      </c>
      <c r="X271" s="146" t="s">
        <v>106</v>
      </c>
      <c r="Y271" s="147">
        <v>2427400</v>
      </c>
      <c r="Z271" s="148" t="s">
        <v>348</v>
      </c>
    </row>
    <row r="272" spans="1:26" s="7" customFormat="1" ht="12.75" customHeight="1" x14ac:dyDescent="0.2">
      <c r="A272" s="131" t="s">
        <v>99</v>
      </c>
      <c r="B272" s="132">
        <v>35</v>
      </c>
      <c r="C272" s="133" t="s">
        <v>364</v>
      </c>
      <c r="D272" s="133" t="s">
        <v>100</v>
      </c>
      <c r="E272" s="134"/>
      <c r="F272" s="134">
        <v>1079500000</v>
      </c>
      <c r="G272" s="134"/>
      <c r="H272" s="135">
        <v>82111902</v>
      </c>
      <c r="I272" s="136" t="s">
        <v>366</v>
      </c>
      <c r="J272" s="150">
        <v>4</v>
      </c>
      <c r="K272" s="150">
        <v>4</v>
      </c>
      <c r="L272" s="150">
        <v>5</v>
      </c>
      <c r="M272" s="132">
        <f t="shared" si="45"/>
        <v>1</v>
      </c>
      <c r="N272" s="140" t="s">
        <v>36</v>
      </c>
      <c r="O272" s="141" t="str">
        <f>IF(ISBLANK(N272),"",VLOOKUP(N272,[17]Parámetros!$G$2:$H$23,2,FALSE))</f>
        <v xml:space="preserve">Contratación directa (con ofertas) </v>
      </c>
      <c r="P272" s="142">
        <v>1</v>
      </c>
      <c r="Q272" s="143">
        <f t="shared" si="46"/>
        <v>1079500000</v>
      </c>
      <c r="R272" s="143">
        <f t="shared" si="47"/>
        <v>1079500000</v>
      </c>
      <c r="S272" s="144" t="s">
        <v>222</v>
      </c>
      <c r="T272" s="140">
        <v>0</v>
      </c>
      <c r="U272" s="145" t="str">
        <f t="shared" si="48"/>
        <v>SUBDIRECCION DE GESTION CONTRACTUAL</v>
      </c>
      <c r="V272" s="132" t="str">
        <f t="shared" si="51"/>
        <v>CO-DC</v>
      </c>
      <c r="W272" s="145" t="str">
        <f t="shared" si="52"/>
        <v>Distrito Capital de Bogotá</v>
      </c>
      <c r="X272" s="146" t="s">
        <v>106</v>
      </c>
      <c r="Y272" s="147">
        <v>2427400</v>
      </c>
      <c r="Z272" s="148" t="s">
        <v>348</v>
      </c>
    </row>
    <row r="273" spans="1:26" s="7" customFormat="1" ht="12.75" customHeight="1" x14ac:dyDescent="0.2">
      <c r="A273" s="131" t="s">
        <v>99</v>
      </c>
      <c r="B273" s="132">
        <v>36</v>
      </c>
      <c r="C273" s="133" t="s">
        <v>364</v>
      </c>
      <c r="D273" s="133" t="s">
        <v>100</v>
      </c>
      <c r="E273" s="134"/>
      <c r="F273" s="134">
        <v>120000000</v>
      </c>
      <c r="G273" s="134"/>
      <c r="H273" s="135" t="s">
        <v>350</v>
      </c>
      <c r="I273" s="136" t="s">
        <v>367</v>
      </c>
      <c r="J273" s="150">
        <v>3</v>
      </c>
      <c r="K273" s="150">
        <v>4</v>
      </c>
      <c r="L273" s="150">
        <v>4</v>
      </c>
      <c r="M273" s="132">
        <f t="shared" si="45"/>
        <v>1</v>
      </c>
      <c r="N273" s="140" t="s">
        <v>36</v>
      </c>
      <c r="O273" s="141" t="str">
        <f>IF(ISBLANK(N273),"",VLOOKUP(N273,[17]Parámetros!$G$2:$H$23,2,FALSE))</f>
        <v xml:space="preserve">Contratación directa (con ofertas) </v>
      </c>
      <c r="P273" s="142">
        <v>1</v>
      </c>
      <c r="Q273" s="143">
        <f t="shared" si="46"/>
        <v>120000000</v>
      </c>
      <c r="R273" s="143">
        <f t="shared" si="47"/>
        <v>120000000</v>
      </c>
      <c r="S273" s="144" t="s">
        <v>222</v>
      </c>
      <c r="T273" s="140">
        <v>0</v>
      </c>
      <c r="U273" s="145" t="str">
        <f t="shared" si="48"/>
        <v>SUBDIRECCION DE GESTION CONTRACTUAL</v>
      </c>
      <c r="V273" s="132" t="str">
        <f t="shared" si="51"/>
        <v>CO-DC</v>
      </c>
      <c r="W273" s="145" t="str">
        <f t="shared" si="52"/>
        <v>Distrito Capital de Bogotá</v>
      </c>
      <c r="X273" s="146" t="s">
        <v>106</v>
      </c>
      <c r="Y273" s="147">
        <v>2427400</v>
      </c>
      <c r="Z273" s="148" t="s">
        <v>348</v>
      </c>
    </row>
    <row r="274" spans="1:26" s="7" customFormat="1" ht="12.75" customHeight="1" x14ac:dyDescent="0.2">
      <c r="A274" s="131" t="s">
        <v>99</v>
      </c>
      <c r="B274" s="132">
        <v>37</v>
      </c>
      <c r="C274" s="133" t="s">
        <v>364</v>
      </c>
      <c r="D274" s="133" t="s">
        <v>100</v>
      </c>
      <c r="E274" s="134"/>
      <c r="F274" s="134">
        <v>842356160</v>
      </c>
      <c r="G274" s="134"/>
      <c r="H274" s="135" t="s">
        <v>361</v>
      </c>
      <c r="I274" s="136" t="s">
        <v>368</v>
      </c>
      <c r="J274" s="150">
        <v>3</v>
      </c>
      <c r="K274" s="150">
        <v>4</v>
      </c>
      <c r="L274" s="150">
        <v>8</v>
      </c>
      <c r="M274" s="132">
        <f t="shared" si="45"/>
        <v>1</v>
      </c>
      <c r="N274" s="140" t="s">
        <v>36</v>
      </c>
      <c r="O274" s="141" t="str">
        <f>IF(ISBLANK(N274),"",VLOOKUP(N274,[17]Parámetros!$G$2:$H$23,2,FALSE))</f>
        <v xml:space="preserve">Contratación directa (con ofertas) </v>
      </c>
      <c r="P274" s="142">
        <v>1</v>
      </c>
      <c r="Q274" s="143">
        <f t="shared" si="46"/>
        <v>842356160</v>
      </c>
      <c r="R274" s="143">
        <f t="shared" si="47"/>
        <v>842356160</v>
      </c>
      <c r="S274" s="144" t="s">
        <v>222</v>
      </c>
      <c r="T274" s="140">
        <v>0</v>
      </c>
      <c r="U274" s="145" t="str">
        <f t="shared" si="48"/>
        <v>SUBDIRECCION DE GESTION CONTRACTUAL</v>
      </c>
      <c r="V274" s="132" t="str">
        <f t="shared" si="51"/>
        <v>CO-DC</v>
      </c>
      <c r="W274" s="145" t="str">
        <f t="shared" si="52"/>
        <v>Distrito Capital de Bogotá</v>
      </c>
      <c r="X274" s="146" t="s">
        <v>106</v>
      </c>
      <c r="Y274" s="147">
        <v>2427400</v>
      </c>
      <c r="Z274" s="148" t="s">
        <v>348</v>
      </c>
    </row>
    <row r="275" spans="1:26" s="7" customFormat="1" ht="12.75" customHeight="1" x14ac:dyDescent="0.2">
      <c r="A275" s="131" t="s">
        <v>99</v>
      </c>
      <c r="B275" s="132">
        <v>38</v>
      </c>
      <c r="C275" s="133" t="s">
        <v>364</v>
      </c>
      <c r="D275" s="133" t="s">
        <v>100</v>
      </c>
      <c r="E275" s="134"/>
      <c r="F275" s="134">
        <v>181300000</v>
      </c>
      <c r="G275" s="134"/>
      <c r="H275" s="135" t="s">
        <v>350</v>
      </c>
      <c r="I275" s="136" t="s">
        <v>367</v>
      </c>
      <c r="J275" s="150">
        <v>3</v>
      </c>
      <c r="K275" s="150">
        <v>4</v>
      </c>
      <c r="L275" s="150">
        <v>4</v>
      </c>
      <c r="M275" s="132">
        <f t="shared" si="45"/>
        <v>1</v>
      </c>
      <c r="N275" s="140" t="s">
        <v>36</v>
      </c>
      <c r="O275" s="141" t="str">
        <f>IF(ISBLANK(N275),"",VLOOKUP(N275,[17]Parámetros!$G$2:$H$23,2,FALSE))</f>
        <v xml:space="preserve">Contratación directa (con ofertas) </v>
      </c>
      <c r="P275" s="142">
        <v>1</v>
      </c>
      <c r="Q275" s="143">
        <f t="shared" si="46"/>
        <v>181300000</v>
      </c>
      <c r="R275" s="143">
        <f t="shared" si="47"/>
        <v>181300000</v>
      </c>
      <c r="S275" s="144" t="s">
        <v>222</v>
      </c>
      <c r="T275" s="140">
        <v>0</v>
      </c>
      <c r="U275" s="145" t="str">
        <f t="shared" si="48"/>
        <v>SUBDIRECCION DE GESTION CONTRACTUAL</v>
      </c>
      <c r="V275" s="132" t="str">
        <f t="shared" si="51"/>
        <v>CO-DC</v>
      </c>
      <c r="W275" s="145" t="str">
        <f t="shared" si="52"/>
        <v>Distrito Capital de Bogotá</v>
      </c>
      <c r="X275" s="146" t="s">
        <v>106</v>
      </c>
      <c r="Y275" s="147">
        <v>2427400</v>
      </c>
      <c r="Z275" s="148" t="s">
        <v>348</v>
      </c>
    </row>
    <row r="276" spans="1:26" s="7" customFormat="1" ht="12.75" customHeight="1" x14ac:dyDescent="0.2">
      <c r="A276" s="131" t="s">
        <v>99</v>
      </c>
      <c r="B276" s="132">
        <v>39</v>
      </c>
      <c r="C276" s="133" t="s">
        <v>369</v>
      </c>
      <c r="D276" s="133" t="s">
        <v>100</v>
      </c>
      <c r="E276" s="134"/>
      <c r="F276" s="134">
        <v>444400000</v>
      </c>
      <c r="G276" s="134"/>
      <c r="H276" s="135">
        <v>80111600</v>
      </c>
      <c r="I276" s="136" t="s">
        <v>347</v>
      </c>
      <c r="J276" s="150">
        <v>1</v>
      </c>
      <c r="K276" s="150">
        <v>1</v>
      </c>
      <c r="L276" s="150">
        <v>12</v>
      </c>
      <c r="M276" s="132">
        <f t="shared" si="45"/>
        <v>1</v>
      </c>
      <c r="N276" s="140" t="s">
        <v>216</v>
      </c>
      <c r="O276" s="141" t="str">
        <f>IF(ISBLANK(N276),"",VLOOKUP(N276,[17]Parámetros!$G$2:$H$23,2,FALSE))</f>
        <v>Contratación directa.</v>
      </c>
      <c r="P276" s="142">
        <f>IF(ISBLANK(N276),"",1)</f>
        <v>1</v>
      </c>
      <c r="Q276" s="143">
        <f t="shared" si="46"/>
        <v>444400000</v>
      </c>
      <c r="R276" s="143">
        <f t="shared" si="47"/>
        <v>444400000</v>
      </c>
      <c r="S276" s="144" t="s">
        <v>222</v>
      </c>
      <c r="T276" s="140">
        <f>IF(ISBLANK(S276),"",IF(VALUE(S276)=0,0,IF(VALUE(S276)=1,3,"")))</f>
        <v>0</v>
      </c>
      <c r="U276" s="145" t="str">
        <f t="shared" si="48"/>
        <v>SUBDIRECCION DE GESTION CONTRACTUAL</v>
      </c>
      <c r="V276" s="132" t="str">
        <f t="shared" si="51"/>
        <v>CO-DC</v>
      </c>
      <c r="W276" s="145" t="str">
        <f t="shared" si="52"/>
        <v>Distrito Capital de Bogotá</v>
      </c>
      <c r="X276" s="146" t="s">
        <v>106</v>
      </c>
      <c r="Y276" s="147">
        <v>2427400</v>
      </c>
      <c r="Z276" s="148" t="s">
        <v>348</v>
      </c>
    </row>
    <row r="277" spans="1:26" s="7" customFormat="1" ht="12.75" customHeight="1" x14ac:dyDescent="0.2">
      <c r="A277" s="131" t="s">
        <v>99</v>
      </c>
      <c r="B277" s="132">
        <v>40</v>
      </c>
      <c r="C277" s="133" t="s">
        <v>369</v>
      </c>
      <c r="D277" s="133" t="s">
        <v>100</v>
      </c>
      <c r="E277" s="134"/>
      <c r="F277" s="134">
        <v>48000000</v>
      </c>
      <c r="G277" s="134"/>
      <c r="H277" s="135" t="s">
        <v>42</v>
      </c>
      <c r="I277" s="136" t="s">
        <v>353</v>
      </c>
      <c r="J277" s="137">
        <v>3</v>
      </c>
      <c r="K277" s="138">
        <v>4</v>
      </c>
      <c r="L277" s="139">
        <v>9</v>
      </c>
      <c r="M277" s="132">
        <f t="shared" si="45"/>
        <v>1</v>
      </c>
      <c r="N277" s="140" t="s">
        <v>61</v>
      </c>
      <c r="O277" s="141" t="str">
        <f>IF(ISBLANK(N277),"",VLOOKUP(N277,[15]Parámetros!$G$2:$H$23,2,FALSE))</f>
        <v>Contratación régimen especial - Selección de comisionista</v>
      </c>
      <c r="P277" s="142">
        <v>1</v>
      </c>
      <c r="Q277" s="143">
        <f t="shared" si="46"/>
        <v>48000000</v>
      </c>
      <c r="R277" s="143">
        <f t="shared" si="47"/>
        <v>48000000</v>
      </c>
      <c r="S277" s="144" t="s">
        <v>222</v>
      </c>
      <c r="T277" s="140">
        <v>0</v>
      </c>
      <c r="U277" s="145" t="str">
        <f t="shared" si="48"/>
        <v>SUBDIRECCION DE GESTION CONTRACTUAL</v>
      </c>
      <c r="V277" s="132" t="str">
        <f t="shared" si="51"/>
        <v>CO-DC</v>
      </c>
      <c r="W277" s="145" t="str">
        <f t="shared" si="52"/>
        <v>Distrito Capital de Bogotá</v>
      </c>
      <c r="X277" s="146" t="s">
        <v>106</v>
      </c>
      <c r="Y277" s="147">
        <v>2427400</v>
      </c>
      <c r="Z277" s="148" t="s">
        <v>348</v>
      </c>
    </row>
    <row r="278" spans="1:26" s="7" customFormat="1" ht="12.75" customHeight="1" x14ac:dyDescent="0.2">
      <c r="A278" s="131" t="s">
        <v>99</v>
      </c>
      <c r="B278" s="132">
        <v>41</v>
      </c>
      <c r="C278" s="133" t="s">
        <v>369</v>
      </c>
      <c r="D278" s="133" t="s">
        <v>100</v>
      </c>
      <c r="E278" s="134"/>
      <c r="F278" s="134">
        <f>1052189720-15000000</f>
        <v>1037189720</v>
      </c>
      <c r="G278" s="134"/>
      <c r="H278" s="135" t="s">
        <v>752</v>
      </c>
      <c r="I278" s="136" t="s">
        <v>349</v>
      </c>
      <c r="J278" s="137">
        <v>2</v>
      </c>
      <c r="K278" s="138">
        <v>3</v>
      </c>
      <c r="L278" s="139">
        <v>9</v>
      </c>
      <c r="M278" s="132">
        <f t="shared" si="45"/>
        <v>1</v>
      </c>
      <c r="N278" s="140" t="s">
        <v>226</v>
      </c>
      <c r="O278" s="141" t="str">
        <f>IF(ISBLANK(N278),"",VLOOKUP(N278,[17]Parámetros!$G$2:$H$23,2,FALSE))</f>
        <v>Licitación pública</v>
      </c>
      <c r="P278" s="142">
        <v>1</v>
      </c>
      <c r="Q278" s="143">
        <f t="shared" si="46"/>
        <v>1037189720</v>
      </c>
      <c r="R278" s="143">
        <f t="shared" si="47"/>
        <v>1037189720</v>
      </c>
      <c r="S278" s="144" t="s">
        <v>222</v>
      </c>
      <c r="T278" s="140">
        <v>0</v>
      </c>
      <c r="U278" s="145" t="str">
        <f t="shared" si="48"/>
        <v>SUBDIRECCION DE GESTION CONTRACTUAL</v>
      </c>
      <c r="V278" s="132" t="str">
        <f t="shared" si="51"/>
        <v>CO-DC</v>
      </c>
      <c r="W278" s="145" t="str">
        <f t="shared" si="52"/>
        <v>Distrito Capital de Bogotá</v>
      </c>
      <c r="X278" s="146" t="s">
        <v>106</v>
      </c>
      <c r="Y278" s="147">
        <v>2427400</v>
      </c>
      <c r="Z278" s="148" t="s">
        <v>348</v>
      </c>
    </row>
    <row r="279" spans="1:26" s="7" customFormat="1" ht="12.75" customHeight="1" x14ac:dyDescent="0.2">
      <c r="A279" s="131" t="s">
        <v>99</v>
      </c>
      <c r="B279" s="132">
        <v>42</v>
      </c>
      <c r="C279" s="133" t="s">
        <v>369</v>
      </c>
      <c r="D279" s="133" t="s">
        <v>100</v>
      </c>
      <c r="E279" s="134"/>
      <c r="F279" s="134">
        <v>35000000</v>
      </c>
      <c r="G279" s="134"/>
      <c r="H279" s="135" t="s">
        <v>752</v>
      </c>
      <c r="I279" s="136" t="s">
        <v>349</v>
      </c>
      <c r="J279" s="160">
        <v>2</v>
      </c>
      <c r="K279" s="160">
        <v>3</v>
      </c>
      <c r="L279" s="160">
        <v>9</v>
      </c>
      <c r="M279" s="132">
        <f t="shared" si="45"/>
        <v>1</v>
      </c>
      <c r="N279" s="140" t="s">
        <v>226</v>
      </c>
      <c r="O279" s="141" t="str">
        <f>IF(ISBLANK(N279),"",VLOOKUP(N279,[17]Parámetros!$G$2:$H$23,2,FALSE))</f>
        <v>Licitación pública</v>
      </c>
      <c r="P279" s="142">
        <v>1</v>
      </c>
      <c r="Q279" s="143">
        <f t="shared" si="46"/>
        <v>35000000</v>
      </c>
      <c r="R279" s="143">
        <f t="shared" si="47"/>
        <v>35000000</v>
      </c>
      <c r="S279" s="144" t="s">
        <v>222</v>
      </c>
      <c r="T279" s="140">
        <v>0</v>
      </c>
      <c r="U279" s="145" t="str">
        <f t="shared" si="48"/>
        <v>SUBDIRECCION DE GESTION CONTRACTUAL</v>
      </c>
      <c r="V279" s="132" t="str">
        <f t="shared" si="51"/>
        <v>CO-DC</v>
      </c>
      <c r="W279" s="145" t="str">
        <f t="shared" si="52"/>
        <v>Distrito Capital de Bogotá</v>
      </c>
      <c r="X279" s="146" t="s">
        <v>106</v>
      </c>
      <c r="Y279" s="147">
        <v>2427400</v>
      </c>
      <c r="Z279" s="148" t="s">
        <v>348</v>
      </c>
    </row>
    <row r="280" spans="1:26" s="7" customFormat="1" ht="12.75" customHeight="1" x14ac:dyDescent="0.2">
      <c r="A280" s="131" t="s">
        <v>99</v>
      </c>
      <c r="B280" s="132">
        <v>43</v>
      </c>
      <c r="C280" s="133" t="s">
        <v>369</v>
      </c>
      <c r="D280" s="133" t="s">
        <v>100</v>
      </c>
      <c r="E280" s="134"/>
      <c r="F280" s="134">
        <v>50000000</v>
      </c>
      <c r="G280" s="134"/>
      <c r="H280" s="135" t="s">
        <v>604</v>
      </c>
      <c r="I280" s="136" t="s">
        <v>354</v>
      </c>
      <c r="J280" s="137">
        <v>2</v>
      </c>
      <c r="K280" s="138">
        <v>2</v>
      </c>
      <c r="L280" s="139">
        <v>10</v>
      </c>
      <c r="M280" s="132">
        <f t="shared" si="45"/>
        <v>1</v>
      </c>
      <c r="N280" s="140" t="s">
        <v>36</v>
      </c>
      <c r="O280" s="141" t="str">
        <f>IF(ISBLANK(N280),"",VLOOKUP(N280,[17]Parámetros!$G$2:$H$23,2,FALSE))</f>
        <v xml:space="preserve">Contratación directa (con ofertas) </v>
      </c>
      <c r="P280" s="142">
        <v>1</v>
      </c>
      <c r="Q280" s="143">
        <f t="shared" si="46"/>
        <v>50000000</v>
      </c>
      <c r="R280" s="143">
        <f t="shared" si="47"/>
        <v>50000000</v>
      </c>
      <c r="S280" s="144" t="s">
        <v>222</v>
      </c>
      <c r="T280" s="140">
        <v>0</v>
      </c>
      <c r="U280" s="145" t="str">
        <f t="shared" si="48"/>
        <v>SUBDIRECCION DE GESTION CONTRACTUAL</v>
      </c>
      <c r="V280" s="132" t="str">
        <f t="shared" si="51"/>
        <v>CO-DC</v>
      </c>
      <c r="W280" s="145" t="str">
        <f t="shared" si="52"/>
        <v>Distrito Capital de Bogotá</v>
      </c>
      <c r="X280" s="146" t="s">
        <v>307</v>
      </c>
      <c r="Y280" s="132">
        <v>2427400</v>
      </c>
      <c r="Z280" s="148" t="s">
        <v>94</v>
      </c>
    </row>
    <row r="281" spans="1:26" s="7" customFormat="1" ht="12.75" customHeight="1" x14ac:dyDescent="0.2">
      <c r="A281" s="131" t="s">
        <v>99</v>
      </c>
      <c r="B281" s="132">
        <v>44</v>
      </c>
      <c r="C281" s="133" t="s">
        <v>369</v>
      </c>
      <c r="D281" s="133" t="s">
        <v>100</v>
      </c>
      <c r="E281" s="134"/>
      <c r="F281" s="134">
        <v>1000000000</v>
      </c>
      <c r="G281" s="134"/>
      <c r="H281" s="135" t="s">
        <v>370</v>
      </c>
      <c r="I281" s="136" t="s">
        <v>371</v>
      </c>
      <c r="J281" s="150">
        <v>3</v>
      </c>
      <c r="K281" s="150">
        <v>4</v>
      </c>
      <c r="L281" s="150">
        <v>8</v>
      </c>
      <c r="M281" s="132">
        <f t="shared" si="45"/>
        <v>1</v>
      </c>
      <c r="N281" s="140" t="s">
        <v>36</v>
      </c>
      <c r="O281" s="141" t="str">
        <f>IF(ISBLANK(N281),"",VLOOKUP(N281,[17]Parámetros!$G$2:$H$23,2,FALSE))</f>
        <v xml:space="preserve">Contratación directa (con ofertas) </v>
      </c>
      <c r="P281" s="142">
        <v>1</v>
      </c>
      <c r="Q281" s="143">
        <f t="shared" si="46"/>
        <v>1000000000</v>
      </c>
      <c r="R281" s="143">
        <f t="shared" si="47"/>
        <v>1000000000</v>
      </c>
      <c r="S281" s="144" t="s">
        <v>222</v>
      </c>
      <c r="T281" s="140">
        <v>0</v>
      </c>
      <c r="U281" s="145" t="str">
        <f t="shared" si="48"/>
        <v>SUBDIRECCION DE GESTION CONTRACTUAL</v>
      </c>
      <c r="V281" s="132" t="str">
        <f t="shared" si="51"/>
        <v>CO-DC</v>
      </c>
      <c r="W281" s="145" t="str">
        <f t="shared" si="52"/>
        <v>Distrito Capital de Bogotá</v>
      </c>
      <c r="X281" s="146" t="s">
        <v>106</v>
      </c>
      <c r="Y281" s="147">
        <v>2427400</v>
      </c>
      <c r="Z281" s="148" t="s">
        <v>348</v>
      </c>
    </row>
    <row r="282" spans="1:26" s="7" customFormat="1" ht="12.75" customHeight="1" x14ac:dyDescent="0.2">
      <c r="A282" s="131" t="s">
        <v>99</v>
      </c>
      <c r="B282" s="132">
        <v>45</v>
      </c>
      <c r="C282" s="133" t="s">
        <v>372</v>
      </c>
      <c r="D282" s="133" t="s">
        <v>100</v>
      </c>
      <c r="E282" s="134"/>
      <c r="F282" s="134">
        <f>398200000+151400000</f>
        <v>549600000</v>
      </c>
      <c r="G282" s="134"/>
      <c r="H282" s="135">
        <v>80111600</v>
      </c>
      <c r="I282" s="136" t="s">
        <v>347</v>
      </c>
      <c r="J282" s="150">
        <v>1</v>
      </c>
      <c r="K282" s="150">
        <v>1</v>
      </c>
      <c r="L282" s="150">
        <v>12</v>
      </c>
      <c r="M282" s="132">
        <f t="shared" si="45"/>
        <v>1</v>
      </c>
      <c r="N282" s="140" t="s">
        <v>216</v>
      </c>
      <c r="O282" s="141" t="str">
        <f>IF(ISBLANK(N282),"",VLOOKUP(N282,[17]Parámetros!$G$2:$H$23,2,FALSE))</f>
        <v>Contratación directa.</v>
      </c>
      <c r="P282" s="142">
        <f>IF(ISBLANK(N282),"",1)</f>
        <v>1</v>
      </c>
      <c r="Q282" s="143">
        <f t="shared" si="46"/>
        <v>549600000</v>
      </c>
      <c r="R282" s="143">
        <f t="shared" si="47"/>
        <v>549600000</v>
      </c>
      <c r="S282" s="144" t="s">
        <v>222</v>
      </c>
      <c r="T282" s="140">
        <f>IF(ISBLANK(S282),"",IF(VALUE(S282)=0,0,IF(VALUE(S282)=1,3,"")))</f>
        <v>0</v>
      </c>
      <c r="U282" s="145" t="str">
        <f t="shared" si="48"/>
        <v>SUBDIRECCION DE GESTION CONTRACTUAL</v>
      </c>
      <c r="V282" s="132" t="str">
        <f t="shared" si="51"/>
        <v>CO-DC</v>
      </c>
      <c r="W282" s="145" t="str">
        <f t="shared" si="52"/>
        <v>Distrito Capital de Bogotá</v>
      </c>
      <c r="X282" s="146" t="s">
        <v>106</v>
      </c>
      <c r="Y282" s="147">
        <v>2427400</v>
      </c>
      <c r="Z282" s="148" t="s">
        <v>348</v>
      </c>
    </row>
    <row r="283" spans="1:26" s="7" customFormat="1" ht="12.75" customHeight="1" x14ac:dyDescent="0.2">
      <c r="A283" s="131" t="s">
        <v>99</v>
      </c>
      <c r="B283" s="132">
        <v>46</v>
      </c>
      <c r="C283" s="133" t="s">
        <v>372</v>
      </c>
      <c r="D283" s="133" t="s">
        <v>100</v>
      </c>
      <c r="E283" s="134"/>
      <c r="F283" s="134">
        <v>65000000</v>
      </c>
      <c r="G283" s="134"/>
      <c r="H283" s="135" t="s">
        <v>42</v>
      </c>
      <c r="I283" s="136" t="s">
        <v>353</v>
      </c>
      <c r="J283" s="137">
        <v>3</v>
      </c>
      <c r="K283" s="138">
        <v>4</v>
      </c>
      <c r="L283" s="139">
        <v>9</v>
      </c>
      <c r="M283" s="132">
        <f t="shared" si="45"/>
        <v>1</v>
      </c>
      <c r="N283" s="140" t="s">
        <v>61</v>
      </c>
      <c r="O283" s="141" t="str">
        <f>IF(ISBLANK(N283),"",VLOOKUP(N283,[15]Parámetros!$G$2:$H$23,2,FALSE))</f>
        <v>Contratación régimen especial - Selección de comisionista</v>
      </c>
      <c r="P283" s="142">
        <v>1</v>
      </c>
      <c r="Q283" s="143">
        <f t="shared" si="46"/>
        <v>65000000</v>
      </c>
      <c r="R283" s="143">
        <f t="shared" si="47"/>
        <v>65000000</v>
      </c>
      <c r="S283" s="144" t="s">
        <v>222</v>
      </c>
      <c r="T283" s="140">
        <v>0</v>
      </c>
      <c r="U283" s="145" t="str">
        <f t="shared" si="48"/>
        <v>SUBDIRECCION DE GESTION CONTRACTUAL</v>
      </c>
      <c r="V283" s="132" t="str">
        <f t="shared" si="51"/>
        <v>CO-DC</v>
      </c>
      <c r="W283" s="145" t="str">
        <f t="shared" si="52"/>
        <v>Distrito Capital de Bogotá</v>
      </c>
      <c r="X283" s="146" t="s">
        <v>106</v>
      </c>
      <c r="Y283" s="147">
        <v>2427400</v>
      </c>
      <c r="Z283" s="148" t="s">
        <v>348</v>
      </c>
    </row>
    <row r="284" spans="1:26" s="7" customFormat="1" ht="12.75" customHeight="1" x14ac:dyDescent="0.2">
      <c r="A284" s="131" t="s">
        <v>99</v>
      </c>
      <c r="B284" s="132">
        <v>47</v>
      </c>
      <c r="C284" s="133" t="s">
        <v>372</v>
      </c>
      <c r="D284" s="133" t="s">
        <v>100</v>
      </c>
      <c r="E284" s="134"/>
      <c r="F284" s="134">
        <v>546887000</v>
      </c>
      <c r="G284" s="134"/>
      <c r="H284" s="135" t="s">
        <v>752</v>
      </c>
      <c r="I284" s="136" t="s">
        <v>349</v>
      </c>
      <c r="J284" s="137">
        <v>2</v>
      </c>
      <c r="K284" s="138">
        <v>3</v>
      </c>
      <c r="L284" s="139">
        <v>9</v>
      </c>
      <c r="M284" s="132">
        <f t="shared" ref="M284:M351" si="54">IF(ISBLANK(J284),"",1)</f>
        <v>1</v>
      </c>
      <c r="N284" s="140" t="s">
        <v>226</v>
      </c>
      <c r="O284" s="141" t="str">
        <f>IF(ISBLANK(N284),"",VLOOKUP(N284,[17]Parámetros!$G$2:$H$23,2,FALSE))</f>
        <v>Licitación pública</v>
      </c>
      <c r="P284" s="142">
        <v>1</v>
      </c>
      <c r="Q284" s="143">
        <f t="shared" ref="Q284:Q351" si="55">+E284+F284+G284</f>
        <v>546887000</v>
      </c>
      <c r="R284" s="143">
        <f t="shared" ref="R284:R351" si="56">+F284</f>
        <v>546887000</v>
      </c>
      <c r="S284" s="144" t="s">
        <v>222</v>
      </c>
      <c r="T284" s="140">
        <v>0</v>
      </c>
      <c r="U284" s="145" t="str">
        <f t="shared" ref="U284:U351" si="57">IF(ISBLANK(N284),"","SUBDIRECCION DE GESTION CONTRACTUAL")</f>
        <v>SUBDIRECCION DE GESTION CONTRACTUAL</v>
      </c>
      <c r="V284" s="132" t="str">
        <f t="shared" si="51"/>
        <v>CO-DC</v>
      </c>
      <c r="W284" s="145" t="str">
        <f t="shared" si="52"/>
        <v>Distrito Capital de Bogotá</v>
      </c>
      <c r="X284" s="146" t="s">
        <v>106</v>
      </c>
      <c r="Y284" s="147">
        <v>2427400</v>
      </c>
      <c r="Z284" s="148" t="s">
        <v>348</v>
      </c>
    </row>
    <row r="285" spans="1:26" s="7" customFormat="1" ht="12.75" customHeight="1" x14ac:dyDescent="0.2">
      <c r="A285" s="131" t="s">
        <v>99</v>
      </c>
      <c r="B285" s="132">
        <v>48</v>
      </c>
      <c r="C285" s="133" t="s">
        <v>372</v>
      </c>
      <c r="D285" s="133" t="s">
        <v>100</v>
      </c>
      <c r="E285" s="134"/>
      <c r="F285" s="134">
        <v>30000000</v>
      </c>
      <c r="G285" s="134"/>
      <c r="H285" s="135" t="s">
        <v>752</v>
      </c>
      <c r="I285" s="136" t="s">
        <v>349</v>
      </c>
      <c r="J285" s="160">
        <v>2</v>
      </c>
      <c r="K285" s="160">
        <v>3</v>
      </c>
      <c r="L285" s="160">
        <v>9</v>
      </c>
      <c r="M285" s="132">
        <f t="shared" si="54"/>
        <v>1</v>
      </c>
      <c r="N285" s="140" t="s">
        <v>226</v>
      </c>
      <c r="O285" s="141" t="str">
        <f>IF(ISBLANK(N285),"",VLOOKUP(N285,[17]Parámetros!$G$2:$H$23,2,FALSE))</f>
        <v>Licitación pública</v>
      </c>
      <c r="P285" s="142">
        <v>1</v>
      </c>
      <c r="Q285" s="143">
        <f t="shared" si="55"/>
        <v>30000000</v>
      </c>
      <c r="R285" s="143">
        <f t="shared" si="56"/>
        <v>30000000</v>
      </c>
      <c r="S285" s="144" t="s">
        <v>222</v>
      </c>
      <c r="T285" s="140">
        <v>0</v>
      </c>
      <c r="U285" s="145" t="str">
        <f t="shared" si="57"/>
        <v>SUBDIRECCION DE GESTION CONTRACTUAL</v>
      </c>
      <c r="V285" s="132" t="str">
        <f t="shared" si="51"/>
        <v>CO-DC</v>
      </c>
      <c r="W285" s="145" t="str">
        <f t="shared" si="52"/>
        <v>Distrito Capital de Bogotá</v>
      </c>
      <c r="X285" s="146" t="s">
        <v>106</v>
      </c>
      <c r="Y285" s="147">
        <v>2427400</v>
      </c>
      <c r="Z285" s="148" t="s">
        <v>348</v>
      </c>
    </row>
    <row r="286" spans="1:26" s="7" customFormat="1" ht="12.75" customHeight="1" x14ac:dyDescent="0.2">
      <c r="A286" s="131" t="s">
        <v>99</v>
      </c>
      <c r="B286" s="132">
        <v>49</v>
      </c>
      <c r="C286" s="133" t="s">
        <v>372</v>
      </c>
      <c r="D286" s="133" t="s">
        <v>100</v>
      </c>
      <c r="E286" s="134"/>
      <c r="F286" s="134">
        <v>100000000</v>
      </c>
      <c r="G286" s="134"/>
      <c r="H286" s="135" t="s">
        <v>604</v>
      </c>
      <c r="I286" s="136" t="s">
        <v>354</v>
      </c>
      <c r="J286" s="137">
        <v>2</v>
      </c>
      <c r="K286" s="138">
        <v>2</v>
      </c>
      <c r="L286" s="139">
        <v>10</v>
      </c>
      <c r="M286" s="132">
        <f t="shared" si="54"/>
        <v>1</v>
      </c>
      <c r="N286" s="140" t="s">
        <v>36</v>
      </c>
      <c r="O286" s="141" t="str">
        <f>IF(ISBLANK(N286),"",VLOOKUP(N286,[17]Parámetros!$G$2:$H$23,2,FALSE))</f>
        <v xml:space="preserve">Contratación directa (con ofertas) </v>
      </c>
      <c r="P286" s="142">
        <v>1</v>
      </c>
      <c r="Q286" s="143">
        <f t="shared" si="55"/>
        <v>100000000</v>
      </c>
      <c r="R286" s="143">
        <f t="shared" si="56"/>
        <v>100000000</v>
      </c>
      <c r="S286" s="144" t="s">
        <v>222</v>
      </c>
      <c r="T286" s="140">
        <v>0</v>
      </c>
      <c r="U286" s="145" t="str">
        <f t="shared" si="57"/>
        <v>SUBDIRECCION DE GESTION CONTRACTUAL</v>
      </c>
      <c r="V286" s="132" t="str">
        <f t="shared" si="51"/>
        <v>CO-DC</v>
      </c>
      <c r="W286" s="145" t="str">
        <f t="shared" si="52"/>
        <v>Distrito Capital de Bogotá</v>
      </c>
      <c r="X286" s="146" t="s">
        <v>307</v>
      </c>
      <c r="Y286" s="132">
        <v>2427400</v>
      </c>
      <c r="Z286" s="148" t="s">
        <v>94</v>
      </c>
    </row>
    <row r="287" spans="1:26" s="7" customFormat="1" ht="12.75" customHeight="1" x14ac:dyDescent="0.2">
      <c r="A287" s="131" t="s">
        <v>99</v>
      </c>
      <c r="B287" s="132">
        <v>50</v>
      </c>
      <c r="C287" s="133" t="s">
        <v>372</v>
      </c>
      <c r="D287" s="133" t="s">
        <v>100</v>
      </c>
      <c r="E287" s="134"/>
      <c r="F287" s="134">
        <f>151400000-151400000</f>
        <v>0</v>
      </c>
      <c r="G287" s="134"/>
      <c r="H287" s="135" t="s">
        <v>101</v>
      </c>
      <c r="I287" s="136" t="s">
        <v>360</v>
      </c>
      <c r="J287" s="150">
        <v>6</v>
      </c>
      <c r="K287" s="150">
        <v>6</v>
      </c>
      <c r="L287" s="150">
        <v>6</v>
      </c>
      <c r="M287" s="132">
        <f t="shared" si="54"/>
        <v>1</v>
      </c>
      <c r="N287" s="140" t="s">
        <v>36</v>
      </c>
      <c r="O287" s="141" t="str">
        <f>IF(ISBLANK(N287),"",VLOOKUP(N287,[17]Parámetros!$G$2:$H$23,2,FALSE))</f>
        <v xml:space="preserve">Contratación directa (con ofertas) </v>
      </c>
      <c r="P287" s="142">
        <v>1</v>
      </c>
      <c r="Q287" s="143">
        <f t="shared" si="55"/>
        <v>0</v>
      </c>
      <c r="R287" s="143">
        <f t="shared" si="56"/>
        <v>0</v>
      </c>
      <c r="S287" s="144" t="s">
        <v>222</v>
      </c>
      <c r="T287" s="140">
        <v>0</v>
      </c>
      <c r="U287" s="145" t="str">
        <f t="shared" si="57"/>
        <v>SUBDIRECCION DE GESTION CONTRACTUAL</v>
      </c>
      <c r="V287" s="132" t="str">
        <f t="shared" si="51"/>
        <v>CO-DC</v>
      </c>
      <c r="W287" s="145" t="str">
        <f t="shared" si="52"/>
        <v>Distrito Capital de Bogotá</v>
      </c>
      <c r="X287" s="146" t="s">
        <v>106</v>
      </c>
      <c r="Y287" s="147">
        <v>2427400</v>
      </c>
      <c r="Z287" s="148" t="s">
        <v>348</v>
      </c>
    </row>
    <row r="288" spans="1:26" s="7" customFormat="1" ht="12.75" customHeight="1" x14ac:dyDescent="0.2">
      <c r="A288" s="131" t="s">
        <v>99</v>
      </c>
      <c r="B288" s="132">
        <v>51</v>
      </c>
      <c r="C288" s="133" t="s">
        <v>373</v>
      </c>
      <c r="D288" s="133" t="s">
        <v>100</v>
      </c>
      <c r="E288" s="134"/>
      <c r="F288" s="134">
        <v>406000000</v>
      </c>
      <c r="G288" s="134"/>
      <c r="H288" s="135">
        <v>80111600</v>
      </c>
      <c r="I288" s="136" t="s">
        <v>347</v>
      </c>
      <c r="J288" s="150">
        <v>1</v>
      </c>
      <c r="K288" s="150">
        <v>1</v>
      </c>
      <c r="L288" s="150">
        <v>12</v>
      </c>
      <c r="M288" s="132">
        <f t="shared" si="54"/>
        <v>1</v>
      </c>
      <c r="N288" s="140" t="s">
        <v>216</v>
      </c>
      <c r="O288" s="141" t="str">
        <f>IF(ISBLANK(N288),"",VLOOKUP(N288,[17]Parámetros!$G$2:$H$23,2,FALSE))</f>
        <v>Contratación directa.</v>
      </c>
      <c r="P288" s="142">
        <f>IF(ISBLANK(N288),"",1)</f>
        <v>1</v>
      </c>
      <c r="Q288" s="143">
        <f t="shared" si="55"/>
        <v>406000000</v>
      </c>
      <c r="R288" s="143">
        <f t="shared" si="56"/>
        <v>406000000</v>
      </c>
      <c r="S288" s="144" t="s">
        <v>222</v>
      </c>
      <c r="T288" s="140">
        <f>IF(ISBLANK(S288),"",IF(VALUE(S288)=0,0,IF(VALUE(S288)=1,3,"")))</f>
        <v>0</v>
      </c>
      <c r="U288" s="145" t="str">
        <f t="shared" si="57"/>
        <v>SUBDIRECCION DE GESTION CONTRACTUAL</v>
      </c>
      <c r="V288" s="132" t="str">
        <f t="shared" si="51"/>
        <v>CO-DC</v>
      </c>
      <c r="W288" s="145" t="str">
        <f t="shared" si="52"/>
        <v>Distrito Capital de Bogotá</v>
      </c>
      <c r="X288" s="146" t="s">
        <v>106</v>
      </c>
      <c r="Y288" s="147">
        <v>2427400</v>
      </c>
      <c r="Z288" s="148" t="s">
        <v>348</v>
      </c>
    </row>
    <row r="289" spans="1:26" s="7" customFormat="1" ht="12.75" customHeight="1" x14ac:dyDescent="0.2">
      <c r="A289" s="131" t="s">
        <v>99</v>
      </c>
      <c r="B289" s="132">
        <v>52</v>
      </c>
      <c r="C289" s="133" t="s">
        <v>373</v>
      </c>
      <c r="D289" s="133" t="s">
        <v>100</v>
      </c>
      <c r="E289" s="134"/>
      <c r="F289" s="134">
        <v>73920000</v>
      </c>
      <c r="G289" s="134"/>
      <c r="H289" s="135" t="s">
        <v>42</v>
      </c>
      <c r="I289" s="136" t="s">
        <v>353</v>
      </c>
      <c r="J289" s="137">
        <v>3</v>
      </c>
      <c r="K289" s="138">
        <v>4</v>
      </c>
      <c r="L289" s="139">
        <v>9</v>
      </c>
      <c r="M289" s="132">
        <f t="shared" si="54"/>
        <v>1</v>
      </c>
      <c r="N289" s="140" t="s">
        <v>61</v>
      </c>
      <c r="O289" s="141" t="str">
        <f>IF(ISBLANK(N289),"",VLOOKUP(N289,[15]Parámetros!$G$2:$H$23,2,FALSE))</f>
        <v>Contratación régimen especial - Selección de comisionista</v>
      </c>
      <c r="P289" s="142">
        <v>1</v>
      </c>
      <c r="Q289" s="143">
        <f t="shared" si="55"/>
        <v>73920000</v>
      </c>
      <c r="R289" s="143">
        <f t="shared" si="56"/>
        <v>73920000</v>
      </c>
      <c r="S289" s="144" t="s">
        <v>222</v>
      </c>
      <c r="T289" s="140">
        <v>0</v>
      </c>
      <c r="U289" s="145" t="str">
        <f t="shared" si="57"/>
        <v>SUBDIRECCION DE GESTION CONTRACTUAL</v>
      </c>
      <c r="V289" s="132" t="str">
        <f t="shared" si="51"/>
        <v>CO-DC</v>
      </c>
      <c r="W289" s="145" t="str">
        <f t="shared" si="52"/>
        <v>Distrito Capital de Bogotá</v>
      </c>
      <c r="X289" s="146" t="s">
        <v>106</v>
      </c>
      <c r="Y289" s="147">
        <v>2427400</v>
      </c>
      <c r="Z289" s="148" t="s">
        <v>348</v>
      </c>
    </row>
    <row r="290" spans="1:26" s="7" customFormat="1" ht="12.75" customHeight="1" x14ac:dyDescent="0.2">
      <c r="A290" s="131" t="s">
        <v>99</v>
      </c>
      <c r="B290" s="132">
        <v>53</v>
      </c>
      <c r="C290" s="133" t="s">
        <v>373</v>
      </c>
      <c r="D290" s="133" t="s">
        <v>100</v>
      </c>
      <c r="E290" s="134"/>
      <c r="F290" s="134">
        <v>469069720</v>
      </c>
      <c r="G290" s="134"/>
      <c r="H290" s="135" t="s">
        <v>752</v>
      </c>
      <c r="I290" s="136" t="s">
        <v>349</v>
      </c>
      <c r="J290" s="137">
        <v>2</v>
      </c>
      <c r="K290" s="138">
        <v>3</v>
      </c>
      <c r="L290" s="139">
        <v>9</v>
      </c>
      <c r="M290" s="132">
        <f t="shared" si="54"/>
        <v>1</v>
      </c>
      <c r="N290" s="140" t="s">
        <v>226</v>
      </c>
      <c r="O290" s="141" t="str">
        <f>IF(ISBLANK(N290),"",VLOOKUP(N290,[17]Parámetros!$G$2:$H$23,2,FALSE))</f>
        <v>Licitación pública</v>
      </c>
      <c r="P290" s="142">
        <v>1</v>
      </c>
      <c r="Q290" s="143">
        <f t="shared" si="55"/>
        <v>469069720</v>
      </c>
      <c r="R290" s="143">
        <f t="shared" si="56"/>
        <v>469069720</v>
      </c>
      <c r="S290" s="144" t="s">
        <v>222</v>
      </c>
      <c r="T290" s="140">
        <v>0</v>
      </c>
      <c r="U290" s="145" t="str">
        <f t="shared" si="57"/>
        <v>SUBDIRECCION DE GESTION CONTRACTUAL</v>
      </c>
      <c r="V290" s="132" t="str">
        <f t="shared" si="51"/>
        <v>CO-DC</v>
      </c>
      <c r="W290" s="145" t="str">
        <f t="shared" si="52"/>
        <v>Distrito Capital de Bogotá</v>
      </c>
      <c r="X290" s="146" t="s">
        <v>106</v>
      </c>
      <c r="Y290" s="147">
        <v>2427400</v>
      </c>
      <c r="Z290" s="148" t="s">
        <v>348</v>
      </c>
    </row>
    <row r="291" spans="1:26" s="7" customFormat="1" ht="12.75" customHeight="1" x14ac:dyDescent="0.2">
      <c r="A291" s="131" t="s">
        <v>99</v>
      </c>
      <c r="B291" s="132">
        <v>54</v>
      </c>
      <c r="C291" s="133" t="s">
        <v>373</v>
      </c>
      <c r="D291" s="133" t="s">
        <v>100</v>
      </c>
      <c r="E291" s="134"/>
      <c r="F291" s="134">
        <v>40000000</v>
      </c>
      <c r="G291" s="134"/>
      <c r="H291" s="135" t="s">
        <v>752</v>
      </c>
      <c r="I291" s="136" t="s">
        <v>349</v>
      </c>
      <c r="J291" s="160">
        <v>2</v>
      </c>
      <c r="K291" s="160">
        <v>3</v>
      </c>
      <c r="L291" s="160">
        <v>9</v>
      </c>
      <c r="M291" s="132">
        <f t="shared" si="54"/>
        <v>1</v>
      </c>
      <c r="N291" s="140" t="s">
        <v>226</v>
      </c>
      <c r="O291" s="141" t="str">
        <f>IF(ISBLANK(N291),"",VLOOKUP(N291,[17]Parámetros!$G$2:$H$23,2,FALSE))</f>
        <v>Licitación pública</v>
      </c>
      <c r="P291" s="142">
        <v>1</v>
      </c>
      <c r="Q291" s="143">
        <f t="shared" si="55"/>
        <v>40000000</v>
      </c>
      <c r="R291" s="143">
        <f t="shared" si="56"/>
        <v>40000000</v>
      </c>
      <c r="S291" s="144" t="s">
        <v>222</v>
      </c>
      <c r="T291" s="140">
        <v>0</v>
      </c>
      <c r="U291" s="145" t="str">
        <f t="shared" si="57"/>
        <v>SUBDIRECCION DE GESTION CONTRACTUAL</v>
      </c>
      <c r="V291" s="132" t="str">
        <f t="shared" si="51"/>
        <v>CO-DC</v>
      </c>
      <c r="W291" s="145" t="str">
        <f t="shared" si="52"/>
        <v>Distrito Capital de Bogotá</v>
      </c>
      <c r="X291" s="146" t="s">
        <v>106</v>
      </c>
      <c r="Y291" s="147">
        <v>2427400</v>
      </c>
      <c r="Z291" s="148" t="s">
        <v>348</v>
      </c>
    </row>
    <row r="292" spans="1:26" s="7" customFormat="1" ht="12.75" customHeight="1" x14ac:dyDescent="0.2">
      <c r="A292" s="131" t="s">
        <v>99</v>
      </c>
      <c r="B292" s="132">
        <v>55</v>
      </c>
      <c r="C292" s="133" t="s">
        <v>373</v>
      </c>
      <c r="D292" s="133" t="s">
        <v>100</v>
      </c>
      <c r="E292" s="134"/>
      <c r="F292" s="134">
        <v>50000000</v>
      </c>
      <c r="G292" s="134"/>
      <c r="H292" s="135" t="s">
        <v>604</v>
      </c>
      <c r="I292" s="136" t="s">
        <v>354</v>
      </c>
      <c r="J292" s="137">
        <v>2</v>
      </c>
      <c r="K292" s="138">
        <v>2</v>
      </c>
      <c r="L292" s="139">
        <v>10</v>
      </c>
      <c r="M292" s="132">
        <f t="shared" si="54"/>
        <v>1</v>
      </c>
      <c r="N292" s="140" t="s">
        <v>36</v>
      </c>
      <c r="O292" s="141" t="str">
        <f>IF(ISBLANK(N292),"",VLOOKUP(N292,[17]Parámetros!$G$2:$H$23,2,FALSE))</f>
        <v xml:space="preserve">Contratación directa (con ofertas) </v>
      </c>
      <c r="P292" s="142">
        <v>1</v>
      </c>
      <c r="Q292" s="143">
        <f t="shared" si="55"/>
        <v>50000000</v>
      </c>
      <c r="R292" s="143">
        <f t="shared" si="56"/>
        <v>50000000</v>
      </c>
      <c r="S292" s="144" t="s">
        <v>222</v>
      </c>
      <c r="T292" s="140">
        <v>0</v>
      </c>
      <c r="U292" s="145" t="str">
        <f t="shared" si="57"/>
        <v>SUBDIRECCION DE GESTION CONTRACTUAL</v>
      </c>
      <c r="V292" s="132" t="str">
        <f t="shared" si="51"/>
        <v>CO-DC</v>
      </c>
      <c r="W292" s="145" t="str">
        <f t="shared" si="52"/>
        <v>Distrito Capital de Bogotá</v>
      </c>
      <c r="X292" s="146" t="s">
        <v>307</v>
      </c>
      <c r="Y292" s="132">
        <v>2427400</v>
      </c>
      <c r="Z292" s="148" t="s">
        <v>94</v>
      </c>
    </row>
    <row r="293" spans="1:26" s="7" customFormat="1" ht="12.75" customHeight="1" x14ac:dyDescent="0.2">
      <c r="A293" s="131" t="s">
        <v>99</v>
      </c>
      <c r="B293" s="132">
        <v>56</v>
      </c>
      <c r="C293" s="133" t="s">
        <v>373</v>
      </c>
      <c r="D293" s="133" t="s">
        <v>100</v>
      </c>
      <c r="E293" s="134"/>
      <c r="F293" s="134">
        <v>78000000</v>
      </c>
      <c r="G293" s="134"/>
      <c r="H293" s="135" t="s">
        <v>350</v>
      </c>
      <c r="I293" s="136" t="s">
        <v>367</v>
      </c>
      <c r="J293" s="150">
        <v>3</v>
      </c>
      <c r="K293" s="150">
        <v>4</v>
      </c>
      <c r="L293" s="150">
        <v>4</v>
      </c>
      <c r="M293" s="132">
        <f t="shared" si="54"/>
        <v>1</v>
      </c>
      <c r="N293" s="140" t="s">
        <v>36</v>
      </c>
      <c r="O293" s="141" t="str">
        <f>IF(ISBLANK(N293),"",VLOOKUP(N293,[17]Parámetros!$G$2:$H$23,2,FALSE))</f>
        <v xml:space="preserve">Contratación directa (con ofertas) </v>
      </c>
      <c r="P293" s="142">
        <v>1</v>
      </c>
      <c r="Q293" s="143">
        <f t="shared" si="55"/>
        <v>78000000</v>
      </c>
      <c r="R293" s="143">
        <f t="shared" si="56"/>
        <v>78000000</v>
      </c>
      <c r="S293" s="144" t="s">
        <v>222</v>
      </c>
      <c r="T293" s="140">
        <v>0</v>
      </c>
      <c r="U293" s="145" t="str">
        <f t="shared" si="57"/>
        <v>SUBDIRECCION DE GESTION CONTRACTUAL</v>
      </c>
      <c r="V293" s="132" t="str">
        <f t="shared" si="51"/>
        <v>CO-DC</v>
      </c>
      <c r="W293" s="145" t="str">
        <f t="shared" si="52"/>
        <v>Distrito Capital de Bogotá</v>
      </c>
      <c r="X293" s="146" t="s">
        <v>106</v>
      </c>
      <c r="Y293" s="147">
        <v>2427400</v>
      </c>
      <c r="Z293" s="148" t="s">
        <v>348</v>
      </c>
    </row>
    <row r="294" spans="1:26" s="7" customFormat="1" ht="12.75" customHeight="1" x14ac:dyDescent="0.2">
      <c r="A294" s="131" t="s">
        <v>99</v>
      </c>
      <c r="B294" s="132">
        <v>57</v>
      </c>
      <c r="C294" s="133" t="s">
        <v>374</v>
      </c>
      <c r="D294" s="133" t="s">
        <v>100</v>
      </c>
      <c r="E294" s="134"/>
      <c r="F294" s="134">
        <f>1377115426+27500000</f>
        <v>1404615426</v>
      </c>
      <c r="G294" s="134"/>
      <c r="H294" s="135">
        <v>80111600</v>
      </c>
      <c r="I294" s="136" t="s">
        <v>347</v>
      </c>
      <c r="J294" s="150">
        <v>1</v>
      </c>
      <c r="K294" s="150">
        <v>1</v>
      </c>
      <c r="L294" s="150">
        <v>12</v>
      </c>
      <c r="M294" s="132">
        <f t="shared" si="54"/>
        <v>1</v>
      </c>
      <c r="N294" s="140" t="s">
        <v>216</v>
      </c>
      <c r="O294" s="141" t="str">
        <f>IF(ISBLANK(N294),"",VLOOKUP(N294,[17]Parámetros!$G$2:$H$23,2,FALSE))</f>
        <v>Contratación directa.</v>
      </c>
      <c r="P294" s="142">
        <f>IF(ISBLANK(N294),"",1)</f>
        <v>1</v>
      </c>
      <c r="Q294" s="143">
        <f t="shared" si="55"/>
        <v>1404615426</v>
      </c>
      <c r="R294" s="143">
        <f t="shared" si="56"/>
        <v>1404615426</v>
      </c>
      <c r="S294" s="144" t="s">
        <v>222</v>
      </c>
      <c r="T294" s="140">
        <f>IF(ISBLANK(S294),"",IF(VALUE(S294)=0,0,IF(VALUE(S294)=1,3,"")))</f>
        <v>0</v>
      </c>
      <c r="U294" s="145" t="str">
        <f t="shared" si="57"/>
        <v>SUBDIRECCION DE GESTION CONTRACTUAL</v>
      </c>
      <c r="V294" s="132" t="str">
        <f t="shared" si="51"/>
        <v>CO-DC</v>
      </c>
      <c r="W294" s="145" t="str">
        <f t="shared" si="52"/>
        <v>Distrito Capital de Bogotá</v>
      </c>
      <c r="X294" s="146" t="s">
        <v>106</v>
      </c>
      <c r="Y294" s="147">
        <v>2427400</v>
      </c>
      <c r="Z294" s="148" t="s">
        <v>348</v>
      </c>
    </row>
    <row r="295" spans="1:26" s="7" customFormat="1" ht="12.75" customHeight="1" x14ac:dyDescent="0.2">
      <c r="A295" s="131" t="s">
        <v>99</v>
      </c>
      <c r="B295" s="132">
        <v>58</v>
      </c>
      <c r="C295" s="133" t="s">
        <v>374</v>
      </c>
      <c r="D295" s="133" t="s">
        <v>100</v>
      </c>
      <c r="E295" s="134"/>
      <c r="F295" s="134">
        <v>300495391</v>
      </c>
      <c r="G295" s="134"/>
      <c r="H295" s="135" t="s">
        <v>42</v>
      </c>
      <c r="I295" s="136" t="s">
        <v>353</v>
      </c>
      <c r="J295" s="137">
        <v>3</v>
      </c>
      <c r="K295" s="138">
        <v>4</v>
      </c>
      <c r="L295" s="139">
        <v>9</v>
      </c>
      <c r="M295" s="132">
        <f t="shared" si="54"/>
        <v>1</v>
      </c>
      <c r="N295" s="140" t="s">
        <v>61</v>
      </c>
      <c r="O295" s="141" t="str">
        <f>IF(ISBLANK(N295),"",VLOOKUP(N295,[15]Parámetros!$G$2:$H$23,2,FALSE))</f>
        <v>Contratación régimen especial - Selección de comisionista</v>
      </c>
      <c r="P295" s="142">
        <v>1</v>
      </c>
      <c r="Q295" s="143">
        <f t="shared" si="55"/>
        <v>300495391</v>
      </c>
      <c r="R295" s="143">
        <f t="shared" si="56"/>
        <v>300495391</v>
      </c>
      <c r="S295" s="144" t="s">
        <v>222</v>
      </c>
      <c r="T295" s="140">
        <v>0</v>
      </c>
      <c r="U295" s="145" t="str">
        <f t="shared" si="57"/>
        <v>SUBDIRECCION DE GESTION CONTRACTUAL</v>
      </c>
      <c r="V295" s="132" t="str">
        <f t="shared" si="51"/>
        <v>CO-DC</v>
      </c>
      <c r="W295" s="145" t="str">
        <f t="shared" si="52"/>
        <v>Distrito Capital de Bogotá</v>
      </c>
      <c r="X295" s="146" t="s">
        <v>106</v>
      </c>
      <c r="Y295" s="147">
        <v>2427400</v>
      </c>
      <c r="Z295" s="148" t="s">
        <v>348</v>
      </c>
    </row>
    <row r="296" spans="1:26" s="7" customFormat="1" ht="12.75" customHeight="1" x14ac:dyDescent="0.2">
      <c r="A296" s="131" t="s">
        <v>99</v>
      </c>
      <c r="B296" s="132">
        <v>59</v>
      </c>
      <c r="C296" s="133" t="s">
        <v>374</v>
      </c>
      <c r="D296" s="133" t="s">
        <v>100</v>
      </c>
      <c r="E296" s="134"/>
      <c r="F296" s="134">
        <v>3594000000</v>
      </c>
      <c r="G296" s="134"/>
      <c r="H296" s="135" t="s">
        <v>752</v>
      </c>
      <c r="I296" s="136" t="s">
        <v>349</v>
      </c>
      <c r="J296" s="137">
        <v>2</v>
      </c>
      <c r="K296" s="138">
        <v>3</v>
      </c>
      <c r="L296" s="139">
        <v>9</v>
      </c>
      <c r="M296" s="132">
        <f t="shared" si="54"/>
        <v>1</v>
      </c>
      <c r="N296" s="140" t="s">
        <v>226</v>
      </c>
      <c r="O296" s="141" t="str">
        <f>IF(ISBLANK(N296),"",VLOOKUP(N296,[17]Parámetros!$G$2:$H$23,2,FALSE))</f>
        <v>Licitación pública</v>
      </c>
      <c r="P296" s="142">
        <v>1</v>
      </c>
      <c r="Q296" s="143">
        <f t="shared" si="55"/>
        <v>3594000000</v>
      </c>
      <c r="R296" s="143">
        <f t="shared" si="56"/>
        <v>3594000000</v>
      </c>
      <c r="S296" s="144" t="s">
        <v>222</v>
      </c>
      <c r="T296" s="140">
        <v>0</v>
      </c>
      <c r="U296" s="145" t="str">
        <f t="shared" si="57"/>
        <v>SUBDIRECCION DE GESTION CONTRACTUAL</v>
      </c>
      <c r="V296" s="132" t="str">
        <f t="shared" si="51"/>
        <v>CO-DC</v>
      </c>
      <c r="W296" s="145" t="str">
        <f t="shared" si="52"/>
        <v>Distrito Capital de Bogotá</v>
      </c>
      <c r="X296" s="146" t="s">
        <v>106</v>
      </c>
      <c r="Y296" s="147">
        <v>2427400</v>
      </c>
      <c r="Z296" s="148" t="s">
        <v>348</v>
      </c>
    </row>
    <row r="297" spans="1:26" s="7" customFormat="1" ht="12.75" customHeight="1" x14ac:dyDescent="0.2">
      <c r="A297" s="131" t="s">
        <v>99</v>
      </c>
      <c r="B297" s="132">
        <v>60</v>
      </c>
      <c r="C297" s="133" t="s">
        <v>374</v>
      </c>
      <c r="D297" s="133" t="s">
        <v>100</v>
      </c>
      <c r="E297" s="134"/>
      <c r="F297" s="134">
        <v>50000000</v>
      </c>
      <c r="G297" s="134"/>
      <c r="H297" s="135" t="s">
        <v>752</v>
      </c>
      <c r="I297" s="136" t="s">
        <v>349</v>
      </c>
      <c r="J297" s="160">
        <v>2</v>
      </c>
      <c r="K297" s="160">
        <v>3</v>
      </c>
      <c r="L297" s="160">
        <v>9</v>
      </c>
      <c r="M297" s="132">
        <f t="shared" si="54"/>
        <v>1</v>
      </c>
      <c r="N297" s="140" t="s">
        <v>226</v>
      </c>
      <c r="O297" s="141" t="str">
        <f>IF(ISBLANK(N297),"",VLOOKUP(N297,[17]Parámetros!$G$2:$H$23,2,FALSE))</f>
        <v>Licitación pública</v>
      </c>
      <c r="P297" s="142">
        <v>1</v>
      </c>
      <c r="Q297" s="143">
        <f t="shared" si="55"/>
        <v>50000000</v>
      </c>
      <c r="R297" s="143">
        <f t="shared" si="56"/>
        <v>50000000</v>
      </c>
      <c r="S297" s="144" t="s">
        <v>222</v>
      </c>
      <c r="T297" s="140">
        <v>0</v>
      </c>
      <c r="U297" s="145" t="str">
        <f t="shared" si="57"/>
        <v>SUBDIRECCION DE GESTION CONTRACTUAL</v>
      </c>
      <c r="V297" s="132" t="str">
        <f t="shared" si="51"/>
        <v>CO-DC</v>
      </c>
      <c r="W297" s="145" t="str">
        <f t="shared" si="52"/>
        <v>Distrito Capital de Bogotá</v>
      </c>
      <c r="X297" s="146" t="s">
        <v>106</v>
      </c>
      <c r="Y297" s="147">
        <v>2427400</v>
      </c>
      <c r="Z297" s="148" t="s">
        <v>348</v>
      </c>
    </row>
    <row r="298" spans="1:26" s="7" customFormat="1" ht="12.75" customHeight="1" x14ac:dyDescent="0.2">
      <c r="A298" s="131" t="s">
        <v>99</v>
      </c>
      <c r="B298" s="132">
        <v>61</v>
      </c>
      <c r="C298" s="133" t="s">
        <v>374</v>
      </c>
      <c r="D298" s="133" t="s">
        <v>100</v>
      </c>
      <c r="E298" s="134"/>
      <c r="F298" s="134">
        <v>368000000</v>
      </c>
      <c r="G298" s="134"/>
      <c r="H298" s="135" t="s">
        <v>604</v>
      </c>
      <c r="I298" s="136" t="s">
        <v>354</v>
      </c>
      <c r="J298" s="137">
        <v>2</v>
      </c>
      <c r="K298" s="138">
        <v>2</v>
      </c>
      <c r="L298" s="139">
        <v>10</v>
      </c>
      <c r="M298" s="132">
        <f t="shared" si="54"/>
        <v>1</v>
      </c>
      <c r="N298" s="140" t="s">
        <v>36</v>
      </c>
      <c r="O298" s="141" t="str">
        <f>IF(ISBLANK(N298),"",VLOOKUP(N298,[17]Parámetros!$G$2:$H$23,2,FALSE))</f>
        <v xml:space="preserve">Contratación directa (con ofertas) </v>
      </c>
      <c r="P298" s="142">
        <v>1</v>
      </c>
      <c r="Q298" s="143">
        <f t="shared" si="55"/>
        <v>368000000</v>
      </c>
      <c r="R298" s="143">
        <f t="shared" si="56"/>
        <v>368000000</v>
      </c>
      <c r="S298" s="144" t="s">
        <v>222</v>
      </c>
      <c r="T298" s="140">
        <v>0</v>
      </c>
      <c r="U298" s="145" t="str">
        <f t="shared" si="57"/>
        <v>SUBDIRECCION DE GESTION CONTRACTUAL</v>
      </c>
      <c r="V298" s="132" t="str">
        <f t="shared" si="51"/>
        <v>CO-DC</v>
      </c>
      <c r="W298" s="145" t="str">
        <f t="shared" si="52"/>
        <v>Distrito Capital de Bogotá</v>
      </c>
      <c r="X298" s="146" t="s">
        <v>307</v>
      </c>
      <c r="Y298" s="132">
        <v>2427400</v>
      </c>
      <c r="Z298" s="148" t="s">
        <v>94</v>
      </c>
    </row>
    <row r="299" spans="1:26" s="7" customFormat="1" ht="12.75" customHeight="1" x14ac:dyDescent="0.2">
      <c r="A299" s="131" t="s">
        <v>99</v>
      </c>
      <c r="B299" s="132">
        <v>62</v>
      </c>
      <c r="C299" s="133" t="s">
        <v>374</v>
      </c>
      <c r="D299" s="133" t="s">
        <v>100</v>
      </c>
      <c r="E299" s="134"/>
      <c r="F299" s="134">
        <v>98767510</v>
      </c>
      <c r="G299" s="134"/>
      <c r="H299" s="135" t="s">
        <v>103</v>
      </c>
      <c r="I299" s="136" t="s">
        <v>594</v>
      </c>
      <c r="J299" s="137">
        <v>2</v>
      </c>
      <c r="K299" s="138">
        <v>3</v>
      </c>
      <c r="L299" s="139">
        <v>10</v>
      </c>
      <c r="M299" s="132">
        <f t="shared" si="54"/>
        <v>1</v>
      </c>
      <c r="N299" s="140" t="s">
        <v>36</v>
      </c>
      <c r="O299" s="141" t="str">
        <f>IF(ISBLANK(N299),"",VLOOKUP(N299,[1]Parámetros!$G$2:$H$23,2,FALSE))</f>
        <v xml:space="preserve">Contratación directa (con ofertas) </v>
      </c>
      <c r="P299" s="142">
        <v>1</v>
      </c>
      <c r="Q299" s="143">
        <f t="shared" si="55"/>
        <v>98767510</v>
      </c>
      <c r="R299" s="143">
        <f t="shared" si="56"/>
        <v>98767510</v>
      </c>
      <c r="S299" s="144" t="s">
        <v>222</v>
      </c>
      <c r="T299" s="140">
        <v>0</v>
      </c>
      <c r="U299" s="145" t="str">
        <f t="shared" si="57"/>
        <v>SUBDIRECCION DE GESTION CONTRACTUAL</v>
      </c>
      <c r="V299" s="132" t="str">
        <f t="shared" si="51"/>
        <v>CO-DC</v>
      </c>
      <c r="W299" s="145" t="str">
        <f t="shared" si="52"/>
        <v>Distrito Capital de Bogotá</v>
      </c>
      <c r="X299" s="146" t="s">
        <v>106</v>
      </c>
      <c r="Y299" s="147">
        <v>2427400</v>
      </c>
      <c r="Z299" s="148" t="s">
        <v>348</v>
      </c>
    </row>
    <row r="300" spans="1:26" s="7" customFormat="1" ht="12.75" customHeight="1" x14ac:dyDescent="0.2">
      <c r="A300" s="131" t="s">
        <v>99</v>
      </c>
      <c r="B300" s="132">
        <v>63</v>
      </c>
      <c r="C300" s="133" t="s">
        <v>374</v>
      </c>
      <c r="D300" s="133" t="s">
        <v>100</v>
      </c>
      <c r="E300" s="134"/>
      <c r="F300" s="134">
        <f>27500000-27500000</f>
        <v>0</v>
      </c>
      <c r="G300" s="134"/>
      <c r="H300" s="135" t="s">
        <v>51</v>
      </c>
      <c r="I300" s="136" t="s">
        <v>599</v>
      </c>
      <c r="J300" s="137">
        <v>4</v>
      </c>
      <c r="K300" s="138">
        <v>6</v>
      </c>
      <c r="L300" s="139">
        <v>1</v>
      </c>
      <c r="M300" s="132">
        <f t="shared" si="54"/>
        <v>1</v>
      </c>
      <c r="N300" s="140" t="s">
        <v>43</v>
      </c>
      <c r="O300" s="141" t="s">
        <v>44</v>
      </c>
      <c r="P300" s="142">
        <v>1</v>
      </c>
      <c r="Q300" s="143">
        <f t="shared" si="55"/>
        <v>0</v>
      </c>
      <c r="R300" s="143">
        <f t="shared" si="56"/>
        <v>0</v>
      </c>
      <c r="S300" s="144" t="s">
        <v>222</v>
      </c>
      <c r="T300" s="140">
        <v>0</v>
      </c>
      <c r="U300" s="145" t="str">
        <f t="shared" si="57"/>
        <v>SUBDIRECCION DE GESTION CONTRACTUAL</v>
      </c>
      <c r="V300" s="132" t="str">
        <f t="shared" si="51"/>
        <v>CO-DC</v>
      </c>
      <c r="W300" s="145" t="str">
        <f t="shared" si="52"/>
        <v>Distrito Capital de Bogotá</v>
      </c>
      <c r="X300" s="146" t="s">
        <v>73</v>
      </c>
      <c r="Y300" s="132">
        <v>2427400</v>
      </c>
      <c r="Z300" s="148" t="s">
        <v>74</v>
      </c>
    </row>
    <row r="301" spans="1:26" s="7" customFormat="1" ht="12.75" customHeight="1" x14ac:dyDescent="0.2">
      <c r="A301" s="131" t="s">
        <v>99</v>
      </c>
      <c r="B301" s="132">
        <v>64</v>
      </c>
      <c r="C301" s="133" t="s">
        <v>374</v>
      </c>
      <c r="D301" s="133" t="s">
        <v>100</v>
      </c>
      <c r="E301" s="134"/>
      <c r="F301" s="134">
        <v>1000000000</v>
      </c>
      <c r="G301" s="134"/>
      <c r="H301" s="135" t="s">
        <v>101</v>
      </c>
      <c r="I301" s="136" t="s">
        <v>360</v>
      </c>
      <c r="J301" s="150">
        <v>6</v>
      </c>
      <c r="K301" s="150">
        <v>6</v>
      </c>
      <c r="L301" s="150">
        <v>6</v>
      </c>
      <c r="M301" s="132">
        <f t="shared" si="54"/>
        <v>1</v>
      </c>
      <c r="N301" s="140" t="s">
        <v>36</v>
      </c>
      <c r="O301" s="141" t="str">
        <f>IF(ISBLANK(N301),"",VLOOKUP(N301,[17]Parámetros!$G$2:$H$23,2,FALSE))</f>
        <v xml:space="preserve">Contratación directa (con ofertas) </v>
      </c>
      <c r="P301" s="142">
        <v>1</v>
      </c>
      <c r="Q301" s="143">
        <f t="shared" si="55"/>
        <v>1000000000</v>
      </c>
      <c r="R301" s="143">
        <f t="shared" si="56"/>
        <v>1000000000</v>
      </c>
      <c r="S301" s="144" t="s">
        <v>222</v>
      </c>
      <c r="T301" s="140">
        <v>0</v>
      </c>
      <c r="U301" s="145" t="str">
        <f t="shared" si="57"/>
        <v>SUBDIRECCION DE GESTION CONTRACTUAL</v>
      </c>
      <c r="V301" s="132" t="str">
        <f t="shared" si="51"/>
        <v>CO-DC</v>
      </c>
      <c r="W301" s="145" t="str">
        <f t="shared" si="52"/>
        <v>Distrito Capital de Bogotá</v>
      </c>
      <c r="X301" s="146" t="s">
        <v>106</v>
      </c>
      <c r="Y301" s="147">
        <v>2427400</v>
      </c>
      <c r="Z301" s="148" t="s">
        <v>348</v>
      </c>
    </row>
    <row r="302" spans="1:26" s="7" customFormat="1" ht="12.75" customHeight="1" x14ac:dyDescent="0.2">
      <c r="A302" s="131" t="s">
        <v>99</v>
      </c>
      <c r="B302" s="132">
        <v>65</v>
      </c>
      <c r="C302" s="133" t="s">
        <v>374</v>
      </c>
      <c r="D302" s="133" t="s">
        <v>100</v>
      </c>
      <c r="E302" s="134"/>
      <c r="F302" s="134">
        <v>250000000</v>
      </c>
      <c r="G302" s="134"/>
      <c r="H302" s="135" t="s">
        <v>375</v>
      </c>
      <c r="I302" s="136" t="s">
        <v>376</v>
      </c>
      <c r="J302" s="150">
        <v>3</v>
      </c>
      <c r="K302" s="150">
        <v>4</v>
      </c>
      <c r="L302" s="150">
        <v>7</v>
      </c>
      <c r="M302" s="132">
        <f t="shared" si="54"/>
        <v>1</v>
      </c>
      <c r="N302" s="140" t="s">
        <v>36</v>
      </c>
      <c r="O302" s="141" t="str">
        <f>IF(ISBLANK(N302),"",VLOOKUP(N302,[17]Parámetros!$G$2:$H$23,2,FALSE))</f>
        <v xml:space="preserve">Contratación directa (con ofertas) </v>
      </c>
      <c r="P302" s="142">
        <v>1</v>
      </c>
      <c r="Q302" s="143">
        <f t="shared" si="55"/>
        <v>250000000</v>
      </c>
      <c r="R302" s="143">
        <f t="shared" si="56"/>
        <v>250000000</v>
      </c>
      <c r="S302" s="144" t="s">
        <v>222</v>
      </c>
      <c r="T302" s="140">
        <v>0</v>
      </c>
      <c r="U302" s="145" t="str">
        <f t="shared" si="57"/>
        <v>SUBDIRECCION DE GESTION CONTRACTUAL</v>
      </c>
      <c r="V302" s="132" t="str">
        <f t="shared" si="51"/>
        <v>CO-DC</v>
      </c>
      <c r="W302" s="145" t="str">
        <f t="shared" si="52"/>
        <v>Distrito Capital de Bogotá</v>
      </c>
      <c r="X302" s="146" t="s">
        <v>106</v>
      </c>
      <c r="Y302" s="147">
        <v>2427400</v>
      </c>
      <c r="Z302" s="148" t="s">
        <v>348</v>
      </c>
    </row>
    <row r="303" spans="1:26" s="7" customFormat="1" ht="12.75" customHeight="1" x14ac:dyDescent="0.2">
      <c r="A303" s="131" t="s">
        <v>99</v>
      </c>
      <c r="B303" s="132">
        <v>66</v>
      </c>
      <c r="C303" s="133" t="s">
        <v>374</v>
      </c>
      <c r="D303" s="133" t="s">
        <v>100</v>
      </c>
      <c r="E303" s="134"/>
      <c r="F303" s="134">
        <v>150000000</v>
      </c>
      <c r="G303" s="134"/>
      <c r="H303" s="135" t="s">
        <v>375</v>
      </c>
      <c r="I303" s="136" t="s">
        <v>376</v>
      </c>
      <c r="J303" s="150">
        <v>3</v>
      </c>
      <c r="K303" s="150">
        <v>4</v>
      </c>
      <c r="L303" s="150">
        <v>7</v>
      </c>
      <c r="M303" s="132">
        <f t="shared" si="54"/>
        <v>1</v>
      </c>
      <c r="N303" s="140" t="s">
        <v>36</v>
      </c>
      <c r="O303" s="141" t="str">
        <f>IF(ISBLANK(N303),"",VLOOKUP(N303,[17]Parámetros!$G$2:$H$23,2,FALSE))</f>
        <v xml:space="preserve">Contratación directa (con ofertas) </v>
      </c>
      <c r="P303" s="142">
        <v>1</v>
      </c>
      <c r="Q303" s="143">
        <f t="shared" si="55"/>
        <v>150000000</v>
      </c>
      <c r="R303" s="143">
        <f t="shared" si="56"/>
        <v>150000000</v>
      </c>
      <c r="S303" s="144" t="s">
        <v>222</v>
      </c>
      <c r="T303" s="140">
        <v>0</v>
      </c>
      <c r="U303" s="145" t="str">
        <f t="shared" si="57"/>
        <v>SUBDIRECCION DE GESTION CONTRACTUAL</v>
      </c>
      <c r="V303" s="132" t="str">
        <f t="shared" si="51"/>
        <v>CO-DC</v>
      </c>
      <c r="W303" s="145" t="str">
        <f t="shared" si="52"/>
        <v>Distrito Capital de Bogotá</v>
      </c>
      <c r="X303" s="146" t="s">
        <v>106</v>
      </c>
      <c r="Y303" s="147">
        <v>2427400</v>
      </c>
      <c r="Z303" s="148" t="s">
        <v>348</v>
      </c>
    </row>
    <row r="304" spans="1:26" s="7" customFormat="1" ht="12.75" customHeight="1" x14ac:dyDescent="0.2">
      <c r="A304" s="131" t="s">
        <v>99</v>
      </c>
      <c r="B304" s="132">
        <v>67</v>
      </c>
      <c r="C304" s="133" t="s">
        <v>377</v>
      </c>
      <c r="D304" s="133" t="s">
        <v>100</v>
      </c>
      <c r="E304" s="134"/>
      <c r="F304" s="134">
        <v>5524393742</v>
      </c>
      <c r="G304" s="134"/>
      <c r="H304" s="135">
        <v>80111600</v>
      </c>
      <c r="I304" s="136" t="s">
        <v>347</v>
      </c>
      <c r="J304" s="150">
        <v>1</v>
      </c>
      <c r="K304" s="150">
        <v>1</v>
      </c>
      <c r="L304" s="150">
        <v>12</v>
      </c>
      <c r="M304" s="132">
        <f t="shared" si="54"/>
        <v>1</v>
      </c>
      <c r="N304" s="140" t="s">
        <v>216</v>
      </c>
      <c r="O304" s="141" t="str">
        <f>IF(ISBLANK(N304),"",VLOOKUP(N304,[17]Parámetros!$G$2:$H$23,2,FALSE))</f>
        <v>Contratación directa.</v>
      </c>
      <c r="P304" s="142">
        <f>IF(ISBLANK(N304),"",1)</f>
        <v>1</v>
      </c>
      <c r="Q304" s="143">
        <f t="shared" si="55"/>
        <v>5524393742</v>
      </c>
      <c r="R304" s="143">
        <f t="shared" si="56"/>
        <v>5524393742</v>
      </c>
      <c r="S304" s="144" t="s">
        <v>222</v>
      </c>
      <c r="T304" s="140">
        <f>IF(ISBLANK(S304),"",IF(VALUE(S304)=0,0,IF(VALUE(S304)=1,3,"")))</f>
        <v>0</v>
      </c>
      <c r="U304" s="145" t="str">
        <f t="shared" si="57"/>
        <v>SUBDIRECCION DE GESTION CONTRACTUAL</v>
      </c>
      <c r="V304" s="132" t="str">
        <f t="shared" ref="V304:V371" si="58">IF(ISBLANK(N304),"","CO-DC")</f>
        <v>CO-DC</v>
      </c>
      <c r="W304" s="145" t="str">
        <f t="shared" ref="W304:W371" si="59">IF(ISBLANK(N304),"","Distrito Capital de Bogotá")</f>
        <v>Distrito Capital de Bogotá</v>
      </c>
      <c r="X304" s="146" t="s">
        <v>106</v>
      </c>
      <c r="Y304" s="147">
        <v>2427400</v>
      </c>
      <c r="Z304" s="148" t="s">
        <v>348</v>
      </c>
    </row>
    <row r="305" spans="1:26" s="7" customFormat="1" ht="12.75" customHeight="1" x14ac:dyDescent="0.2">
      <c r="A305" s="131" t="s">
        <v>99</v>
      </c>
      <c r="B305" s="132">
        <v>68</v>
      </c>
      <c r="C305" s="133" t="s">
        <v>377</v>
      </c>
      <c r="D305" s="133" t="s">
        <v>100</v>
      </c>
      <c r="E305" s="134"/>
      <c r="F305" s="134">
        <v>200000000</v>
      </c>
      <c r="G305" s="134"/>
      <c r="H305" s="135" t="s">
        <v>42</v>
      </c>
      <c r="I305" s="136" t="s">
        <v>353</v>
      </c>
      <c r="J305" s="137">
        <v>3</v>
      </c>
      <c r="K305" s="138">
        <v>4</v>
      </c>
      <c r="L305" s="139">
        <v>9</v>
      </c>
      <c r="M305" s="132">
        <f t="shared" si="54"/>
        <v>1</v>
      </c>
      <c r="N305" s="140" t="s">
        <v>61</v>
      </c>
      <c r="O305" s="141" t="str">
        <f>IF(ISBLANK(N305),"",VLOOKUP(N305,[15]Parámetros!$G$2:$H$23,2,FALSE))</f>
        <v>Contratación régimen especial - Selección de comisionista</v>
      </c>
      <c r="P305" s="142">
        <v>1</v>
      </c>
      <c r="Q305" s="143">
        <f t="shared" si="55"/>
        <v>200000000</v>
      </c>
      <c r="R305" s="143">
        <f t="shared" si="56"/>
        <v>200000000</v>
      </c>
      <c r="S305" s="144" t="s">
        <v>222</v>
      </c>
      <c r="T305" s="140">
        <v>0</v>
      </c>
      <c r="U305" s="145" t="str">
        <f t="shared" si="57"/>
        <v>SUBDIRECCION DE GESTION CONTRACTUAL</v>
      </c>
      <c r="V305" s="132" t="str">
        <f t="shared" si="58"/>
        <v>CO-DC</v>
      </c>
      <c r="W305" s="145" t="str">
        <f t="shared" si="59"/>
        <v>Distrito Capital de Bogotá</v>
      </c>
      <c r="X305" s="146" t="s">
        <v>106</v>
      </c>
      <c r="Y305" s="147">
        <v>2427400</v>
      </c>
      <c r="Z305" s="148" t="s">
        <v>348</v>
      </c>
    </row>
    <row r="306" spans="1:26" s="7" customFormat="1" ht="12.75" customHeight="1" x14ac:dyDescent="0.2">
      <c r="A306" s="131" t="s">
        <v>99</v>
      </c>
      <c r="B306" s="132">
        <v>69</v>
      </c>
      <c r="C306" s="133" t="s">
        <v>377</v>
      </c>
      <c r="D306" s="133" t="s">
        <v>100</v>
      </c>
      <c r="E306" s="134"/>
      <c r="F306" s="134">
        <v>1200000000</v>
      </c>
      <c r="G306" s="134"/>
      <c r="H306" s="135" t="s">
        <v>752</v>
      </c>
      <c r="I306" s="136" t="s">
        <v>349</v>
      </c>
      <c r="J306" s="137">
        <v>2</v>
      </c>
      <c r="K306" s="138">
        <v>3</v>
      </c>
      <c r="L306" s="139">
        <v>9</v>
      </c>
      <c r="M306" s="132">
        <f t="shared" si="54"/>
        <v>1</v>
      </c>
      <c r="N306" s="140" t="s">
        <v>226</v>
      </c>
      <c r="O306" s="141" t="str">
        <f>IF(ISBLANK(N306),"",VLOOKUP(N306,[17]Parámetros!$G$2:$H$23,2,FALSE))</f>
        <v>Licitación pública</v>
      </c>
      <c r="P306" s="142">
        <v>1</v>
      </c>
      <c r="Q306" s="143">
        <f t="shared" si="55"/>
        <v>1200000000</v>
      </c>
      <c r="R306" s="143">
        <f t="shared" si="56"/>
        <v>1200000000</v>
      </c>
      <c r="S306" s="144" t="s">
        <v>222</v>
      </c>
      <c r="T306" s="140">
        <v>0</v>
      </c>
      <c r="U306" s="145" t="str">
        <f t="shared" si="57"/>
        <v>SUBDIRECCION DE GESTION CONTRACTUAL</v>
      </c>
      <c r="V306" s="132" t="str">
        <f t="shared" si="58"/>
        <v>CO-DC</v>
      </c>
      <c r="W306" s="145" t="str">
        <f t="shared" si="59"/>
        <v>Distrito Capital de Bogotá</v>
      </c>
      <c r="X306" s="146" t="s">
        <v>106</v>
      </c>
      <c r="Y306" s="147">
        <v>2427400</v>
      </c>
      <c r="Z306" s="148" t="s">
        <v>348</v>
      </c>
    </row>
    <row r="307" spans="1:26" s="7" customFormat="1" ht="12.75" customHeight="1" x14ac:dyDescent="0.2">
      <c r="A307" s="131" t="s">
        <v>99</v>
      </c>
      <c r="B307" s="132">
        <v>70</v>
      </c>
      <c r="C307" s="133" t="s">
        <v>377</v>
      </c>
      <c r="D307" s="133" t="s">
        <v>100</v>
      </c>
      <c r="E307" s="134"/>
      <c r="F307" s="134">
        <v>300000000</v>
      </c>
      <c r="G307" s="134"/>
      <c r="H307" s="135" t="s">
        <v>752</v>
      </c>
      <c r="I307" s="136" t="s">
        <v>349</v>
      </c>
      <c r="J307" s="160">
        <v>2</v>
      </c>
      <c r="K307" s="160">
        <v>3</v>
      </c>
      <c r="L307" s="160">
        <v>9</v>
      </c>
      <c r="M307" s="132">
        <f t="shared" si="54"/>
        <v>1</v>
      </c>
      <c r="N307" s="140" t="s">
        <v>226</v>
      </c>
      <c r="O307" s="141" t="str">
        <f>IF(ISBLANK(N307),"",VLOOKUP(N307,[17]Parámetros!$G$2:$H$23,2,FALSE))</f>
        <v>Licitación pública</v>
      </c>
      <c r="P307" s="142">
        <v>1</v>
      </c>
      <c r="Q307" s="143">
        <f t="shared" si="55"/>
        <v>300000000</v>
      </c>
      <c r="R307" s="143">
        <f t="shared" si="56"/>
        <v>300000000</v>
      </c>
      <c r="S307" s="144" t="s">
        <v>222</v>
      </c>
      <c r="T307" s="140">
        <v>0</v>
      </c>
      <c r="U307" s="145" t="str">
        <f t="shared" si="57"/>
        <v>SUBDIRECCION DE GESTION CONTRACTUAL</v>
      </c>
      <c r="V307" s="132" t="str">
        <f t="shared" si="58"/>
        <v>CO-DC</v>
      </c>
      <c r="W307" s="145" t="str">
        <f t="shared" si="59"/>
        <v>Distrito Capital de Bogotá</v>
      </c>
      <c r="X307" s="146" t="s">
        <v>106</v>
      </c>
      <c r="Y307" s="147">
        <v>2427400</v>
      </c>
      <c r="Z307" s="148" t="s">
        <v>348</v>
      </c>
    </row>
    <row r="308" spans="1:26" s="7" customFormat="1" ht="12.75" customHeight="1" x14ac:dyDescent="0.2">
      <c r="A308" s="131" t="s">
        <v>99</v>
      </c>
      <c r="B308" s="132">
        <v>71</v>
      </c>
      <c r="C308" s="133" t="s">
        <v>377</v>
      </c>
      <c r="D308" s="133" t="s">
        <v>100</v>
      </c>
      <c r="E308" s="134"/>
      <c r="F308" s="134">
        <v>734787929</v>
      </c>
      <c r="G308" s="134"/>
      <c r="H308" s="135" t="s">
        <v>103</v>
      </c>
      <c r="I308" s="136" t="s">
        <v>594</v>
      </c>
      <c r="J308" s="137">
        <v>2</v>
      </c>
      <c r="K308" s="138">
        <v>3</v>
      </c>
      <c r="L308" s="139">
        <v>10</v>
      </c>
      <c r="M308" s="132">
        <f t="shared" si="54"/>
        <v>1</v>
      </c>
      <c r="N308" s="140" t="s">
        <v>36</v>
      </c>
      <c r="O308" s="141" t="str">
        <f>IF(ISBLANK(N308),"",VLOOKUP(N308,[1]Parámetros!$G$2:$H$23,2,FALSE))</f>
        <v xml:space="preserve">Contratación directa (con ofertas) </v>
      </c>
      <c r="P308" s="142">
        <v>1</v>
      </c>
      <c r="Q308" s="143">
        <f t="shared" si="55"/>
        <v>734787929</v>
      </c>
      <c r="R308" s="143">
        <f t="shared" si="56"/>
        <v>734787929</v>
      </c>
      <c r="S308" s="144" t="s">
        <v>222</v>
      </c>
      <c r="T308" s="140">
        <v>0</v>
      </c>
      <c r="U308" s="145" t="str">
        <f t="shared" si="57"/>
        <v>SUBDIRECCION DE GESTION CONTRACTUAL</v>
      </c>
      <c r="V308" s="132" t="str">
        <f t="shared" si="58"/>
        <v>CO-DC</v>
      </c>
      <c r="W308" s="145" t="str">
        <f t="shared" si="59"/>
        <v>Distrito Capital de Bogotá</v>
      </c>
      <c r="X308" s="146" t="s">
        <v>106</v>
      </c>
      <c r="Y308" s="147">
        <v>2427400</v>
      </c>
      <c r="Z308" s="148" t="s">
        <v>348</v>
      </c>
    </row>
    <row r="309" spans="1:26" s="7" customFormat="1" ht="12.75" customHeight="1" x14ac:dyDescent="0.25">
      <c r="A309" s="131" t="s">
        <v>99</v>
      </c>
      <c r="B309" s="132">
        <v>72</v>
      </c>
      <c r="C309" s="133" t="s">
        <v>377</v>
      </c>
      <c r="D309" s="133" t="s">
        <v>100</v>
      </c>
      <c r="E309" s="134"/>
      <c r="F309" s="134">
        <f>100000000+200000000</f>
        <v>300000000</v>
      </c>
      <c r="G309" s="134"/>
      <c r="H309" s="135" t="s">
        <v>80</v>
      </c>
      <c r="I309" s="136" t="s">
        <v>818</v>
      </c>
      <c r="J309" s="150">
        <v>2</v>
      </c>
      <c r="K309" s="150">
        <v>3</v>
      </c>
      <c r="L309" s="150">
        <v>4</v>
      </c>
      <c r="M309" s="132">
        <f t="shared" si="54"/>
        <v>1</v>
      </c>
      <c r="N309" s="140" t="s">
        <v>43</v>
      </c>
      <c r="O309" s="141" t="s">
        <v>44</v>
      </c>
      <c r="P309" s="142">
        <v>1</v>
      </c>
      <c r="Q309" s="143">
        <f t="shared" si="55"/>
        <v>300000000</v>
      </c>
      <c r="R309" s="143">
        <f t="shared" si="56"/>
        <v>300000000</v>
      </c>
      <c r="S309" s="144" t="s">
        <v>222</v>
      </c>
      <c r="T309" s="140">
        <v>0</v>
      </c>
      <c r="U309" s="145" t="str">
        <f t="shared" si="57"/>
        <v>SUBDIRECCION DE GESTION CONTRACTUAL</v>
      </c>
      <c r="V309" s="132" t="str">
        <f t="shared" si="58"/>
        <v>CO-DC</v>
      </c>
      <c r="W309" s="145" t="str">
        <f t="shared" si="59"/>
        <v>Distrito Capital de Bogotá</v>
      </c>
      <c r="X309" s="146" t="s">
        <v>307</v>
      </c>
      <c r="Y309" s="147">
        <v>2427400</v>
      </c>
      <c r="Z309" s="127" t="s">
        <v>94</v>
      </c>
    </row>
    <row r="310" spans="1:26" s="7" customFormat="1" ht="12.75" customHeight="1" x14ac:dyDescent="0.2">
      <c r="A310" s="131" t="s">
        <v>99</v>
      </c>
      <c r="B310" s="132">
        <v>73</v>
      </c>
      <c r="C310" s="133" t="s">
        <v>377</v>
      </c>
      <c r="D310" s="133" t="s">
        <v>100</v>
      </c>
      <c r="E310" s="134"/>
      <c r="F310" s="134">
        <v>110000000</v>
      </c>
      <c r="G310" s="134"/>
      <c r="H310" s="135" t="s">
        <v>361</v>
      </c>
      <c r="I310" s="136" t="s">
        <v>378</v>
      </c>
      <c r="J310" s="150">
        <v>3</v>
      </c>
      <c r="K310" s="150">
        <v>3</v>
      </c>
      <c r="L310" s="150">
        <v>5</v>
      </c>
      <c r="M310" s="132">
        <f t="shared" si="54"/>
        <v>1</v>
      </c>
      <c r="N310" s="140" t="s">
        <v>43</v>
      </c>
      <c r="O310" s="141" t="s">
        <v>44</v>
      </c>
      <c r="P310" s="142">
        <v>1</v>
      </c>
      <c r="Q310" s="143">
        <f t="shared" si="55"/>
        <v>110000000</v>
      </c>
      <c r="R310" s="143">
        <f t="shared" si="56"/>
        <v>110000000</v>
      </c>
      <c r="S310" s="144" t="s">
        <v>222</v>
      </c>
      <c r="T310" s="140">
        <v>0</v>
      </c>
      <c r="U310" s="145" t="str">
        <f t="shared" si="57"/>
        <v>SUBDIRECCION DE GESTION CONTRACTUAL</v>
      </c>
      <c r="V310" s="132" t="str">
        <f t="shared" si="58"/>
        <v>CO-DC</v>
      </c>
      <c r="W310" s="145" t="str">
        <f t="shared" si="59"/>
        <v>Distrito Capital de Bogotá</v>
      </c>
      <c r="X310" s="146" t="s">
        <v>106</v>
      </c>
      <c r="Y310" s="147">
        <v>2427400</v>
      </c>
      <c r="Z310" s="148" t="s">
        <v>348</v>
      </c>
    </row>
    <row r="311" spans="1:26" s="7" customFormat="1" ht="12.75" customHeight="1" x14ac:dyDescent="0.2">
      <c r="A311" s="131" t="s">
        <v>99</v>
      </c>
      <c r="B311" s="132">
        <v>74</v>
      </c>
      <c r="C311" s="133" t="s">
        <v>377</v>
      </c>
      <c r="D311" s="133" t="s">
        <v>100</v>
      </c>
      <c r="E311" s="134"/>
      <c r="F311" s="134">
        <f>41740000000-20000000000</f>
        <v>21740000000</v>
      </c>
      <c r="G311" s="134"/>
      <c r="H311" s="135" t="s">
        <v>101</v>
      </c>
      <c r="I311" s="136" t="s">
        <v>360</v>
      </c>
      <c r="J311" s="150">
        <v>6</v>
      </c>
      <c r="K311" s="150">
        <v>6</v>
      </c>
      <c r="L311" s="150">
        <v>6</v>
      </c>
      <c r="M311" s="132">
        <f t="shared" si="54"/>
        <v>1</v>
      </c>
      <c r="N311" s="140" t="s">
        <v>36</v>
      </c>
      <c r="O311" s="141" t="str">
        <f>IF(ISBLANK(N311),"",VLOOKUP(N311,[17]Parámetros!$G$2:$H$23,2,FALSE))</f>
        <v xml:space="preserve">Contratación directa (con ofertas) </v>
      </c>
      <c r="P311" s="142">
        <v>1</v>
      </c>
      <c r="Q311" s="143">
        <f t="shared" si="55"/>
        <v>21740000000</v>
      </c>
      <c r="R311" s="143">
        <f t="shared" si="56"/>
        <v>21740000000</v>
      </c>
      <c r="S311" s="144" t="s">
        <v>222</v>
      </c>
      <c r="T311" s="140">
        <v>0</v>
      </c>
      <c r="U311" s="145" t="str">
        <f t="shared" si="57"/>
        <v>SUBDIRECCION DE GESTION CONTRACTUAL</v>
      </c>
      <c r="V311" s="132" t="str">
        <f t="shared" si="58"/>
        <v>CO-DC</v>
      </c>
      <c r="W311" s="145" t="str">
        <f t="shared" si="59"/>
        <v>Distrito Capital de Bogotá</v>
      </c>
      <c r="X311" s="146" t="s">
        <v>106</v>
      </c>
      <c r="Y311" s="147">
        <v>2427400</v>
      </c>
      <c r="Z311" s="148" t="s">
        <v>348</v>
      </c>
    </row>
    <row r="312" spans="1:26" s="7" customFormat="1" ht="12.75" customHeight="1" x14ac:dyDescent="0.2">
      <c r="A312" s="131" t="s">
        <v>99</v>
      </c>
      <c r="B312" s="132">
        <v>75</v>
      </c>
      <c r="C312" s="133" t="s">
        <v>377</v>
      </c>
      <c r="D312" s="133" t="s">
        <v>100</v>
      </c>
      <c r="E312" s="134"/>
      <c r="F312" s="134">
        <f>1400000000-200000000</f>
        <v>1200000000</v>
      </c>
      <c r="G312" s="134"/>
      <c r="H312" s="135" t="s">
        <v>350</v>
      </c>
      <c r="I312" s="136" t="s">
        <v>379</v>
      </c>
      <c r="J312" s="150">
        <v>2</v>
      </c>
      <c r="K312" s="150">
        <v>3</v>
      </c>
      <c r="L312" s="150">
        <v>4</v>
      </c>
      <c r="M312" s="132">
        <f t="shared" si="54"/>
        <v>1</v>
      </c>
      <c r="N312" s="140" t="s">
        <v>43</v>
      </c>
      <c r="O312" s="141" t="s">
        <v>44</v>
      </c>
      <c r="P312" s="142">
        <v>1</v>
      </c>
      <c r="Q312" s="143">
        <f t="shared" si="55"/>
        <v>1200000000</v>
      </c>
      <c r="R312" s="143">
        <f t="shared" si="56"/>
        <v>1200000000</v>
      </c>
      <c r="S312" s="144" t="s">
        <v>222</v>
      </c>
      <c r="T312" s="140">
        <v>0</v>
      </c>
      <c r="U312" s="145" t="str">
        <f t="shared" si="57"/>
        <v>SUBDIRECCION DE GESTION CONTRACTUAL</v>
      </c>
      <c r="V312" s="132" t="str">
        <f t="shared" si="58"/>
        <v>CO-DC</v>
      </c>
      <c r="W312" s="145" t="str">
        <f t="shared" si="59"/>
        <v>Distrito Capital de Bogotá</v>
      </c>
      <c r="X312" s="146" t="s">
        <v>106</v>
      </c>
      <c r="Y312" s="147">
        <v>2427400</v>
      </c>
      <c r="Z312" s="148" t="s">
        <v>348</v>
      </c>
    </row>
    <row r="313" spans="1:26" s="7" customFormat="1" ht="12.75" customHeight="1" x14ac:dyDescent="0.2">
      <c r="A313" s="131" t="s">
        <v>99</v>
      </c>
      <c r="B313" s="132">
        <v>76</v>
      </c>
      <c r="C313" s="133" t="s">
        <v>377</v>
      </c>
      <c r="D313" s="133" t="s">
        <v>100</v>
      </c>
      <c r="E313" s="134"/>
      <c r="F313" s="134">
        <v>1800000000</v>
      </c>
      <c r="G313" s="134"/>
      <c r="H313" s="135" t="s">
        <v>361</v>
      </c>
      <c r="I313" s="136" t="s">
        <v>380</v>
      </c>
      <c r="J313" s="150">
        <v>2</v>
      </c>
      <c r="K313" s="150">
        <v>3</v>
      </c>
      <c r="L313" s="150">
        <v>9</v>
      </c>
      <c r="M313" s="132">
        <f t="shared" si="54"/>
        <v>1</v>
      </c>
      <c r="N313" s="140" t="s">
        <v>36</v>
      </c>
      <c r="O313" s="141" t="str">
        <f>IF(ISBLANK(N313),"",VLOOKUP(N313,[17]Parámetros!$G$2:$H$23,2,FALSE))</f>
        <v xml:space="preserve">Contratación directa (con ofertas) </v>
      </c>
      <c r="P313" s="142">
        <v>1</v>
      </c>
      <c r="Q313" s="143">
        <f t="shared" si="55"/>
        <v>1800000000</v>
      </c>
      <c r="R313" s="143">
        <f t="shared" si="56"/>
        <v>1800000000</v>
      </c>
      <c r="S313" s="144" t="s">
        <v>222</v>
      </c>
      <c r="T313" s="140">
        <v>0</v>
      </c>
      <c r="U313" s="145" t="str">
        <f t="shared" si="57"/>
        <v>SUBDIRECCION DE GESTION CONTRACTUAL</v>
      </c>
      <c r="V313" s="132" t="str">
        <f t="shared" si="58"/>
        <v>CO-DC</v>
      </c>
      <c r="W313" s="145" t="str">
        <f t="shared" si="59"/>
        <v>Distrito Capital de Bogotá</v>
      </c>
      <c r="X313" s="146" t="s">
        <v>106</v>
      </c>
      <c r="Y313" s="147">
        <v>2427400</v>
      </c>
      <c r="Z313" s="148" t="s">
        <v>348</v>
      </c>
    </row>
    <row r="314" spans="1:26" s="7" customFormat="1" ht="12.75" customHeight="1" x14ac:dyDescent="0.2">
      <c r="A314" s="131" t="s">
        <v>99</v>
      </c>
      <c r="B314" s="132">
        <v>77</v>
      </c>
      <c r="C314" s="133" t="s">
        <v>377</v>
      </c>
      <c r="D314" s="133" t="s">
        <v>100</v>
      </c>
      <c r="E314" s="134"/>
      <c r="F314" s="134">
        <v>750000000</v>
      </c>
      <c r="G314" s="134"/>
      <c r="H314" s="135" t="s">
        <v>105</v>
      </c>
      <c r="I314" s="136" t="s">
        <v>381</v>
      </c>
      <c r="J314" s="150">
        <v>3</v>
      </c>
      <c r="K314" s="150">
        <v>3</v>
      </c>
      <c r="L314" s="150">
        <v>9</v>
      </c>
      <c r="M314" s="132">
        <f t="shared" si="54"/>
        <v>1</v>
      </c>
      <c r="N314" s="140" t="s">
        <v>36</v>
      </c>
      <c r="O314" s="141" t="str">
        <f>IF(ISBLANK(N314),"",VLOOKUP(N314,[17]Parámetros!$G$2:$H$23,2,FALSE))</f>
        <v xml:space="preserve">Contratación directa (con ofertas) </v>
      </c>
      <c r="P314" s="142">
        <v>1</v>
      </c>
      <c r="Q314" s="143">
        <f t="shared" si="55"/>
        <v>750000000</v>
      </c>
      <c r="R314" s="143">
        <f t="shared" si="56"/>
        <v>750000000</v>
      </c>
      <c r="S314" s="144" t="s">
        <v>222</v>
      </c>
      <c r="T314" s="140">
        <v>0</v>
      </c>
      <c r="U314" s="145" t="str">
        <f t="shared" si="57"/>
        <v>SUBDIRECCION DE GESTION CONTRACTUAL</v>
      </c>
      <c r="V314" s="132" t="str">
        <f t="shared" si="58"/>
        <v>CO-DC</v>
      </c>
      <c r="W314" s="145" t="str">
        <f t="shared" si="59"/>
        <v>Distrito Capital de Bogotá</v>
      </c>
      <c r="X314" s="146" t="s">
        <v>106</v>
      </c>
      <c r="Y314" s="147">
        <v>2427400</v>
      </c>
      <c r="Z314" s="148" t="s">
        <v>348</v>
      </c>
    </row>
    <row r="315" spans="1:26" s="7" customFormat="1" ht="12.75" customHeight="1" x14ac:dyDescent="0.2">
      <c r="A315" s="131" t="s">
        <v>99</v>
      </c>
      <c r="B315" s="132">
        <v>78</v>
      </c>
      <c r="C315" s="133" t="s">
        <v>377</v>
      </c>
      <c r="D315" s="133" t="s">
        <v>100</v>
      </c>
      <c r="E315" s="134"/>
      <c r="F315" s="134">
        <v>150000000</v>
      </c>
      <c r="G315" s="134"/>
      <c r="H315" s="135" t="s">
        <v>604</v>
      </c>
      <c r="I315" s="136" t="s">
        <v>354</v>
      </c>
      <c r="J315" s="137">
        <v>2</v>
      </c>
      <c r="K315" s="138">
        <v>2</v>
      </c>
      <c r="L315" s="139">
        <v>10</v>
      </c>
      <c r="M315" s="132">
        <f t="shared" si="54"/>
        <v>1</v>
      </c>
      <c r="N315" s="140" t="s">
        <v>36</v>
      </c>
      <c r="O315" s="141" t="str">
        <f>IF(ISBLANK(N315),"",VLOOKUP(N315,[17]Parámetros!$G$2:$H$23,2,FALSE))</f>
        <v xml:space="preserve">Contratación directa (con ofertas) </v>
      </c>
      <c r="P315" s="142">
        <v>1</v>
      </c>
      <c r="Q315" s="143">
        <f t="shared" si="55"/>
        <v>150000000</v>
      </c>
      <c r="R315" s="143">
        <f t="shared" si="56"/>
        <v>150000000</v>
      </c>
      <c r="S315" s="144" t="s">
        <v>222</v>
      </c>
      <c r="T315" s="140">
        <v>0</v>
      </c>
      <c r="U315" s="145" t="str">
        <f t="shared" si="57"/>
        <v>SUBDIRECCION DE GESTION CONTRACTUAL</v>
      </c>
      <c r="V315" s="132" t="str">
        <f t="shared" si="58"/>
        <v>CO-DC</v>
      </c>
      <c r="W315" s="145" t="str">
        <f t="shared" si="59"/>
        <v>Distrito Capital de Bogotá</v>
      </c>
      <c r="X315" s="146" t="s">
        <v>307</v>
      </c>
      <c r="Y315" s="132">
        <v>2427400</v>
      </c>
      <c r="Z315" s="148" t="s">
        <v>94</v>
      </c>
    </row>
    <row r="316" spans="1:26" s="7" customFormat="1" ht="12.75" customHeight="1" x14ac:dyDescent="0.2">
      <c r="A316" s="131" t="s">
        <v>99</v>
      </c>
      <c r="B316" s="132">
        <v>79</v>
      </c>
      <c r="C316" s="133" t="s">
        <v>382</v>
      </c>
      <c r="D316" s="133" t="s">
        <v>104</v>
      </c>
      <c r="E316" s="134"/>
      <c r="F316" s="134">
        <v>4000000000</v>
      </c>
      <c r="G316" s="134"/>
      <c r="H316" s="135" t="s">
        <v>361</v>
      </c>
      <c r="I316" s="136" t="s">
        <v>380</v>
      </c>
      <c r="J316" s="150">
        <v>2</v>
      </c>
      <c r="K316" s="150">
        <v>3</v>
      </c>
      <c r="L316" s="150">
        <v>9</v>
      </c>
      <c r="M316" s="132">
        <f t="shared" si="54"/>
        <v>1</v>
      </c>
      <c r="N316" s="140" t="s">
        <v>36</v>
      </c>
      <c r="O316" s="141" t="str">
        <f>IF(ISBLANK(N316),"",VLOOKUP(N316,[17]Parámetros!$G$2:$H$23,2,FALSE))</f>
        <v xml:space="preserve">Contratación directa (con ofertas) </v>
      </c>
      <c r="P316" s="142">
        <v>1</v>
      </c>
      <c r="Q316" s="143">
        <f t="shared" si="55"/>
        <v>4000000000</v>
      </c>
      <c r="R316" s="143">
        <f t="shared" si="56"/>
        <v>4000000000</v>
      </c>
      <c r="S316" s="144" t="s">
        <v>222</v>
      </c>
      <c r="T316" s="140">
        <v>0</v>
      </c>
      <c r="U316" s="145" t="str">
        <f t="shared" si="57"/>
        <v>SUBDIRECCION DE GESTION CONTRACTUAL</v>
      </c>
      <c r="V316" s="132" t="str">
        <f t="shared" si="58"/>
        <v>CO-DC</v>
      </c>
      <c r="W316" s="145" t="str">
        <f t="shared" si="59"/>
        <v>Distrito Capital de Bogotá</v>
      </c>
      <c r="X316" s="146" t="s">
        <v>106</v>
      </c>
      <c r="Y316" s="147">
        <v>2427400</v>
      </c>
      <c r="Z316" s="148" t="s">
        <v>348</v>
      </c>
    </row>
    <row r="317" spans="1:26" s="7" customFormat="1" ht="12.75" customHeight="1" x14ac:dyDescent="0.2">
      <c r="A317" s="131" t="s">
        <v>99</v>
      </c>
      <c r="B317" s="132">
        <v>80</v>
      </c>
      <c r="C317" s="133" t="s">
        <v>382</v>
      </c>
      <c r="D317" s="133" t="s">
        <v>104</v>
      </c>
      <c r="E317" s="134"/>
      <c r="F317" s="134">
        <v>3000000000</v>
      </c>
      <c r="G317" s="134"/>
      <c r="H317" s="135" t="s">
        <v>383</v>
      </c>
      <c r="I317" s="136" t="s">
        <v>384</v>
      </c>
      <c r="J317" s="150">
        <v>6</v>
      </c>
      <c r="K317" s="150">
        <v>7</v>
      </c>
      <c r="L317" s="150">
        <v>5</v>
      </c>
      <c r="M317" s="132">
        <f t="shared" si="54"/>
        <v>1</v>
      </c>
      <c r="N317" s="140" t="s">
        <v>36</v>
      </c>
      <c r="O317" s="141" t="str">
        <f>IF(ISBLANK(N317),"",VLOOKUP(N317,[17]Parámetros!$G$2:$H$23,2,FALSE))</f>
        <v xml:space="preserve">Contratación directa (con ofertas) </v>
      </c>
      <c r="P317" s="142">
        <v>1</v>
      </c>
      <c r="Q317" s="143">
        <f t="shared" si="55"/>
        <v>3000000000</v>
      </c>
      <c r="R317" s="143">
        <f t="shared" si="56"/>
        <v>3000000000</v>
      </c>
      <c r="S317" s="144" t="s">
        <v>222</v>
      </c>
      <c r="T317" s="140">
        <v>0</v>
      </c>
      <c r="U317" s="145" t="str">
        <f t="shared" si="57"/>
        <v>SUBDIRECCION DE GESTION CONTRACTUAL</v>
      </c>
      <c r="V317" s="132" t="str">
        <f t="shared" si="58"/>
        <v>CO-DC</v>
      </c>
      <c r="W317" s="145" t="str">
        <f t="shared" si="59"/>
        <v>Distrito Capital de Bogotá</v>
      </c>
      <c r="X317" s="146" t="s">
        <v>106</v>
      </c>
      <c r="Y317" s="147">
        <v>2427400</v>
      </c>
      <c r="Z317" s="148" t="s">
        <v>348</v>
      </c>
    </row>
    <row r="318" spans="1:26" s="7" customFormat="1" ht="12.75" customHeight="1" x14ac:dyDescent="0.2">
      <c r="A318" s="131" t="s">
        <v>99</v>
      </c>
      <c r="B318" s="132">
        <v>81</v>
      </c>
      <c r="C318" s="133" t="s">
        <v>382</v>
      </c>
      <c r="D318" s="133" t="s">
        <v>104</v>
      </c>
      <c r="E318" s="134"/>
      <c r="F318" s="134">
        <v>900000000</v>
      </c>
      <c r="G318" s="134"/>
      <c r="H318" s="135" t="s">
        <v>375</v>
      </c>
      <c r="I318" s="136" t="s">
        <v>385</v>
      </c>
      <c r="J318" s="150">
        <v>3</v>
      </c>
      <c r="K318" s="150">
        <v>4</v>
      </c>
      <c r="L318" s="150">
        <v>8</v>
      </c>
      <c r="M318" s="132">
        <f t="shared" si="54"/>
        <v>1</v>
      </c>
      <c r="N318" s="140" t="s">
        <v>36</v>
      </c>
      <c r="O318" s="141" t="str">
        <f>IF(ISBLANK(N318),"",VLOOKUP(N318,[17]Parámetros!$G$2:$H$23,2,FALSE))</f>
        <v xml:space="preserve">Contratación directa (con ofertas) </v>
      </c>
      <c r="P318" s="142">
        <v>1</v>
      </c>
      <c r="Q318" s="143">
        <f t="shared" si="55"/>
        <v>900000000</v>
      </c>
      <c r="R318" s="143">
        <f t="shared" si="56"/>
        <v>900000000</v>
      </c>
      <c r="S318" s="144" t="s">
        <v>222</v>
      </c>
      <c r="T318" s="140">
        <v>0</v>
      </c>
      <c r="U318" s="145" t="str">
        <f t="shared" si="57"/>
        <v>SUBDIRECCION DE GESTION CONTRACTUAL</v>
      </c>
      <c r="V318" s="132" t="str">
        <f t="shared" si="58"/>
        <v>CO-DC</v>
      </c>
      <c r="W318" s="145" t="str">
        <f t="shared" si="59"/>
        <v>Distrito Capital de Bogotá</v>
      </c>
      <c r="X318" s="146" t="s">
        <v>106</v>
      </c>
      <c r="Y318" s="147">
        <v>2427400</v>
      </c>
      <c r="Z318" s="148" t="s">
        <v>348</v>
      </c>
    </row>
    <row r="319" spans="1:26" s="7" customFormat="1" ht="12.75" customHeight="1" x14ac:dyDescent="0.2">
      <c r="A319" s="131" t="s">
        <v>99</v>
      </c>
      <c r="B319" s="132">
        <v>82</v>
      </c>
      <c r="C319" s="133" t="s">
        <v>382</v>
      </c>
      <c r="D319" s="133" t="s">
        <v>104</v>
      </c>
      <c r="E319" s="134"/>
      <c r="F319" s="134">
        <v>3180800000</v>
      </c>
      <c r="G319" s="134"/>
      <c r="H319" s="135" t="s">
        <v>386</v>
      </c>
      <c r="I319" s="162" t="s">
        <v>387</v>
      </c>
      <c r="J319" s="150">
        <v>3</v>
      </c>
      <c r="K319" s="150">
        <v>4</v>
      </c>
      <c r="L319" s="150">
        <v>8</v>
      </c>
      <c r="M319" s="132">
        <f t="shared" si="54"/>
        <v>1</v>
      </c>
      <c r="N319" s="140" t="s">
        <v>36</v>
      </c>
      <c r="O319" s="141" t="str">
        <f>IF(ISBLANK(N319),"",VLOOKUP(N319,[17]Parámetros!$G$2:$H$23,2,FALSE))</f>
        <v xml:space="preserve">Contratación directa (con ofertas) </v>
      </c>
      <c r="P319" s="142">
        <v>1</v>
      </c>
      <c r="Q319" s="143">
        <f t="shared" si="55"/>
        <v>3180800000</v>
      </c>
      <c r="R319" s="143">
        <f t="shared" si="56"/>
        <v>3180800000</v>
      </c>
      <c r="S319" s="144" t="s">
        <v>222</v>
      </c>
      <c r="T319" s="140">
        <v>0</v>
      </c>
      <c r="U319" s="145" t="str">
        <f t="shared" si="57"/>
        <v>SUBDIRECCION DE GESTION CONTRACTUAL</v>
      </c>
      <c r="V319" s="132" t="str">
        <f t="shared" si="58"/>
        <v>CO-DC</v>
      </c>
      <c r="W319" s="145" t="str">
        <f t="shared" si="59"/>
        <v>Distrito Capital de Bogotá</v>
      </c>
      <c r="X319" s="146" t="s">
        <v>106</v>
      </c>
      <c r="Y319" s="147">
        <v>2427400</v>
      </c>
      <c r="Z319" s="148" t="s">
        <v>348</v>
      </c>
    </row>
    <row r="320" spans="1:26" s="7" customFormat="1" ht="12.75" customHeight="1" x14ac:dyDescent="0.2">
      <c r="A320" s="131" t="s">
        <v>99</v>
      </c>
      <c r="B320" s="132">
        <v>83</v>
      </c>
      <c r="C320" s="133" t="s">
        <v>382</v>
      </c>
      <c r="D320" s="133" t="s">
        <v>104</v>
      </c>
      <c r="E320" s="134"/>
      <c r="F320" s="134">
        <v>3000000000</v>
      </c>
      <c r="G320" s="134"/>
      <c r="H320" s="135" t="s">
        <v>752</v>
      </c>
      <c r="I320" s="136" t="s">
        <v>349</v>
      </c>
      <c r="J320" s="160">
        <v>2</v>
      </c>
      <c r="K320" s="160">
        <v>3</v>
      </c>
      <c r="L320" s="160">
        <v>9</v>
      </c>
      <c r="M320" s="132">
        <f t="shared" si="54"/>
        <v>1</v>
      </c>
      <c r="N320" s="140" t="s">
        <v>226</v>
      </c>
      <c r="O320" s="141" t="str">
        <f>IF(ISBLANK(N320),"",VLOOKUP(N320,[17]Parámetros!$G$2:$H$23,2,FALSE))</f>
        <v>Licitación pública</v>
      </c>
      <c r="P320" s="142">
        <v>1</v>
      </c>
      <c r="Q320" s="143">
        <f t="shared" si="55"/>
        <v>3000000000</v>
      </c>
      <c r="R320" s="143">
        <f t="shared" si="56"/>
        <v>3000000000</v>
      </c>
      <c r="S320" s="144" t="s">
        <v>222</v>
      </c>
      <c r="T320" s="140">
        <v>0</v>
      </c>
      <c r="U320" s="145" t="str">
        <f t="shared" si="57"/>
        <v>SUBDIRECCION DE GESTION CONTRACTUAL</v>
      </c>
      <c r="V320" s="132" t="str">
        <f t="shared" si="58"/>
        <v>CO-DC</v>
      </c>
      <c r="W320" s="145" t="str">
        <f t="shared" si="59"/>
        <v>Distrito Capital de Bogotá</v>
      </c>
      <c r="X320" s="146" t="s">
        <v>106</v>
      </c>
      <c r="Y320" s="147">
        <v>2427400</v>
      </c>
      <c r="Z320" s="148" t="s">
        <v>348</v>
      </c>
    </row>
    <row r="321" spans="1:26" s="7" customFormat="1" ht="12.75" customHeight="1" x14ac:dyDescent="0.2">
      <c r="A321" s="131" t="s">
        <v>99</v>
      </c>
      <c r="B321" s="132">
        <v>84</v>
      </c>
      <c r="C321" s="133" t="s">
        <v>382</v>
      </c>
      <c r="D321" s="133" t="s">
        <v>104</v>
      </c>
      <c r="E321" s="134"/>
      <c r="F321" s="134">
        <v>9000000000</v>
      </c>
      <c r="G321" s="134"/>
      <c r="H321" s="135" t="s">
        <v>361</v>
      </c>
      <c r="I321" s="136" t="s">
        <v>388</v>
      </c>
      <c r="J321" s="150">
        <v>3</v>
      </c>
      <c r="K321" s="150">
        <v>4</v>
      </c>
      <c r="L321" s="150">
        <v>8</v>
      </c>
      <c r="M321" s="132">
        <f t="shared" si="54"/>
        <v>1</v>
      </c>
      <c r="N321" s="140" t="s">
        <v>36</v>
      </c>
      <c r="O321" s="141" t="str">
        <f>IF(ISBLANK(N321),"",VLOOKUP(N321,[17]Parámetros!$G$2:$H$23,2,FALSE))</f>
        <v xml:space="preserve">Contratación directa (con ofertas) </v>
      </c>
      <c r="P321" s="142">
        <v>1</v>
      </c>
      <c r="Q321" s="143">
        <f t="shared" si="55"/>
        <v>9000000000</v>
      </c>
      <c r="R321" s="143">
        <f t="shared" si="56"/>
        <v>9000000000</v>
      </c>
      <c r="S321" s="144" t="s">
        <v>222</v>
      </c>
      <c r="T321" s="140">
        <v>0</v>
      </c>
      <c r="U321" s="145" t="str">
        <f t="shared" si="57"/>
        <v>SUBDIRECCION DE GESTION CONTRACTUAL</v>
      </c>
      <c r="V321" s="132" t="str">
        <f t="shared" si="58"/>
        <v>CO-DC</v>
      </c>
      <c r="W321" s="145" t="str">
        <f t="shared" si="59"/>
        <v>Distrito Capital de Bogotá</v>
      </c>
      <c r="X321" s="146" t="s">
        <v>106</v>
      </c>
      <c r="Y321" s="147">
        <v>2427400</v>
      </c>
      <c r="Z321" s="148" t="s">
        <v>348</v>
      </c>
    </row>
    <row r="322" spans="1:26" s="7" customFormat="1" ht="12.75" customHeight="1" x14ac:dyDescent="0.2">
      <c r="A322" s="131" t="s">
        <v>99</v>
      </c>
      <c r="B322" s="132">
        <v>85</v>
      </c>
      <c r="C322" s="133" t="s">
        <v>382</v>
      </c>
      <c r="D322" s="133" t="s">
        <v>104</v>
      </c>
      <c r="E322" s="134"/>
      <c r="F322" s="134">
        <v>22070000000</v>
      </c>
      <c r="G322" s="134"/>
      <c r="H322" s="135" t="s">
        <v>101</v>
      </c>
      <c r="I322" s="136" t="s">
        <v>360</v>
      </c>
      <c r="J322" s="150">
        <v>6</v>
      </c>
      <c r="K322" s="150">
        <v>6</v>
      </c>
      <c r="L322" s="150">
        <v>6</v>
      </c>
      <c r="M322" s="132">
        <f t="shared" si="54"/>
        <v>1</v>
      </c>
      <c r="N322" s="140" t="s">
        <v>36</v>
      </c>
      <c r="O322" s="141" t="str">
        <f>IF(ISBLANK(N322),"",VLOOKUP(N322,[17]Parámetros!$G$2:$H$23,2,FALSE))</f>
        <v xml:space="preserve">Contratación directa (con ofertas) </v>
      </c>
      <c r="P322" s="142">
        <v>1</v>
      </c>
      <c r="Q322" s="143">
        <f t="shared" si="55"/>
        <v>22070000000</v>
      </c>
      <c r="R322" s="143">
        <f t="shared" si="56"/>
        <v>22070000000</v>
      </c>
      <c r="S322" s="144" t="s">
        <v>222</v>
      </c>
      <c r="T322" s="140">
        <v>0</v>
      </c>
      <c r="U322" s="145" t="str">
        <f t="shared" si="57"/>
        <v>SUBDIRECCION DE GESTION CONTRACTUAL</v>
      </c>
      <c r="V322" s="132" t="str">
        <f t="shared" si="58"/>
        <v>CO-DC</v>
      </c>
      <c r="W322" s="145" t="str">
        <f t="shared" si="59"/>
        <v>Distrito Capital de Bogotá</v>
      </c>
      <c r="X322" s="146" t="s">
        <v>106</v>
      </c>
      <c r="Y322" s="147">
        <v>2427400</v>
      </c>
      <c r="Z322" s="148" t="s">
        <v>348</v>
      </c>
    </row>
    <row r="323" spans="1:26" s="7" customFormat="1" ht="12.75" customHeight="1" x14ac:dyDescent="0.2">
      <c r="A323" s="131" t="s">
        <v>99</v>
      </c>
      <c r="B323" s="132">
        <v>86</v>
      </c>
      <c r="C323" s="133" t="s">
        <v>382</v>
      </c>
      <c r="D323" s="133" t="s">
        <v>104</v>
      </c>
      <c r="E323" s="134"/>
      <c r="F323" s="134">
        <v>4000000000</v>
      </c>
      <c r="G323" s="134"/>
      <c r="H323" s="135" t="s">
        <v>389</v>
      </c>
      <c r="I323" s="136" t="s">
        <v>390</v>
      </c>
      <c r="J323" s="150">
        <v>3</v>
      </c>
      <c r="K323" s="150">
        <v>4</v>
      </c>
      <c r="L323" s="150">
        <v>8</v>
      </c>
      <c r="M323" s="132">
        <f t="shared" si="54"/>
        <v>1</v>
      </c>
      <c r="N323" s="140" t="s">
        <v>36</v>
      </c>
      <c r="O323" s="141" t="str">
        <f>IF(ISBLANK(N323),"",VLOOKUP(N323,[17]Parámetros!$G$2:$H$23,2,FALSE))</f>
        <v xml:space="preserve">Contratación directa (con ofertas) </v>
      </c>
      <c r="P323" s="142">
        <v>1</v>
      </c>
      <c r="Q323" s="143">
        <f t="shared" si="55"/>
        <v>4000000000</v>
      </c>
      <c r="R323" s="143">
        <f t="shared" si="56"/>
        <v>4000000000</v>
      </c>
      <c r="S323" s="144" t="s">
        <v>222</v>
      </c>
      <c r="T323" s="140">
        <v>0</v>
      </c>
      <c r="U323" s="145" t="str">
        <f t="shared" si="57"/>
        <v>SUBDIRECCION DE GESTION CONTRACTUAL</v>
      </c>
      <c r="V323" s="132" t="str">
        <f t="shared" si="58"/>
        <v>CO-DC</v>
      </c>
      <c r="W323" s="145" t="str">
        <f t="shared" si="59"/>
        <v>Distrito Capital de Bogotá</v>
      </c>
      <c r="X323" s="146" t="s">
        <v>106</v>
      </c>
      <c r="Y323" s="147">
        <v>2427400</v>
      </c>
      <c r="Z323" s="148" t="s">
        <v>348</v>
      </c>
    </row>
    <row r="324" spans="1:26" s="7" customFormat="1" ht="12.75" customHeight="1" x14ac:dyDescent="0.2">
      <c r="A324" s="131" t="s">
        <v>99</v>
      </c>
      <c r="B324" s="132">
        <v>87</v>
      </c>
      <c r="C324" s="133" t="s">
        <v>382</v>
      </c>
      <c r="D324" s="133" t="s">
        <v>104</v>
      </c>
      <c r="E324" s="134"/>
      <c r="F324" s="134">
        <v>849200000</v>
      </c>
      <c r="G324" s="134"/>
      <c r="H324" s="135" t="s">
        <v>383</v>
      </c>
      <c r="I324" s="136" t="s">
        <v>384</v>
      </c>
      <c r="J324" s="150">
        <v>6</v>
      </c>
      <c r="K324" s="150">
        <v>7</v>
      </c>
      <c r="L324" s="150">
        <v>5</v>
      </c>
      <c r="M324" s="132">
        <f t="shared" si="54"/>
        <v>1</v>
      </c>
      <c r="N324" s="140" t="s">
        <v>36</v>
      </c>
      <c r="O324" s="141" t="str">
        <f>IF(ISBLANK(N324),"",VLOOKUP(N324,[17]Parámetros!$G$2:$H$23,2,FALSE))</f>
        <v xml:space="preserve">Contratación directa (con ofertas) </v>
      </c>
      <c r="P324" s="142">
        <v>1</v>
      </c>
      <c r="Q324" s="143">
        <f t="shared" si="55"/>
        <v>849200000</v>
      </c>
      <c r="R324" s="143">
        <f t="shared" si="56"/>
        <v>849200000</v>
      </c>
      <c r="S324" s="144" t="s">
        <v>222</v>
      </c>
      <c r="T324" s="140">
        <v>0</v>
      </c>
      <c r="U324" s="145" t="str">
        <f t="shared" si="57"/>
        <v>SUBDIRECCION DE GESTION CONTRACTUAL</v>
      </c>
      <c r="V324" s="132" t="str">
        <f t="shared" si="58"/>
        <v>CO-DC</v>
      </c>
      <c r="W324" s="145" t="str">
        <f t="shared" si="59"/>
        <v>Distrito Capital de Bogotá</v>
      </c>
      <c r="X324" s="146" t="s">
        <v>106</v>
      </c>
      <c r="Y324" s="147">
        <v>2427400</v>
      </c>
      <c r="Z324" s="148" t="s">
        <v>348</v>
      </c>
    </row>
    <row r="325" spans="1:26" s="7" customFormat="1" ht="12.75" customHeight="1" x14ac:dyDescent="0.2">
      <c r="A325" s="131" t="s">
        <v>99</v>
      </c>
      <c r="B325" s="132">
        <v>88</v>
      </c>
      <c r="C325" s="133" t="s">
        <v>391</v>
      </c>
      <c r="D325" s="204" t="s">
        <v>821</v>
      </c>
      <c r="E325" s="134"/>
      <c r="F325" s="134">
        <v>950000000</v>
      </c>
      <c r="G325" s="134"/>
      <c r="H325" s="135" t="s">
        <v>101</v>
      </c>
      <c r="I325" s="136" t="s">
        <v>360</v>
      </c>
      <c r="J325" s="150">
        <v>6</v>
      </c>
      <c r="K325" s="150">
        <v>6</v>
      </c>
      <c r="L325" s="150">
        <v>6</v>
      </c>
      <c r="M325" s="132">
        <f t="shared" si="54"/>
        <v>1</v>
      </c>
      <c r="N325" s="140" t="s">
        <v>36</v>
      </c>
      <c r="O325" s="141" t="str">
        <f>IF(ISBLANK(N325),"",VLOOKUP(N325,[17]Parámetros!$G$2:$H$23,2,FALSE))</f>
        <v xml:space="preserve">Contratación directa (con ofertas) </v>
      </c>
      <c r="P325" s="142">
        <v>1</v>
      </c>
      <c r="Q325" s="143">
        <f t="shared" si="55"/>
        <v>950000000</v>
      </c>
      <c r="R325" s="143">
        <f t="shared" si="56"/>
        <v>950000000</v>
      </c>
      <c r="S325" s="144" t="s">
        <v>222</v>
      </c>
      <c r="T325" s="140">
        <v>0</v>
      </c>
      <c r="U325" s="145" t="str">
        <f t="shared" si="57"/>
        <v>SUBDIRECCION DE GESTION CONTRACTUAL</v>
      </c>
      <c r="V325" s="132" t="str">
        <f t="shared" si="58"/>
        <v>CO-DC</v>
      </c>
      <c r="W325" s="145" t="str">
        <f t="shared" si="59"/>
        <v>Distrito Capital de Bogotá</v>
      </c>
      <c r="X325" s="146" t="s">
        <v>106</v>
      </c>
      <c r="Y325" s="147">
        <v>2427400</v>
      </c>
      <c r="Z325" s="148" t="s">
        <v>348</v>
      </c>
    </row>
    <row r="326" spans="1:26" s="7" customFormat="1" ht="13.5" customHeight="1" x14ac:dyDescent="0.2">
      <c r="A326" s="205" t="s">
        <v>99</v>
      </c>
      <c r="B326" s="206">
        <v>89</v>
      </c>
      <c r="C326" s="207" t="s">
        <v>391</v>
      </c>
      <c r="D326" s="204" t="s">
        <v>821</v>
      </c>
      <c r="E326" s="208"/>
      <c r="F326" s="208">
        <v>440000000</v>
      </c>
      <c r="G326" s="208"/>
      <c r="H326" s="209" t="s">
        <v>375</v>
      </c>
      <c r="I326" s="210" t="s">
        <v>376</v>
      </c>
      <c r="J326" s="211">
        <v>3</v>
      </c>
      <c r="K326" s="211">
        <v>4</v>
      </c>
      <c r="L326" s="211">
        <v>7</v>
      </c>
      <c r="M326" s="206">
        <f t="shared" si="54"/>
        <v>1</v>
      </c>
      <c r="N326" s="212" t="s">
        <v>36</v>
      </c>
      <c r="O326" s="213" t="str">
        <f>IF(ISBLANK(N326),"",VLOOKUP(N326,[17]Parámetros!$G$2:$H$23,2,FALSE))</f>
        <v xml:space="preserve">Contratación directa (con ofertas) </v>
      </c>
      <c r="P326" s="214">
        <v>1</v>
      </c>
      <c r="Q326" s="215">
        <f t="shared" si="55"/>
        <v>440000000</v>
      </c>
      <c r="R326" s="215">
        <f t="shared" si="56"/>
        <v>440000000</v>
      </c>
      <c r="S326" s="216" t="s">
        <v>222</v>
      </c>
      <c r="T326" s="212">
        <v>0</v>
      </c>
      <c r="U326" s="217" t="str">
        <f t="shared" si="57"/>
        <v>SUBDIRECCION DE GESTION CONTRACTUAL</v>
      </c>
      <c r="V326" s="206" t="str">
        <f t="shared" si="58"/>
        <v>CO-DC</v>
      </c>
      <c r="W326" s="217" t="str">
        <f t="shared" si="59"/>
        <v>Distrito Capital de Bogotá</v>
      </c>
      <c r="X326" s="218" t="s">
        <v>106</v>
      </c>
      <c r="Y326" s="219">
        <v>2427400</v>
      </c>
      <c r="Z326" s="220" t="s">
        <v>348</v>
      </c>
    </row>
    <row r="327" spans="1:26" s="230" customFormat="1" ht="13.5" customHeight="1" x14ac:dyDescent="0.2">
      <c r="A327" s="221" t="s">
        <v>99</v>
      </c>
      <c r="B327" s="221">
        <v>90</v>
      </c>
      <c r="C327" s="158" t="s">
        <v>391</v>
      </c>
      <c r="D327" s="204" t="s">
        <v>821</v>
      </c>
      <c r="E327" s="222"/>
      <c r="F327" s="222">
        <v>610000000</v>
      </c>
      <c r="G327" s="222"/>
      <c r="H327" s="223" t="s">
        <v>375</v>
      </c>
      <c r="I327" s="187" t="s">
        <v>392</v>
      </c>
      <c r="J327" s="224">
        <v>3</v>
      </c>
      <c r="K327" s="224">
        <v>4</v>
      </c>
      <c r="L327" s="224">
        <v>7</v>
      </c>
      <c r="M327" s="221">
        <f t="shared" si="54"/>
        <v>1</v>
      </c>
      <c r="N327" s="225" t="s">
        <v>36</v>
      </c>
      <c r="O327" s="226" t="str">
        <f>IF(ISBLANK(N327),"",VLOOKUP(N327,[17]Parámetros!$G$2:$H$23,2,FALSE))</f>
        <v xml:space="preserve">Contratación directa (con ofertas) </v>
      </c>
      <c r="P327" s="227">
        <v>1</v>
      </c>
      <c r="Q327" s="228">
        <f t="shared" si="55"/>
        <v>610000000</v>
      </c>
      <c r="R327" s="228">
        <f t="shared" si="56"/>
        <v>610000000</v>
      </c>
      <c r="S327" s="229" t="s">
        <v>222</v>
      </c>
      <c r="T327" s="225">
        <v>0</v>
      </c>
      <c r="U327" s="230" t="str">
        <f t="shared" si="57"/>
        <v>SUBDIRECCION DE GESTION CONTRACTUAL</v>
      </c>
      <c r="V327" s="221" t="str">
        <f t="shared" si="58"/>
        <v>CO-DC</v>
      </c>
      <c r="W327" s="230" t="str">
        <f t="shared" si="59"/>
        <v>Distrito Capital de Bogotá</v>
      </c>
      <c r="X327" s="231" t="s">
        <v>106</v>
      </c>
      <c r="Y327" s="159">
        <v>2427400</v>
      </c>
      <c r="Z327" s="231" t="s">
        <v>348</v>
      </c>
    </row>
    <row r="328" spans="1:26" s="230" customFormat="1" ht="12.75" customHeight="1" x14ac:dyDescent="0.2">
      <c r="A328" s="221" t="s">
        <v>99</v>
      </c>
      <c r="B328" s="221">
        <v>91</v>
      </c>
      <c r="C328" s="158" t="s">
        <v>369</v>
      </c>
      <c r="D328" s="158" t="s">
        <v>100</v>
      </c>
      <c r="E328" s="222"/>
      <c r="F328" s="222">
        <v>15000000</v>
      </c>
      <c r="G328" s="222"/>
      <c r="H328" s="223" t="s">
        <v>51</v>
      </c>
      <c r="I328" s="187" t="s">
        <v>819</v>
      </c>
      <c r="J328" s="224">
        <v>4</v>
      </c>
      <c r="K328" s="224">
        <v>6</v>
      </c>
      <c r="L328" s="224">
        <v>1</v>
      </c>
      <c r="M328" s="221">
        <v>1</v>
      </c>
      <c r="N328" s="225" t="s">
        <v>43</v>
      </c>
      <c r="O328" s="226" t="str">
        <f>IF(ISBLANK(N328),"",VLOOKUP(N328,[18]Parámetros!$G$2:$H$23,2,FALSE))</f>
        <v>Selección abreviada subasta inversa</v>
      </c>
      <c r="P328" s="227">
        <v>1</v>
      </c>
      <c r="Q328" s="228">
        <v>15000000</v>
      </c>
      <c r="R328" s="228">
        <v>15000000</v>
      </c>
      <c r="S328" s="229" t="s">
        <v>222</v>
      </c>
      <c r="T328" s="225">
        <v>0</v>
      </c>
      <c r="U328" s="230" t="str">
        <f t="shared" si="57"/>
        <v>SUBDIRECCION DE GESTION CONTRACTUAL</v>
      </c>
      <c r="V328" s="221" t="str">
        <f t="shared" si="58"/>
        <v>CO-DC</v>
      </c>
      <c r="W328" s="230" t="str">
        <f t="shared" si="59"/>
        <v>Distrito Capital de Bogotá</v>
      </c>
      <c r="X328" s="231" t="s">
        <v>73</v>
      </c>
      <c r="Y328" s="159">
        <v>2427400</v>
      </c>
      <c r="Z328" s="231" t="s">
        <v>74</v>
      </c>
    </row>
    <row r="329" spans="1:26" s="230" customFormat="1" ht="12.75" customHeight="1" x14ac:dyDescent="0.2">
      <c r="A329" s="221" t="s">
        <v>99</v>
      </c>
      <c r="B329" s="221">
        <v>92</v>
      </c>
      <c r="C329" s="158" t="s">
        <v>377</v>
      </c>
      <c r="D329" s="158" t="s">
        <v>100</v>
      </c>
      <c r="E329" s="222"/>
      <c r="F329" s="222">
        <v>20000000000</v>
      </c>
      <c r="G329" s="222"/>
      <c r="H329" s="223" t="s">
        <v>375</v>
      </c>
      <c r="I329" s="232" t="s">
        <v>820</v>
      </c>
      <c r="J329" s="224">
        <v>2</v>
      </c>
      <c r="K329" s="224">
        <v>2</v>
      </c>
      <c r="L329" s="224">
        <v>10</v>
      </c>
      <c r="M329" s="221">
        <v>1</v>
      </c>
      <c r="N329" s="225" t="s">
        <v>36</v>
      </c>
      <c r="O329" s="226" t="str">
        <f>IF(ISBLANK(N329),"",VLOOKUP(N329,[18]Parámetros!$G$2:$H$23,2,FALSE))</f>
        <v xml:space="preserve">Contratación directa (con ofertas) </v>
      </c>
      <c r="P329" s="227">
        <v>1</v>
      </c>
      <c r="Q329" s="228">
        <v>20000000000</v>
      </c>
      <c r="R329" s="228">
        <v>20000000000</v>
      </c>
      <c r="S329" s="229" t="s">
        <v>222</v>
      </c>
      <c r="T329" s="225">
        <v>0</v>
      </c>
      <c r="U329" s="230" t="str">
        <f t="shared" si="57"/>
        <v>SUBDIRECCION DE GESTION CONTRACTUAL</v>
      </c>
      <c r="V329" s="221" t="str">
        <f t="shared" si="58"/>
        <v>CO-DC</v>
      </c>
      <c r="W329" s="230" t="str">
        <f t="shared" si="59"/>
        <v>Distrito Capital de Bogotá</v>
      </c>
      <c r="X329" s="231" t="s">
        <v>106</v>
      </c>
      <c r="Y329" s="219">
        <v>2427400</v>
      </c>
      <c r="Z329" s="231" t="s">
        <v>348</v>
      </c>
    </row>
    <row r="330" spans="1:26" s="7" customFormat="1" ht="12.75" customHeight="1" x14ac:dyDescent="0.2">
      <c r="A330" s="195" t="s">
        <v>169</v>
      </c>
      <c r="B330" s="195">
        <v>1</v>
      </c>
      <c r="C330" s="233" t="s">
        <v>393</v>
      </c>
      <c r="D330" s="234" t="s">
        <v>798</v>
      </c>
      <c r="E330" s="235"/>
      <c r="F330" s="235">
        <f>8521050000-215000000</f>
        <v>8306050000</v>
      </c>
      <c r="G330" s="235"/>
      <c r="H330" s="192">
        <v>80111600</v>
      </c>
      <c r="I330" s="236" t="s">
        <v>394</v>
      </c>
      <c r="J330" s="194">
        <v>1</v>
      </c>
      <c r="K330" s="194">
        <v>1</v>
      </c>
      <c r="L330" s="194">
        <v>12</v>
      </c>
      <c r="M330" s="195">
        <f t="shared" si="54"/>
        <v>1</v>
      </c>
      <c r="N330" s="196" t="s">
        <v>216</v>
      </c>
      <c r="O330" s="237" t="str">
        <f>IF(ISBLANK(N330),"",VLOOKUP(N330,[19]Parámetros!$G$2:$H$23,2,FALSE))</f>
        <v>Contratación directa.</v>
      </c>
      <c r="P330" s="238">
        <f t="shared" ref="P330:P363" si="60">IF(ISBLANK(N330),"",1)</f>
        <v>1</v>
      </c>
      <c r="Q330" s="239">
        <f t="shared" si="55"/>
        <v>8306050000</v>
      </c>
      <c r="R330" s="239">
        <f t="shared" si="56"/>
        <v>8306050000</v>
      </c>
      <c r="S330" s="240" t="s">
        <v>222</v>
      </c>
      <c r="T330" s="196">
        <f t="shared" ref="T330:T363" si="61">IF(ISBLANK(S330),"",IF(VALUE(S330)=0,0,IF(VALUE(S330)=1,3,"")))</f>
        <v>0</v>
      </c>
      <c r="U330" s="241" t="str">
        <f t="shared" si="57"/>
        <v>SUBDIRECCION DE GESTION CONTRACTUAL</v>
      </c>
      <c r="V330" s="195" t="str">
        <f t="shared" si="58"/>
        <v>CO-DC</v>
      </c>
      <c r="W330" s="241" t="str">
        <f t="shared" si="59"/>
        <v>Distrito Capital de Bogotá</v>
      </c>
      <c r="X330" s="242" t="s">
        <v>170</v>
      </c>
      <c r="Y330" s="195">
        <v>2427400</v>
      </c>
      <c r="Z330" s="242" t="s">
        <v>171</v>
      </c>
    </row>
    <row r="331" spans="1:26" s="7" customFormat="1" ht="12.75" customHeight="1" x14ac:dyDescent="0.2">
      <c r="A331" s="132" t="s">
        <v>169</v>
      </c>
      <c r="B331" s="132">
        <v>2</v>
      </c>
      <c r="C331" s="133" t="s">
        <v>393</v>
      </c>
      <c r="D331" s="234" t="s">
        <v>798</v>
      </c>
      <c r="E331" s="134"/>
      <c r="F331" s="134">
        <v>1200000000</v>
      </c>
      <c r="G331" s="134"/>
      <c r="H331" s="135" t="s">
        <v>752</v>
      </c>
      <c r="I331" s="136" t="s">
        <v>395</v>
      </c>
      <c r="J331" s="137">
        <v>2</v>
      </c>
      <c r="K331" s="138">
        <v>3</v>
      </c>
      <c r="L331" s="139">
        <v>9</v>
      </c>
      <c r="M331" s="132">
        <f t="shared" si="54"/>
        <v>1</v>
      </c>
      <c r="N331" s="140" t="s">
        <v>226</v>
      </c>
      <c r="O331" s="141" t="str">
        <f>IF(ISBLANK(N331),"",VLOOKUP(N331,[19]Parámetros!$G$2:$H$23,2,FALSE))</f>
        <v>Licitación pública</v>
      </c>
      <c r="P331" s="142">
        <f t="shared" si="60"/>
        <v>1</v>
      </c>
      <c r="Q331" s="143">
        <f t="shared" si="55"/>
        <v>1200000000</v>
      </c>
      <c r="R331" s="143">
        <f t="shared" si="56"/>
        <v>1200000000</v>
      </c>
      <c r="S331" s="144" t="s">
        <v>222</v>
      </c>
      <c r="T331" s="140">
        <f t="shared" si="61"/>
        <v>0</v>
      </c>
      <c r="U331" s="145" t="str">
        <f t="shared" si="57"/>
        <v>SUBDIRECCION DE GESTION CONTRACTUAL</v>
      </c>
      <c r="V331" s="132" t="str">
        <f t="shared" si="58"/>
        <v>CO-DC</v>
      </c>
      <c r="W331" s="145" t="str">
        <f t="shared" si="59"/>
        <v>Distrito Capital de Bogotá</v>
      </c>
      <c r="X331" s="146" t="s">
        <v>170</v>
      </c>
      <c r="Y331" s="132">
        <v>2427400</v>
      </c>
      <c r="Z331" s="146" t="s">
        <v>171</v>
      </c>
    </row>
    <row r="332" spans="1:26" s="7" customFormat="1" ht="12.75" customHeight="1" x14ac:dyDescent="0.2">
      <c r="A332" s="132" t="s">
        <v>169</v>
      </c>
      <c r="B332" s="132">
        <v>3</v>
      </c>
      <c r="C332" s="133" t="s">
        <v>393</v>
      </c>
      <c r="D332" s="234" t="s">
        <v>798</v>
      </c>
      <c r="E332" s="134">
        <v>29702409.983999997</v>
      </c>
      <c r="F332" s="134">
        <v>445000000</v>
      </c>
      <c r="G332" s="134"/>
      <c r="H332" s="135" t="s">
        <v>42</v>
      </c>
      <c r="I332" s="136" t="s">
        <v>396</v>
      </c>
      <c r="J332" s="137">
        <v>3</v>
      </c>
      <c r="K332" s="138">
        <v>4</v>
      </c>
      <c r="L332" s="139">
        <v>9</v>
      </c>
      <c r="M332" s="132">
        <f t="shared" si="54"/>
        <v>1</v>
      </c>
      <c r="N332" s="140" t="s">
        <v>61</v>
      </c>
      <c r="O332" s="141" t="str">
        <f>IF(ISBLANK(N332),"",VLOOKUP(N332,[15]Parámetros!$G$2:$H$23,2,FALSE))</f>
        <v>Contratación régimen especial - Selección de comisionista</v>
      </c>
      <c r="P332" s="142">
        <f t="shared" si="60"/>
        <v>1</v>
      </c>
      <c r="Q332" s="143">
        <f t="shared" si="55"/>
        <v>474702409.98399997</v>
      </c>
      <c r="R332" s="143">
        <f t="shared" si="56"/>
        <v>445000000</v>
      </c>
      <c r="S332" s="144" t="s">
        <v>222</v>
      </c>
      <c r="T332" s="140">
        <f t="shared" si="61"/>
        <v>0</v>
      </c>
      <c r="U332" s="145" t="str">
        <f t="shared" si="57"/>
        <v>SUBDIRECCION DE GESTION CONTRACTUAL</v>
      </c>
      <c r="V332" s="132" t="str">
        <f t="shared" si="58"/>
        <v>CO-DC</v>
      </c>
      <c r="W332" s="145" t="str">
        <f t="shared" si="59"/>
        <v>Distrito Capital de Bogotá</v>
      </c>
      <c r="X332" s="146" t="s">
        <v>170</v>
      </c>
      <c r="Y332" s="132">
        <v>2427400</v>
      </c>
      <c r="Z332" s="146" t="s">
        <v>171</v>
      </c>
    </row>
    <row r="333" spans="1:26" s="7" customFormat="1" ht="12.75" customHeight="1" x14ac:dyDescent="0.2">
      <c r="A333" s="132" t="s">
        <v>169</v>
      </c>
      <c r="B333" s="132">
        <v>4</v>
      </c>
      <c r="C333" s="133" t="s">
        <v>393</v>
      </c>
      <c r="D333" s="234" t="s">
        <v>798</v>
      </c>
      <c r="E333" s="134"/>
      <c r="F333" s="134">
        <v>75000000</v>
      </c>
      <c r="G333" s="134"/>
      <c r="H333" s="135" t="s">
        <v>604</v>
      </c>
      <c r="I333" s="136" t="s">
        <v>397</v>
      </c>
      <c r="J333" s="137">
        <v>2</v>
      </c>
      <c r="K333" s="138">
        <v>2</v>
      </c>
      <c r="L333" s="139">
        <v>10</v>
      </c>
      <c r="M333" s="132">
        <f t="shared" si="54"/>
        <v>1</v>
      </c>
      <c r="N333" s="140" t="s">
        <v>36</v>
      </c>
      <c r="O333" s="141" t="str">
        <f>IF(ISBLANK(N333),"",VLOOKUP(N333,[19]Parámetros!$G$2:$H$23,2,FALSE))</f>
        <v xml:space="preserve">Contratación directa (con ofertas) </v>
      </c>
      <c r="P333" s="142">
        <f t="shared" si="60"/>
        <v>1</v>
      </c>
      <c r="Q333" s="143">
        <f t="shared" si="55"/>
        <v>75000000</v>
      </c>
      <c r="R333" s="143">
        <f t="shared" si="56"/>
        <v>75000000</v>
      </c>
      <c r="S333" s="144" t="s">
        <v>222</v>
      </c>
      <c r="T333" s="140">
        <f t="shared" si="61"/>
        <v>0</v>
      </c>
      <c r="U333" s="145" t="str">
        <f t="shared" si="57"/>
        <v>SUBDIRECCION DE GESTION CONTRACTUAL</v>
      </c>
      <c r="V333" s="132" t="str">
        <f t="shared" si="58"/>
        <v>CO-DC</v>
      </c>
      <c r="W333" s="145" t="str">
        <f t="shared" si="59"/>
        <v>Distrito Capital de Bogotá</v>
      </c>
      <c r="X333" s="146" t="s">
        <v>307</v>
      </c>
      <c r="Y333" s="132">
        <v>2427400</v>
      </c>
      <c r="Z333" s="148" t="s">
        <v>94</v>
      </c>
    </row>
    <row r="334" spans="1:26" s="7" customFormat="1" ht="12.75" customHeight="1" x14ac:dyDescent="0.2">
      <c r="A334" s="132" t="s">
        <v>169</v>
      </c>
      <c r="B334" s="132">
        <v>5</v>
      </c>
      <c r="C334" s="133" t="s">
        <v>393</v>
      </c>
      <c r="D334" s="234" t="s">
        <v>798</v>
      </c>
      <c r="E334" s="134"/>
      <c r="F334" s="134">
        <v>1250000000</v>
      </c>
      <c r="G334" s="134"/>
      <c r="H334" s="135" t="s">
        <v>754</v>
      </c>
      <c r="I334" s="136" t="s">
        <v>398</v>
      </c>
      <c r="J334" s="150">
        <v>2</v>
      </c>
      <c r="K334" s="150">
        <v>3</v>
      </c>
      <c r="L334" s="150">
        <v>9</v>
      </c>
      <c r="M334" s="132">
        <f t="shared" si="54"/>
        <v>1</v>
      </c>
      <c r="N334" s="140" t="s">
        <v>36</v>
      </c>
      <c r="O334" s="141" t="str">
        <f>IF(ISBLANK(N334),"",VLOOKUP(N334,[19]Parámetros!$G$2:$H$23,2,FALSE))</f>
        <v xml:space="preserve">Contratación directa (con ofertas) </v>
      </c>
      <c r="P334" s="142">
        <f t="shared" si="60"/>
        <v>1</v>
      </c>
      <c r="Q334" s="143">
        <f t="shared" si="55"/>
        <v>1250000000</v>
      </c>
      <c r="R334" s="143">
        <f t="shared" si="56"/>
        <v>1250000000</v>
      </c>
      <c r="S334" s="144" t="s">
        <v>222</v>
      </c>
      <c r="T334" s="140">
        <f t="shared" si="61"/>
        <v>0</v>
      </c>
      <c r="U334" s="145" t="str">
        <f t="shared" si="57"/>
        <v>SUBDIRECCION DE GESTION CONTRACTUAL</v>
      </c>
      <c r="V334" s="132" t="str">
        <f t="shared" si="58"/>
        <v>CO-DC</v>
      </c>
      <c r="W334" s="145" t="str">
        <f t="shared" si="59"/>
        <v>Distrito Capital de Bogotá</v>
      </c>
      <c r="X334" s="146" t="s">
        <v>170</v>
      </c>
      <c r="Y334" s="132">
        <v>2427400</v>
      </c>
      <c r="Z334" s="146" t="s">
        <v>171</v>
      </c>
    </row>
    <row r="335" spans="1:26" s="7" customFormat="1" ht="12.75" customHeight="1" x14ac:dyDescent="0.2">
      <c r="A335" s="132" t="s">
        <v>169</v>
      </c>
      <c r="B335" s="132">
        <v>6</v>
      </c>
      <c r="C335" s="133" t="s">
        <v>393</v>
      </c>
      <c r="D335" s="234" t="s">
        <v>798</v>
      </c>
      <c r="E335" s="134"/>
      <c r="F335" s="134">
        <v>100000000</v>
      </c>
      <c r="G335" s="134"/>
      <c r="H335" s="135" t="s">
        <v>230</v>
      </c>
      <c r="I335" s="136" t="s">
        <v>399</v>
      </c>
      <c r="J335" s="150">
        <v>2</v>
      </c>
      <c r="K335" s="150">
        <v>3</v>
      </c>
      <c r="L335" s="150">
        <v>4</v>
      </c>
      <c r="M335" s="132">
        <f t="shared" si="54"/>
        <v>1</v>
      </c>
      <c r="N335" s="140" t="s">
        <v>43</v>
      </c>
      <c r="O335" s="141" t="str">
        <f>IF(ISBLANK(N335),"",VLOOKUP(N335,[19]Parámetros!$G$2:$H$23,2,FALSE))</f>
        <v>Selección abreviada subasta inversa</v>
      </c>
      <c r="P335" s="142">
        <f t="shared" si="60"/>
        <v>1</v>
      </c>
      <c r="Q335" s="143">
        <f t="shared" si="55"/>
        <v>100000000</v>
      </c>
      <c r="R335" s="143">
        <f t="shared" si="56"/>
        <v>100000000</v>
      </c>
      <c r="S335" s="144" t="s">
        <v>222</v>
      </c>
      <c r="T335" s="140">
        <f t="shared" si="61"/>
        <v>0</v>
      </c>
      <c r="U335" s="145" t="str">
        <f t="shared" si="57"/>
        <v>SUBDIRECCION DE GESTION CONTRACTUAL</v>
      </c>
      <c r="V335" s="132" t="str">
        <f t="shared" si="58"/>
        <v>CO-DC</v>
      </c>
      <c r="W335" s="145" t="str">
        <f t="shared" si="59"/>
        <v>Distrito Capital de Bogotá</v>
      </c>
      <c r="X335" s="146" t="s">
        <v>307</v>
      </c>
      <c r="Y335" s="132">
        <v>2427400</v>
      </c>
      <c r="Z335" s="148" t="s">
        <v>94</v>
      </c>
    </row>
    <row r="336" spans="1:26" s="7" customFormat="1" ht="12.75" customHeight="1" x14ac:dyDescent="0.2">
      <c r="A336" s="132" t="s">
        <v>169</v>
      </c>
      <c r="B336" s="132">
        <v>7</v>
      </c>
      <c r="C336" s="133" t="s">
        <v>393</v>
      </c>
      <c r="D336" s="234" t="s">
        <v>798</v>
      </c>
      <c r="E336" s="134"/>
      <c r="F336" s="134">
        <v>15000000</v>
      </c>
      <c r="G336" s="134"/>
      <c r="H336" s="135" t="s">
        <v>51</v>
      </c>
      <c r="I336" s="136" t="s">
        <v>400</v>
      </c>
      <c r="J336" s="137">
        <v>4</v>
      </c>
      <c r="K336" s="138">
        <v>6</v>
      </c>
      <c r="L336" s="139">
        <v>1</v>
      </c>
      <c r="M336" s="132">
        <f t="shared" si="54"/>
        <v>1</v>
      </c>
      <c r="N336" s="140" t="s">
        <v>43</v>
      </c>
      <c r="O336" s="141" t="str">
        <f>IF(ISBLANK(N336),"",VLOOKUP(N336,[19]Parámetros!$G$2:$H$23,2,FALSE))</f>
        <v>Selección abreviada subasta inversa</v>
      </c>
      <c r="P336" s="142">
        <f t="shared" si="60"/>
        <v>1</v>
      </c>
      <c r="Q336" s="143">
        <f t="shared" si="55"/>
        <v>15000000</v>
      </c>
      <c r="R336" s="143">
        <f t="shared" si="56"/>
        <v>15000000</v>
      </c>
      <c r="S336" s="144" t="s">
        <v>222</v>
      </c>
      <c r="T336" s="140">
        <f t="shared" si="61"/>
        <v>0</v>
      </c>
      <c r="U336" s="145" t="str">
        <f t="shared" si="57"/>
        <v>SUBDIRECCION DE GESTION CONTRACTUAL</v>
      </c>
      <c r="V336" s="132" t="str">
        <f t="shared" si="58"/>
        <v>CO-DC</v>
      </c>
      <c r="W336" s="145" t="str">
        <f t="shared" si="59"/>
        <v>Distrito Capital de Bogotá</v>
      </c>
      <c r="X336" s="146" t="s">
        <v>73</v>
      </c>
      <c r="Y336" s="132">
        <v>2427400</v>
      </c>
      <c r="Z336" s="148" t="s">
        <v>74</v>
      </c>
    </row>
    <row r="337" spans="1:26" s="7" customFormat="1" ht="12.75" customHeight="1" x14ac:dyDescent="0.2">
      <c r="A337" s="132" t="s">
        <v>169</v>
      </c>
      <c r="B337" s="132">
        <v>8</v>
      </c>
      <c r="C337" s="133" t="s">
        <v>401</v>
      </c>
      <c r="D337" s="234" t="s">
        <v>798</v>
      </c>
      <c r="E337" s="134"/>
      <c r="F337" s="134">
        <v>28000000000</v>
      </c>
      <c r="G337" s="134"/>
      <c r="H337" s="135" t="s">
        <v>754</v>
      </c>
      <c r="I337" s="136" t="s">
        <v>402</v>
      </c>
      <c r="J337" s="150">
        <v>2</v>
      </c>
      <c r="K337" s="150">
        <v>3</v>
      </c>
      <c r="L337" s="150">
        <v>9</v>
      </c>
      <c r="M337" s="132">
        <f t="shared" si="54"/>
        <v>1</v>
      </c>
      <c r="N337" s="140" t="s">
        <v>36</v>
      </c>
      <c r="O337" s="141" t="str">
        <f>IF(ISBLANK(N337),"",VLOOKUP(N337,[19]Parámetros!$G$2:$H$23,2,FALSE))</f>
        <v xml:space="preserve">Contratación directa (con ofertas) </v>
      </c>
      <c r="P337" s="142">
        <f t="shared" si="60"/>
        <v>1</v>
      </c>
      <c r="Q337" s="143">
        <f t="shared" si="55"/>
        <v>28000000000</v>
      </c>
      <c r="R337" s="143">
        <f t="shared" si="56"/>
        <v>28000000000</v>
      </c>
      <c r="S337" s="144" t="s">
        <v>222</v>
      </c>
      <c r="T337" s="140">
        <f t="shared" si="61"/>
        <v>0</v>
      </c>
      <c r="U337" s="145" t="str">
        <f t="shared" si="57"/>
        <v>SUBDIRECCION DE GESTION CONTRACTUAL</v>
      </c>
      <c r="V337" s="132" t="str">
        <f t="shared" si="58"/>
        <v>CO-DC</v>
      </c>
      <c r="W337" s="145" t="str">
        <f t="shared" si="59"/>
        <v>Distrito Capital de Bogotá</v>
      </c>
      <c r="X337" s="146" t="s">
        <v>170</v>
      </c>
      <c r="Y337" s="132">
        <v>2427400</v>
      </c>
      <c r="Z337" s="146" t="s">
        <v>171</v>
      </c>
    </row>
    <row r="338" spans="1:26" s="7" customFormat="1" ht="12.75" customHeight="1" x14ac:dyDescent="0.2">
      <c r="A338" s="132" t="s">
        <v>169</v>
      </c>
      <c r="B338" s="132">
        <v>9</v>
      </c>
      <c r="C338" s="133" t="s">
        <v>172</v>
      </c>
      <c r="D338" s="133" t="s">
        <v>173</v>
      </c>
      <c r="E338" s="134"/>
      <c r="F338" s="134">
        <v>2257136244</v>
      </c>
      <c r="G338" s="134"/>
      <c r="H338" s="135">
        <v>80111600</v>
      </c>
      <c r="I338" s="162" t="s">
        <v>394</v>
      </c>
      <c r="J338" s="150">
        <v>1</v>
      </c>
      <c r="K338" s="150">
        <v>1</v>
      </c>
      <c r="L338" s="150">
        <v>12</v>
      </c>
      <c r="M338" s="132">
        <f t="shared" si="54"/>
        <v>1</v>
      </c>
      <c r="N338" s="140" t="s">
        <v>216</v>
      </c>
      <c r="O338" s="141" t="str">
        <f>IF(ISBLANK(N338),"",VLOOKUP(N338,[19]Parámetros!$G$2:$H$23,2,FALSE))</f>
        <v>Contratación directa.</v>
      </c>
      <c r="P338" s="142">
        <f t="shared" si="60"/>
        <v>1</v>
      </c>
      <c r="Q338" s="143">
        <f t="shared" si="55"/>
        <v>2257136244</v>
      </c>
      <c r="R338" s="143">
        <f t="shared" si="56"/>
        <v>2257136244</v>
      </c>
      <c r="S338" s="144" t="s">
        <v>222</v>
      </c>
      <c r="T338" s="140">
        <f t="shared" si="61"/>
        <v>0</v>
      </c>
      <c r="U338" s="145" t="str">
        <f t="shared" si="57"/>
        <v>SUBDIRECCION DE GESTION CONTRACTUAL</v>
      </c>
      <c r="V338" s="132" t="str">
        <f t="shared" si="58"/>
        <v>CO-DC</v>
      </c>
      <c r="W338" s="145" t="str">
        <f t="shared" si="59"/>
        <v>Distrito Capital de Bogotá</v>
      </c>
      <c r="X338" s="146" t="s">
        <v>170</v>
      </c>
      <c r="Y338" s="132">
        <v>2427400</v>
      </c>
      <c r="Z338" s="146" t="s">
        <v>171</v>
      </c>
    </row>
    <row r="339" spans="1:26" s="7" customFormat="1" ht="12.75" customHeight="1" x14ac:dyDescent="0.2">
      <c r="A339" s="132" t="s">
        <v>169</v>
      </c>
      <c r="B339" s="132">
        <v>10</v>
      </c>
      <c r="C339" s="133" t="s">
        <v>172</v>
      </c>
      <c r="D339" s="133" t="s">
        <v>173</v>
      </c>
      <c r="E339" s="134"/>
      <c r="F339" s="134">
        <v>80000000</v>
      </c>
      <c r="G339" s="134"/>
      <c r="H339" s="135" t="s">
        <v>752</v>
      </c>
      <c r="I339" s="136" t="s">
        <v>403</v>
      </c>
      <c r="J339" s="160">
        <v>1</v>
      </c>
      <c r="K339" s="160">
        <v>2</v>
      </c>
      <c r="L339" s="160">
        <v>3</v>
      </c>
      <c r="M339" s="132">
        <f t="shared" si="54"/>
        <v>1</v>
      </c>
      <c r="N339" s="140" t="s">
        <v>36</v>
      </c>
      <c r="O339" s="141" t="str">
        <f>IF(ISBLANK(N339),"",VLOOKUP(N339,[19]Parámetros!$G$2:$H$23,2,FALSE))</f>
        <v xml:space="preserve">Contratación directa (con ofertas) </v>
      </c>
      <c r="P339" s="142">
        <f t="shared" si="60"/>
        <v>1</v>
      </c>
      <c r="Q339" s="143">
        <f t="shared" si="55"/>
        <v>80000000</v>
      </c>
      <c r="R339" s="143">
        <f t="shared" si="56"/>
        <v>80000000</v>
      </c>
      <c r="S339" s="144" t="s">
        <v>222</v>
      </c>
      <c r="T339" s="140">
        <f t="shared" si="61"/>
        <v>0</v>
      </c>
      <c r="U339" s="145" t="str">
        <f t="shared" si="57"/>
        <v>SUBDIRECCION DE GESTION CONTRACTUAL</v>
      </c>
      <c r="V339" s="132" t="str">
        <f t="shared" si="58"/>
        <v>CO-DC</v>
      </c>
      <c r="W339" s="145" t="str">
        <f t="shared" si="59"/>
        <v>Distrito Capital de Bogotá</v>
      </c>
      <c r="X339" s="146" t="s">
        <v>170</v>
      </c>
      <c r="Y339" s="132">
        <v>2427400</v>
      </c>
      <c r="Z339" s="146" t="s">
        <v>171</v>
      </c>
    </row>
    <row r="340" spans="1:26" s="7" customFormat="1" ht="12.75" customHeight="1" x14ac:dyDescent="0.2">
      <c r="A340" s="132" t="s">
        <v>169</v>
      </c>
      <c r="B340" s="132">
        <v>11</v>
      </c>
      <c r="C340" s="133" t="s">
        <v>172</v>
      </c>
      <c r="D340" s="133" t="s">
        <v>173</v>
      </c>
      <c r="E340" s="134"/>
      <c r="F340" s="134">
        <f>295000000-80000000</f>
        <v>215000000</v>
      </c>
      <c r="G340" s="134"/>
      <c r="H340" s="135" t="s">
        <v>752</v>
      </c>
      <c r="I340" s="136" t="s">
        <v>403</v>
      </c>
      <c r="J340" s="137">
        <v>2</v>
      </c>
      <c r="K340" s="138">
        <v>3</v>
      </c>
      <c r="L340" s="139">
        <v>9</v>
      </c>
      <c r="M340" s="132">
        <f t="shared" si="54"/>
        <v>1</v>
      </c>
      <c r="N340" s="140" t="s">
        <v>226</v>
      </c>
      <c r="O340" s="141" t="str">
        <f>IF(ISBLANK(N340),"",VLOOKUP(N340,[19]Parámetros!$G$2:$H$23,2,FALSE))</f>
        <v>Licitación pública</v>
      </c>
      <c r="P340" s="142">
        <f t="shared" si="60"/>
        <v>1</v>
      </c>
      <c r="Q340" s="143">
        <f t="shared" si="55"/>
        <v>215000000</v>
      </c>
      <c r="R340" s="143">
        <f t="shared" si="56"/>
        <v>215000000</v>
      </c>
      <c r="S340" s="144" t="s">
        <v>222</v>
      </c>
      <c r="T340" s="140">
        <f t="shared" si="61"/>
        <v>0</v>
      </c>
      <c r="U340" s="145" t="str">
        <f t="shared" si="57"/>
        <v>SUBDIRECCION DE GESTION CONTRACTUAL</v>
      </c>
      <c r="V340" s="132" t="str">
        <f t="shared" si="58"/>
        <v>CO-DC</v>
      </c>
      <c r="W340" s="145" t="str">
        <f t="shared" si="59"/>
        <v>Distrito Capital de Bogotá</v>
      </c>
      <c r="X340" s="146" t="s">
        <v>170</v>
      </c>
      <c r="Y340" s="132">
        <v>2427400</v>
      </c>
      <c r="Z340" s="146" t="s">
        <v>171</v>
      </c>
    </row>
    <row r="341" spans="1:26" s="7" customFormat="1" ht="12.75" customHeight="1" x14ac:dyDescent="0.2">
      <c r="A341" s="132" t="s">
        <v>169</v>
      </c>
      <c r="B341" s="132">
        <v>12</v>
      </c>
      <c r="C341" s="133" t="s">
        <v>172</v>
      </c>
      <c r="D341" s="133" t="s">
        <v>173</v>
      </c>
      <c r="E341" s="134"/>
      <c r="F341" s="134">
        <v>100000000</v>
      </c>
      <c r="G341" s="134"/>
      <c r="H341" s="135">
        <v>93121607</v>
      </c>
      <c r="I341" s="136" t="s">
        <v>404</v>
      </c>
      <c r="J341" s="150">
        <v>2</v>
      </c>
      <c r="K341" s="150">
        <v>3</v>
      </c>
      <c r="L341" s="150">
        <v>9</v>
      </c>
      <c r="M341" s="132">
        <f t="shared" si="54"/>
        <v>1</v>
      </c>
      <c r="N341" s="140" t="s">
        <v>36</v>
      </c>
      <c r="O341" s="141" t="str">
        <f>IF(ISBLANK(N341),"",VLOOKUP(N341,[19]Parámetros!$G$2:$H$23,2,FALSE))</f>
        <v xml:space="preserve">Contratación directa (con ofertas) </v>
      </c>
      <c r="P341" s="142">
        <f t="shared" si="60"/>
        <v>1</v>
      </c>
      <c r="Q341" s="143">
        <f t="shared" si="55"/>
        <v>100000000</v>
      </c>
      <c r="R341" s="143">
        <f t="shared" si="56"/>
        <v>100000000</v>
      </c>
      <c r="S341" s="144" t="s">
        <v>222</v>
      </c>
      <c r="T341" s="140">
        <f t="shared" si="61"/>
        <v>0</v>
      </c>
      <c r="U341" s="145" t="str">
        <f t="shared" si="57"/>
        <v>SUBDIRECCION DE GESTION CONTRACTUAL</v>
      </c>
      <c r="V341" s="132" t="str">
        <f t="shared" si="58"/>
        <v>CO-DC</v>
      </c>
      <c r="W341" s="145" t="str">
        <f t="shared" si="59"/>
        <v>Distrito Capital de Bogotá</v>
      </c>
      <c r="X341" s="146" t="s">
        <v>170</v>
      </c>
      <c r="Y341" s="132">
        <v>2427400</v>
      </c>
      <c r="Z341" s="146" t="s">
        <v>171</v>
      </c>
    </row>
    <row r="342" spans="1:26" s="7" customFormat="1" ht="12.75" customHeight="1" x14ac:dyDescent="0.2">
      <c r="A342" s="132" t="s">
        <v>169</v>
      </c>
      <c r="B342" s="132">
        <v>13</v>
      </c>
      <c r="C342" s="133" t="s">
        <v>172</v>
      </c>
      <c r="D342" s="133" t="s">
        <v>173</v>
      </c>
      <c r="E342" s="134"/>
      <c r="F342" s="134">
        <v>100000000</v>
      </c>
      <c r="G342" s="134"/>
      <c r="H342" s="135" t="s">
        <v>42</v>
      </c>
      <c r="I342" s="136" t="s">
        <v>396</v>
      </c>
      <c r="J342" s="137">
        <v>3</v>
      </c>
      <c r="K342" s="138">
        <v>4</v>
      </c>
      <c r="L342" s="139">
        <v>9</v>
      </c>
      <c r="M342" s="132">
        <f t="shared" si="54"/>
        <v>1</v>
      </c>
      <c r="N342" s="140" t="s">
        <v>61</v>
      </c>
      <c r="O342" s="141" t="str">
        <f>IF(ISBLANK(N342),"",VLOOKUP(N342,[15]Parámetros!$G$2:$H$23,2,FALSE))</f>
        <v>Contratación régimen especial - Selección de comisionista</v>
      </c>
      <c r="P342" s="142">
        <f t="shared" si="60"/>
        <v>1</v>
      </c>
      <c r="Q342" s="143">
        <f t="shared" si="55"/>
        <v>100000000</v>
      </c>
      <c r="R342" s="143">
        <f t="shared" si="56"/>
        <v>100000000</v>
      </c>
      <c r="S342" s="144" t="s">
        <v>222</v>
      </c>
      <c r="T342" s="140">
        <f t="shared" si="61"/>
        <v>0</v>
      </c>
      <c r="U342" s="145" t="str">
        <f t="shared" si="57"/>
        <v>SUBDIRECCION DE GESTION CONTRACTUAL</v>
      </c>
      <c r="V342" s="132" t="str">
        <f t="shared" si="58"/>
        <v>CO-DC</v>
      </c>
      <c r="W342" s="145" t="str">
        <f t="shared" si="59"/>
        <v>Distrito Capital de Bogotá</v>
      </c>
      <c r="X342" s="146" t="s">
        <v>170</v>
      </c>
      <c r="Y342" s="132">
        <v>2427400</v>
      </c>
      <c r="Z342" s="146" t="s">
        <v>171</v>
      </c>
    </row>
    <row r="343" spans="1:26" s="7" customFormat="1" ht="12.75" customHeight="1" x14ac:dyDescent="0.2">
      <c r="A343" s="132" t="s">
        <v>169</v>
      </c>
      <c r="B343" s="132">
        <v>14</v>
      </c>
      <c r="C343" s="133" t="s">
        <v>174</v>
      </c>
      <c r="D343" s="133" t="s">
        <v>175</v>
      </c>
      <c r="E343" s="134"/>
      <c r="F343" s="134">
        <f>890000000-890000000</f>
        <v>0</v>
      </c>
      <c r="G343" s="134"/>
      <c r="H343" s="135">
        <v>80111600</v>
      </c>
      <c r="I343" s="162" t="s">
        <v>394</v>
      </c>
      <c r="J343" s="150">
        <v>1</v>
      </c>
      <c r="K343" s="150">
        <v>1</v>
      </c>
      <c r="L343" s="150">
        <v>12</v>
      </c>
      <c r="M343" s="132">
        <f t="shared" si="54"/>
        <v>1</v>
      </c>
      <c r="N343" s="140" t="s">
        <v>216</v>
      </c>
      <c r="O343" s="141" t="str">
        <f>IF(ISBLANK(N343),"",VLOOKUP(N343,[19]Parámetros!$G$2:$H$23,2,FALSE))</f>
        <v>Contratación directa.</v>
      </c>
      <c r="P343" s="142">
        <f t="shared" si="60"/>
        <v>1</v>
      </c>
      <c r="Q343" s="143">
        <f t="shared" si="55"/>
        <v>0</v>
      </c>
      <c r="R343" s="143">
        <f t="shared" si="56"/>
        <v>0</v>
      </c>
      <c r="S343" s="144" t="s">
        <v>222</v>
      </c>
      <c r="T343" s="140">
        <f t="shared" si="61"/>
        <v>0</v>
      </c>
      <c r="U343" s="145" t="str">
        <f t="shared" si="57"/>
        <v>SUBDIRECCION DE GESTION CONTRACTUAL</v>
      </c>
      <c r="V343" s="132" t="str">
        <f t="shared" si="58"/>
        <v>CO-DC</v>
      </c>
      <c r="W343" s="145" t="str">
        <f t="shared" si="59"/>
        <v>Distrito Capital de Bogotá</v>
      </c>
      <c r="X343" s="146" t="s">
        <v>170</v>
      </c>
      <c r="Y343" s="132">
        <v>2427400</v>
      </c>
      <c r="Z343" s="146" t="s">
        <v>171</v>
      </c>
    </row>
    <row r="344" spans="1:26" s="7" customFormat="1" ht="12.75" customHeight="1" x14ac:dyDescent="0.2">
      <c r="A344" s="132" t="s">
        <v>169</v>
      </c>
      <c r="B344" s="132">
        <v>15</v>
      </c>
      <c r="C344" s="133" t="s">
        <v>174</v>
      </c>
      <c r="D344" s="133" t="s">
        <v>175</v>
      </c>
      <c r="E344" s="134"/>
      <c r="F344" s="134">
        <f>150000000-150000000</f>
        <v>0</v>
      </c>
      <c r="G344" s="134"/>
      <c r="H344" s="135" t="s">
        <v>752</v>
      </c>
      <c r="I344" s="136" t="s">
        <v>403</v>
      </c>
      <c r="J344" s="137">
        <v>2</v>
      </c>
      <c r="K344" s="138">
        <v>3</v>
      </c>
      <c r="L344" s="139">
        <v>9</v>
      </c>
      <c r="M344" s="132">
        <f t="shared" si="54"/>
        <v>1</v>
      </c>
      <c r="N344" s="140" t="s">
        <v>226</v>
      </c>
      <c r="O344" s="141" t="str">
        <f>IF(ISBLANK(N344),"",VLOOKUP(N344,[19]Parámetros!$G$2:$H$23,2,FALSE))</f>
        <v>Licitación pública</v>
      </c>
      <c r="P344" s="142">
        <f t="shared" si="60"/>
        <v>1</v>
      </c>
      <c r="Q344" s="143">
        <f t="shared" si="55"/>
        <v>0</v>
      </c>
      <c r="R344" s="143">
        <f t="shared" si="56"/>
        <v>0</v>
      </c>
      <c r="S344" s="144" t="s">
        <v>222</v>
      </c>
      <c r="T344" s="140">
        <f t="shared" si="61"/>
        <v>0</v>
      </c>
      <c r="U344" s="145" t="str">
        <f t="shared" si="57"/>
        <v>SUBDIRECCION DE GESTION CONTRACTUAL</v>
      </c>
      <c r="V344" s="132" t="str">
        <f t="shared" si="58"/>
        <v>CO-DC</v>
      </c>
      <c r="W344" s="145" t="str">
        <f t="shared" si="59"/>
        <v>Distrito Capital de Bogotá</v>
      </c>
      <c r="X344" s="146" t="s">
        <v>170</v>
      </c>
      <c r="Y344" s="132">
        <v>2427400</v>
      </c>
      <c r="Z344" s="146" t="s">
        <v>171</v>
      </c>
    </row>
    <row r="345" spans="1:26" s="7" customFormat="1" ht="12.75" customHeight="1" x14ac:dyDescent="0.2">
      <c r="A345" s="132" t="s">
        <v>169</v>
      </c>
      <c r="B345" s="132">
        <v>16</v>
      </c>
      <c r="C345" s="133" t="s">
        <v>174</v>
      </c>
      <c r="D345" s="133" t="s">
        <v>175</v>
      </c>
      <c r="E345" s="134"/>
      <c r="F345" s="134">
        <f>100000000-100000000</f>
        <v>0</v>
      </c>
      <c r="G345" s="134"/>
      <c r="H345" s="135" t="s">
        <v>42</v>
      </c>
      <c r="I345" s="136" t="s">
        <v>396</v>
      </c>
      <c r="J345" s="137">
        <v>3</v>
      </c>
      <c r="K345" s="138">
        <v>4</v>
      </c>
      <c r="L345" s="139">
        <v>9</v>
      </c>
      <c r="M345" s="132">
        <f t="shared" si="54"/>
        <v>1</v>
      </c>
      <c r="N345" s="140" t="s">
        <v>61</v>
      </c>
      <c r="O345" s="141" t="str">
        <f>IF(ISBLANK(N345),"",VLOOKUP(N345,[15]Parámetros!$G$2:$H$23,2,FALSE))</f>
        <v>Contratación régimen especial - Selección de comisionista</v>
      </c>
      <c r="P345" s="142">
        <f t="shared" si="60"/>
        <v>1</v>
      </c>
      <c r="Q345" s="143">
        <f t="shared" si="55"/>
        <v>0</v>
      </c>
      <c r="R345" s="143">
        <f t="shared" si="56"/>
        <v>0</v>
      </c>
      <c r="S345" s="144" t="s">
        <v>222</v>
      </c>
      <c r="T345" s="140">
        <f t="shared" si="61"/>
        <v>0</v>
      </c>
      <c r="U345" s="145" t="str">
        <f t="shared" si="57"/>
        <v>SUBDIRECCION DE GESTION CONTRACTUAL</v>
      </c>
      <c r="V345" s="132" t="str">
        <f t="shared" si="58"/>
        <v>CO-DC</v>
      </c>
      <c r="W345" s="145" t="str">
        <f t="shared" si="59"/>
        <v>Distrito Capital de Bogotá</v>
      </c>
      <c r="X345" s="146" t="s">
        <v>170</v>
      </c>
      <c r="Y345" s="132">
        <v>2427400</v>
      </c>
      <c r="Z345" s="146" t="s">
        <v>171</v>
      </c>
    </row>
    <row r="346" spans="1:26" s="7" customFormat="1" ht="12.75" customHeight="1" x14ac:dyDescent="0.2">
      <c r="A346" s="132" t="s">
        <v>169</v>
      </c>
      <c r="B346" s="132">
        <v>17</v>
      </c>
      <c r="C346" s="133" t="s">
        <v>174</v>
      </c>
      <c r="D346" s="133" t="s">
        <v>175</v>
      </c>
      <c r="E346" s="134"/>
      <c r="F346" s="134">
        <f>75000000-75000000</f>
        <v>0</v>
      </c>
      <c r="G346" s="134"/>
      <c r="H346" s="135" t="s">
        <v>604</v>
      </c>
      <c r="I346" s="136" t="s">
        <v>397</v>
      </c>
      <c r="J346" s="137">
        <v>2</v>
      </c>
      <c r="K346" s="138">
        <v>2</v>
      </c>
      <c r="L346" s="139">
        <v>10</v>
      </c>
      <c r="M346" s="132">
        <f t="shared" si="54"/>
        <v>1</v>
      </c>
      <c r="N346" s="140" t="s">
        <v>36</v>
      </c>
      <c r="O346" s="141" t="str">
        <f>IF(ISBLANK(N346),"",VLOOKUP(N346,[19]Parámetros!$G$2:$H$23,2,FALSE))</f>
        <v xml:space="preserve">Contratación directa (con ofertas) </v>
      </c>
      <c r="P346" s="142">
        <f t="shared" si="60"/>
        <v>1</v>
      </c>
      <c r="Q346" s="143">
        <f t="shared" si="55"/>
        <v>0</v>
      </c>
      <c r="R346" s="143">
        <f t="shared" si="56"/>
        <v>0</v>
      </c>
      <c r="S346" s="144" t="s">
        <v>222</v>
      </c>
      <c r="T346" s="140">
        <f t="shared" si="61"/>
        <v>0</v>
      </c>
      <c r="U346" s="145" t="str">
        <f t="shared" si="57"/>
        <v>SUBDIRECCION DE GESTION CONTRACTUAL</v>
      </c>
      <c r="V346" s="132" t="str">
        <f t="shared" si="58"/>
        <v>CO-DC</v>
      </c>
      <c r="W346" s="145" t="str">
        <f t="shared" si="59"/>
        <v>Distrito Capital de Bogotá</v>
      </c>
      <c r="X346" s="146" t="s">
        <v>307</v>
      </c>
      <c r="Y346" s="132">
        <v>2427400</v>
      </c>
      <c r="Z346" s="148" t="s">
        <v>94</v>
      </c>
    </row>
    <row r="347" spans="1:26" s="7" customFormat="1" ht="12.75" customHeight="1" x14ac:dyDescent="0.2">
      <c r="A347" s="132" t="s">
        <v>169</v>
      </c>
      <c r="B347" s="132">
        <v>18</v>
      </c>
      <c r="C347" s="133" t="s">
        <v>174</v>
      </c>
      <c r="D347" s="133" t="s">
        <v>175</v>
      </c>
      <c r="E347" s="134"/>
      <c r="F347" s="134">
        <f>200000000-200000000</f>
        <v>0</v>
      </c>
      <c r="G347" s="134"/>
      <c r="H347" s="135" t="s">
        <v>103</v>
      </c>
      <c r="I347" s="136" t="s">
        <v>595</v>
      </c>
      <c r="J347" s="137">
        <v>2</v>
      </c>
      <c r="K347" s="138">
        <v>3</v>
      </c>
      <c r="L347" s="139">
        <v>10</v>
      </c>
      <c r="M347" s="132">
        <f t="shared" si="54"/>
        <v>1</v>
      </c>
      <c r="N347" s="140" t="s">
        <v>36</v>
      </c>
      <c r="O347" s="141" t="str">
        <f>IF(ISBLANK(N347),"",VLOOKUP(N347,[1]Parámetros!$G$2:$H$23,2,FALSE))</f>
        <v xml:space="preserve">Contratación directa (con ofertas) </v>
      </c>
      <c r="P347" s="142">
        <f t="shared" si="60"/>
        <v>1</v>
      </c>
      <c r="Q347" s="143">
        <f t="shared" si="55"/>
        <v>0</v>
      </c>
      <c r="R347" s="143">
        <f t="shared" si="56"/>
        <v>0</v>
      </c>
      <c r="S347" s="144" t="s">
        <v>222</v>
      </c>
      <c r="T347" s="140">
        <f t="shared" si="61"/>
        <v>0</v>
      </c>
      <c r="U347" s="145" t="str">
        <f t="shared" si="57"/>
        <v>SUBDIRECCION DE GESTION CONTRACTUAL</v>
      </c>
      <c r="V347" s="132" t="str">
        <f t="shared" si="58"/>
        <v>CO-DC</v>
      </c>
      <c r="W347" s="145" t="str">
        <f t="shared" si="59"/>
        <v>Distrito Capital de Bogotá</v>
      </c>
      <c r="X347" s="146" t="s">
        <v>170</v>
      </c>
      <c r="Y347" s="132">
        <v>2427400</v>
      </c>
      <c r="Z347" s="146" t="s">
        <v>171</v>
      </c>
    </row>
    <row r="348" spans="1:26" s="7" customFormat="1" ht="12.75" customHeight="1" x14ac:dyDescent="0.2">
      <c r="A348" s="132" t="s">
        <v>169</v>
      </c>
      <c r="B348" s="132">
        <v>19</v>
      </c>
      <c r="C348" s="133" t="s">
        <v>174</v>
      </c>
      <c r="D348" s="133" t="s">
        <v>175</v>
      </c>
      <c r="E348" s="134"/>
      <c r="F348" s="134">
        <f>15000000-15000000</f>
        <v>0</v>
      </c>
      <c r="G348" s="134"/>
      <c r="H348" s="135" t="s">
        <v>405</v>
      </c>
      <c r="I348" s="136" t="s">
        <v>406</v>
      </c>
      <c r="J348" s="150">
        <v>2</v>
      </c>
      <c r="K348" s="150">
        <v>3</v>
      </c>
      <c r="L348" s="150">
        <v>9</v>
      </c>
      <c r="M348" s="132">
        <f t="shared" si="54"/>
        <v>1</v>
      </c>
      <c r="N348" s="140" t="s">
        <v>43</v>
      </c>
      <c r="O348" s="141" t="str">
        <f>IF(ISBLANK(N348),"",VLOOKUP(N348,[19]Parámetros!$G$2:$H$23,2,FALSE))</f>
        <v>Selección abreviada subasta inversa</v>
      </c>
      <c r="P348" s="142">
        <f t="shared" si="60"/>
        <v>1</v>
      </c>
      <c r="Q348" s="143">
        <f t="shared" si="55"/>
        <v>0</v>
      </c>
      <c r="R348" s="143">
        <f t="shared" si="56"/>
        <v>0</v>
      </c>
      <c r="S348" s="144" t="s">
        <v>222</v>
      </c>
      <c r="T348" s="140">
        <f t="shared" si="61"/>
        <v>0</v>
      </c>
      <c r="U348" s="145" t="str">
        <f t="shared" si="57"/>
        <v>SUBDIRECCION DE GESTION CONTRACTUAL</v>
      </c>
      <c r="V348" s="132" t="str">
        <f t="shared" si="58"/>
        <v>CO-DC</v>
      </c>
      <c r="W348" s="145" t="str">
        <f t="shared" si="59"/>
        <v>Distrito Capital de Bogotá</v>
      </c>
      <c r="X348" s="146" t="s">
        <v>170</v>
      </c>
      <c r="Y348" s="132">
        <v>2427400</v>
      </c>
      <c r="Z348" s="146" t="s">
        <v>171</v>
      </c>
    </row>
    <row r="349" spans="1:26" s="7" customFormat="1" ht="12.75" customHeight="1" x14ac:dyDescent="0.2">
      <c r="A349" s="132" t="s">
        <v>169</v>
      </c>
      <c r="B349" s="132">
        <v>20</v>
      </c>
      <c r="C349" s="133" t="s">
        <v>393</v>
      </c>
      <c r="D349" s="133" t="s">
        <v>798</v>
      </c>
      <c r="E349" s="134"/>
      <c r="F349" s="134">
        <v>200000000</v>
      </c>
      <c r="G349" s="134"/>
      <c r="H349" s="135" t="s">
        <v>799</v>
      </c>
      <c r="I349" s="136" t="s">
        <v>800</v>
      </c>
      <c r="J349" s="150">
        <v>1</v>
      </c>
      <c r="K349" s="150">
        <v>1</v>
      </c>
      <c r="L349" s="150">
        <v>12</v>
      </c>
      <c r="M349" s="132">
        <f>IF(ISBLANK(J349),"",1)</f>
        <v>1</v>
      </c>
      <c r="N349" s="140" t="s">
        <v>36</v>
      </c>
      <c r="O349" s="141" t="str">
        <f>IF(ISBLANK(N349),"",VLOOKUP(N349,[20]Parámetros!$G$2:$H$23,2,FALSE))</f>
        <v xml:space="preserve">Contratación directa (con ofertas) </v>
      </c>
      <c r="P349" s="142">
        <f t="shared" si="60"/>
        <v>1</v>
      </c>
      <c r="Q349" s="143">
        <f t="shared" ref="Q349" si="62">+E349+F349+G349</f>
        <v>200000000</v>
      </c>
      <c r="R349" s="143">
        <f t="shared" ref="R349" si="63">+F349</f>
        <v>200000000</v>
      </c>
      <c r="S349" s="144" t="s">
        <v>222</v>
      </c>
      <c r="T349" s="140">
        <f t="shared" si="61"/>
        <v>0</v>
      </c>
      <c r="U349" s="145" t="str">
        <f t="shared" si="57"/>
        <v>SUBDIRECCION DE GESTION CONTRACTUAL</v>
      </c>
      <c r="V349" s="132" t="str">
        <f t="shared" si="58"/>
        <v>CO-DC</v>
      </c>
      <c r="W349" s="145" t="str">
        <f t="shared" si="59"/>
        <v>Distrito Capital de Bogotá</v>
      </c>
      <c r="X349" s="146" t="s">
        <v>170</v>
      </c>
      <c r="Y349" s="132">
        <v>2427400</v>
      </c>
      <c r="Z349" s="146" t="s">
        <v>171</v>
      </c>
    </row>
    <row r="350" spans="1:26" s="7" customFormat="1" ht="12.75" customHeight="1" x14ac:dyDescent="0.2">
      <c r="A350" s="132" t="s">
        <v>169</v>
      </c>
      <c r="B350" s="132">
        <v>21</v>
      </c>
      <c r="C350" s="133" t="s">
        <v>393</v>
      </c>
      <c r="D350" s="133" t="s">
        <v>798</v>
      </c>
      <c r="E350" s="134"/>
      <c r="F350" s="134">
        <v>15000000</v>
      </c>
      <c r="G350" s="134"/>
      <c r="H350" s="135" t="s">
        <v>405</v>
      </c>
      <c r="I350" s="136" t="s">
        <v>406</v>
      </c>
      <c r="J350" s="150">
        <v>2</v>
      </c>
      <c r="K350" s="150">
        <v>3</v>
      </c>
      <c r="L350" s="150">
        <v>9</v>
      </c>
      <c r="M350" s="132">
        <f t="shared" si="54"/>
        <v>1</v>
      </c>
      <c r="N350" s="140" t="s">
        <v>43</v>
      </c>
      <c r="O350" s="141" t="str">
        <f>IF(ISBLANK(N350),"",VLOOKUP(N350,[20]Parámetros!$G$2:$H$23,2,FALSE))</f>
        <v>Selección abreviada subasta inversa</v>
      </c>
      <c r="P350" s="142">
        <f t="shared" si="60"/>
        <v>1</v>
      </c>
      <c r="Q350" s="143">
        <f t="shared" si="55"/>
        <v>15000000</v>
      </c>
      <c r="R350" s="143">
        <f t="shared" si="56"/>
        <v>15000000</v>
      </c>
      <c r="S350" s="144" t="s">
        <v>222</v>
      </c>
      <c r="T350" s="140">
        <f t="shared" si="61"/>
        <v>0</v>
      </c>
      <c r="U350" s="145" t="str">
        <f t="shared" si="57"/>
        <v>SUBDIRECCION DE GESTION CONTRACTUAL</v>
      </c>
      <c r="V350" s="132" t="str">
        <f t="shared" si="58"/>
        <v>CO-DC</v>
      </c>
      <c r="W350" s="145" t="str">
        <f t="shared" si="59"/>
        <v>Distrito Capital de Bogotá</v>
      </c>
      <c r="X350" s="146" t="s">
        <v>170</v>
      </c>
      <c r="Y350" s="132">
        <v>2427400</v>
      </c>
      <c r="Z350" s="146" t="s">
        <v>171</v>
      </c>
    </row>
    <row r="351" spans="1:26" s="7" customFormat="1" ht="12.75" customHeight="1" x14ac:dyDescent="0.25">
      <c r="A351" s="132" t="s">
        <v>107</v>
      </c>
      <c r="B351" s="132">
        <v>1</v>
      </c>
      <c r="C351" s="133" t="s">
        <v>108</v>
      </c>
      <c r="D351" s="133" t="s">
        <v>88</v>
      </c>
      <c r="E351" s="134"/>
      <c r="F351" s="134">
        <v>162469701</v>
      </c>
      <c r="G351" s="134"/>
      <c r="H351" s="135" t="s">
        <v>755</v>
      </c>
      <c r="I351" s="136" t="s">
        <v>407</v>
      </c>
      <c r="J351" s="150">
        <v>2</v>
      </c>
      <c r="K351" s="150">
        <v>3</v>
      </c>
      <c r="L351" s="150">
        <v>9</v>
      </c>
      <c r="M351" s="132">
        <f t="shared" si="54"/>
        <v>1</v>
      </c>
      <c r="N351" s="140" t="s">
        <v>36</v>
      </c>
      <c r="O351" s="141" t="str">
        <f>IF(ISBLANK(N351),"",VLOOKUP(N351,[21]Parámetros!$G$2:$H$23,2,FALSE))</f>
        <v xml:space="preserve">Contratación directa (con ofertas) </v>
      </c>
      <c r="P351" s="142">
        <f t="shared" si="60"/>
        <v>1</v>
      </c>
      <c r="Q351" s="143">
        <f t="shared" si="55"/>
        <v>162469701</v>
      </c>
      <c r="R351" s="143">
        <f t="shared" si="56"/>
        <v>162469701</v>
      </c>
      <c r="S351" s="144" t="s">
        <v>222</v>
      </c>
      <c r="T351" s="140">
        <f t="shared" si="61"/>
        <v>0</v>
      </c>
      <c r="U351" s="145" t="str">
        <f t="shared" si="57"/>
        <v>SUBDIRECCION DE GESTION CONTRACTUAL</v>
      </c>
      <c r="V351" s="132" t="str">
        <f t="shared" si="58"/>
        <v>CO-DC</v>
      </c>
      <c r="W351" s="145" t="str">
        <f t="shared" si="59"/>
        <v>Distrito Capital de Bogotá</v>
      </c>
      <c r="X351" s="146" t="s">
        <v>630</v>
      </c>
      <c r="Y351" s="132">
        <v>2427400</v>
      </c>
      <c r="Z351" s="128" t="s">
        <v>624</v>
      </c>
    </row>
    <row r="352" spans="1:26" s="7" customFormat="1" ht="12.75" customHeight="1" x14ac:dyDescent="0.25">
      <c r="A352" s="132" t="s">
        <v>107</v>
      </c>
      <c r="B352" s="132">
        <v>2</v>
      </c>
      <c r="C352" s="133" t="s">
        <v>108</v>
      </c>
      <c r="D352" s="133" t="s">
        <v>88</v>
      </c>
      <c r="E352" s="134"/>
      <c r="F352" s="134">
        <v>177437126</v>
      </c>
      <c r="G352" s="134"/>
      <c r="H352" s="135" t="s">
        <v>755</v>
      </c>
      <c r="I352" s="136" t="s">
        <v>408</v>
      </c>
      <c r="J352" s="150">
        <v>2</v>
      </c>
      <c r="K352" s="150">
        <v>3</v>
      </c>
      <c r="L352" s="150">
        <v>9</v>
      </c>
      <c r="M352" s="132">
        <f t="shared" ref="M352:M415" si="64">IF(ISBLANK(J352),"",1)</f>
        <v>1</v>
      </c>
      <c r="N352" s="140" t="s">
        <v>36</v>
      </c>
      <c r="O352" s="141" t="str">
        <f>IF(ISBLANK(N352),"",VLOOKUP(N352,[21]Parámetros!$G$2:$H$23,2,FALSE))</f>
        <v xml:space="preserve">Contratación directa (con ofertas) </v>
      </c>
      <c r="P352" s="142">
        <f t="shared" si="60"/>
        <v>1</v>
      </c>
      <c r="Q352" s="143">
        <f t="shared" ref="Q352:Q415" si="65">+E352+F352+G352</f>
        <v>177437126</v>
      </c>
      <c r="R352" s="143">
        <f t="shared" ref="R352:R415" si="66">+F352</f>
        <v>177437126</v>
      </c>
      <c r="S352" s="144" t="s">
        <v>222</v>
      </c>
      <c r="T352" s="140">
        <f t="shared" si="61"/>
        <v>0</v>
      </c>
      <c r="U352" s="145" t="str">
        <f t="shared" ref="U352:U415" si="67">IF(ISBLANK(N352),"","SUBDIRECCION DE GESTION CONTRACTUAL")</f>
        <v>SUBDIRECCION DE GESTION CONTRACTUAL</v>
      </c>
      <c r="V352" s="132" t="str">
        <f t="shared" si="58"/>
        <v>CO-DC</v>
      </c>
      <c r="W352" s="145" t="str">
        <f t="shared" si="59"/>
        <v>Distrito Capital de Bogotá</v>
      </c>
      <c r="X352" s="146" t="s">
        <v>630</v>
      </c>
      <c r="Y352" s="132">
        <v>2427400</v>
      </c>
      <c r="Z352" s="128" t="s">
        <v>624</v>
      </c>
    </row>
    <row r="353" spans="1:26" s="7" customFormat="1" ht="12.75" customHeight="1" x14ac:dyDescent="0.25">
      <c r="A353" s="132" t="s">
        <v>107</v>
      </c>
      <c r="B353" s="132">
        <v>3</v>
      </c>
      <c r="C353" s="133" t="s">
        <v>108</v>
      </c>
      <c r="D353" s="133" t="s">
        <v>88</v>
      </c>
      <c r="E353" s="134"/>
      <c r="F353" s="134">
        <v>438490269</v>
      </c>
      <c r="G353" s="134"/>
      <c r="H353" s="135" t="s">
        <v>755</v>
      </c>
      <c r="I353" s="136" t="s">
        <v>409</v>
      </c>
      <c r="J353" s="150">
        <v>2</v>
      </c>
      <c r="K353" s="150">
        <v>3</v>
      </c>
      <c r="L353" s="150">
        <v>9</v>
      </c>
      <c r="M353" s="132">
        <f t="shared" si="64"/>
        <v>1</v>
      </c>
      <c r="N353" s="140" t="s">
        <v>36</v>
      </c>
      <c r="O353" s="141" t="str">
        <f>IF(ISBLANK(N353),"",VLOOKUP(N353,[21]Parámetros!$G$2:$H$23,2,FALSE))</f>
        <v xml:space="preserve">Contratación directa (con ofertas) </v>
      </c>
      <c r="P353" s="142">
        <f t="shared" si="60"/>
        <v>1</v>
      </c>
      <c r="Q353" s="143">
        <f t="shared" si="65"/>
        <v>438490269</v>
      </c>
      <c r="R353" s="143">
        <f t="shared" si="66"/>
        <v>438490269</v>
      </c>
      <c r="S353" s="144" t="s">
        <v>222</v>
      </c>
      <c r="T353" s="140">
        <f t="shared" si="61"/>
        <v>0</v>
      </c>
      <c r="U353" s="145" t="str">
        <f t="shared" si="67"/>
        <v>SUBDIRECCION DE GESTION CONTRACTUAL</v>
      </c>
      <c r="V353" s="132" t="str">
        <f t="shared" si="58"/>
        <v>CO-DC</v>
      </c>
      <c r="W353" s="145" t="str">
        <f t="shared" si="59"/>
        <v>Distrito Capital de Bogotá</v>
      </c>
      <c r="X353" s="146" t="s">
        <v>630</v>
      </c>
      <c r="Y353" s="132">
        <v>2427400</v>
      </c>
      <c r="Z353" s="128" t="s">
        <v>624</v>
      </c>
    </row>
    <row r="354" spans="1:26" s="7" customFormat="1" ht="12.75" customHeight="1" x14ac:dyDescent="0.25">
      <c r="A354" s="132" t="s">
        <v>107</v>
      </c>
      <c r="B354" s="132">
        <v>4</v>
      </c>
      <c r="C354" s="133" t="s">
        <v>108</v>
      </c>
      <c r="D354" s="133" t="s">
        <v>88</v>
      </c>
      <c r="E354" s="134"/>
      <c r="F354" s="134">
        <v>1533271892</v>
      </c>
      <c r="G354" s="134"/>
      <c r="H354" s="135">
        <v>80111600</v>
      </c>
      <c r="I354" s="136" t="s">
        <v>410</v>
      </c>
      <c r="J354" s="150">
        <v>1</v>
      </c>
      <c r="K354" s="150">
        <v>1</v>
      </c>
      <c r="L354" s="150">
        <v>12</v>
      </c>
      <c r="M354" s="132">
        <f t="shared" si="64"/>
        <v>1</v>
      </c>
      <c r="N354" s="140" t="s">
        <v>216</v>
      </c>
      <c r="O354" s="141" t="str">
        <f>IF(ISBLANK(N354),"",VLOOKUP(N354,[21]Parámetros!$G$2:$H$23,2,FALSE))</f>
        <v>Contratación directa.</v>
      </c>
      <c r="P354" s="142">
        <f t="shared" si="60"/>
        <v>1</v>
      </c>
      <c r="Q354" s="143">
        <f t="shared" si="65"/>
        <v>1533271892</v>
      </c>
      <c r="R354" s="143">
        <f t="shared" si="66"/>
        <v>1533271892</v>
      </c>
      <c r="S354" s="144" t="s">
        <v>222</v>
      </c>
      <c r="T354" s="140">
        <f t="shared" si="61"/>
        <v>0</v>
      </c>
      <c r="U354" s="145" t="str">
        <f t="shared" si="67"/>
        <v>SUBDIRECCION DE GESTION CONTRACTUAL</v>
      </c>
      <c r="V354" s="132" t="str">
        <f t="shared" si="58"/>
        <v>CO-DC</v>
      </c>
      <c r="W354" s="145" t="str">
        <f t="shared" si="59"/>
        <v>Distrito Capital de Bogotá</v>
      </c>
      <c r="X354" s="146" t="s">
        <v>630</v>
      </c>
      <c r="Y354" s="132">
        <v>2427400</v>
      </c>
      <c r="Z354" s="128" t="s">
        <v>624</v>
      </c>
    </row>
    <row r="355" spans="1:26" s="7" customFormat="1" ht="12.75" customHeight="1" x14ac:dyDescent="0.2">
      <c r="A355" s="132" t="s">
        <v>107</v>
      </c>
      <c r="B355" s="132">
        <v>5</v>
      </c>
      <c r="C355" s="133" t="s">
        <v>108</v>
      </c>
      <c r="D355" s="133" t="s">
        <v>88</v>
      </c>
      <c r="E355" s="134"/>
      <c r="F355" s="134">
        <v>200000000</v>
      </c>
      <c r="G355" s="134"/>
      <c r="H355" s="135" t="s">
        <v>42</v>
      </c>
      <c r="I355" s="136" t="s">
        <v>411</v>
      </c>
      <c r="J355" s="137">
        <v>3</v>
      </c>
      <c r="K355" s="138">
        <v>4</v>
      </c>
      <c r="L355" s="139">
        <v>9</v>
      </c>
      <c r="M355" s="132">
        <f t="shared" si="64"/>
        <v>1</v>
      </c>
      <c r="N355" s="140" t="s">
        <v>61</v>
      </c>
      <c r="O355" s="141" t="str">
        <f>IF(ISBLANK(N355),"",VLOOKUP(N355,[15]Parámetros!$G$2:$H$23,2,FALSE))</f>
        <v>Contratación régimen especial - Selección de comisionista</v>
      </c>
      <c r="P355" s="142">
        <f t="shared" si="60"/>
        <v>1</v>
      </c>
      <c r="Q355" s="143">
        <f t="shared" si="65"/>
        <v>200000000</v>
      </c>
      <c r="R355" s="143">
        <f t="shared" si="66"/>
        <v>200000000</v>
      </c>
      <c r="S355" s="144" t="s">
        <v>222</v>
      </c>
      <c r="T355" s="140">
        <f t="shared" si="61"/>
        <v>0</v>
      </c>
      <c r="U355" s="145" t="str">
        <f t="shared" si="67"/>
        <v>SUBDIRECCION DE GESTION CONTRACTUAL</v>
      </c>
      <c r="V355" s="132" t="str">
        <f t="shared" si="58"/>
        <v>CO-DC</v>
      </c>
      <c r="W355" s="145" t="str">
        <f t="shared" si="59"/>
        <v>Distrito Capital de Bogotá</v>
      </c>
      <c r="X355" s="146" t="s">
        <v>331</v>
      </c>
      <c r="Y355" s="132">
        <v>2427400</v>
      </c>
      <c r="Z355" s="146" t="s">
        <v>75</v>
      </c>
    </row>
    <row r="356" spans="1:26" s="7" customFormat="1" ht="12.75" customHeight="1" x14ac:dyDescent="0.2">
      <c r="A356" s="132" t="s">
        <v>107</v>
      </c>
      <c r="B356" s="132">
        <v>6</v>
      </c>
      <c r="C356" s="133" t="s">
        <v>108</v>
      </c>
      <c r="D356" s="133" t="s">
        <v>88</v>
      </c>
      <c r="E356" s="134"/>
      <c r="F356" s="134">
        <v>15000000</v>
      </c>
      <c r="G356" s="134"/>
      <c r="H356" s="135" t="s">
        <v>51</v>
      </c>
      <c r="I356" s="136" t="s">
        <v>412</v>
      </c>
      <c r="J356" s="137">
        <v>4</v>
      </c>
      <c r="K356" s="138">
        <v>6</v>
      </c>
      <c r="L356" s="139">
        <v>1</v>
      </c>
      <c r="M356" s="132">
        <f t="shared" si="64"/>
        <v>1</v>
      </c>
      <c r="N356" s="140" t="s">
        <v>43</v>
      </c>
      <c r="O356" s="141" t="str">
        <f>IF(ISBLANK(N356),"",VLOOKUP(N356,[21]Parámetros!$G$2:$H$23,2,FALSE))</f>
        <v>Selección abreviada subasta inversa</v>
      </c>
      <c r="P356" s="142">
        <f t="shared" si="60"/>
        <v>1</v>
      </c>
      <c r="Q356" s="143">
        <f t="shared" si="65"/>
        <v>15000000</v>
      </c>
      <c r="R356" s="143">
        <f t="shared" si="66"/>
        <v>15000000</v>
      </c>
      <c r="S356" s="144" t="s">
        <v>222</v>
      </c>
      <c r="T356" s="140">
        <f t="shared" si="61"/>
        <v>0</v>
      </c>
      <c r="U356" s="145" t="str">
        <f t="shared" si="67"/>
        <v>SUBDIRECCION DE GESTION CONTRACTUAL</v>
      </c>
      <c r="V356" s="132" t="str">
        <f t="shared" si="58"/>
        <v>CO-DC</v>
      </c>
      <c r="W356" s="145" t="str">
        <f t="shared" si="59"/>
        <v>Distrito Capital de Bogotá</v>
      </c>
      <c r="X356" s="146" t="s">
        <v>73</v>
      </c>
      <c r="Y356" s="132">
        <v>2427400</v>
      </c>
      <c r="Z356" s="148" t="s">
        <v>74</v>
      </c>
    </row>
    <row r="357" spans="1:26" s="7" customFormat="1" ht="12.75" customHeight="1" x14ac:dyDescent="0.25">
      <c r="A357" s="132" t="s">
        <v>107</v>
      </c>
      <c r="B357" s="132">
        <v>7</v>
      </c>
      <c r="C357" s="133" t="s">
        <v>108</v>
      </c>
      <c r="D357" s="133" t="s">
        <v>88</v>
      </c>
      <c r="E357" s="134"/>
      <c r="F357" s="134">
        <v>154400000</v>
      </c>
      <c r="G357" s="134"/>
      <c r="H357" s="135" t="s">
        <v>103</v>
      </c>
      <c r="I357" s="136" t="s">
        <v>596</v>
      </c>
      <c r="J357" s="137">
        <v>2</v>
      </c>
      <c r="K357" s="138">
        <v>3</v>
      </c>
      <c r="L357" s="139">
        <v>10</v>
      </c>
      <c r="M357" s="132">
        <f t="shared" si="64"/>
        <v>1</v>
      </c>
      <c r="N357" s="140" t="s">
        <v>36</v>
      </c>
      <c r="O357" s="141" t="str">
        <f>IF(ISBLANK(N357),"",VLOOKUP(N357,[1]Parámetros!$G$2:$H$23,2,FALSE))</f>
        <v xml:space="preserve">Contratación directa (con ofertas) </v>
      </c>
      <c r="P357" s="142">
        <f t="shared" si="60"/>
        <v>1</v>
      </c>
      <c r="Q357" s="143">
        <f t="shared" si="65"/>
        <v>154400000</v>
      </c>
      <c r="R357" s="143">
        <f t="shared" si="66"/>
        <v>154400000</v>
      </c>
      <c r="S357" s="144" t="s">
        <v>224</v>
      </c>
      <c r="T357" s="140">
        <f t="shared" si="61"/>
        <v>3</v>
      </c>
      <c r="U357" s="145" t="str">
        <f t="shared" si="67"/>
        <v>SUBDIRECCION DE GESTION CONTRACTUAL</v>
      </c>
      <c r="V357" s="132" t="str">
        <f t="shared" si="58"/>
        <v>CO-DC</v>
      </c>
      <c r="W357" s="145" t="str">
        <f t="shared" si="59"/>
        <v>Distrito Capital de Bogotá</v>
      </c>
      <c r="X357" s="146" t="s">
        <v>630</v>
      </c>
      <c r="Y357" s="132">
        <v>2427400</v>
      </c>
      <c r="Z357" s="128" t="s">
        <v>624</v>
      </c>
    </row>
    <row r="358" spans="1:26" s="7" customFormat="1" ht="12.75" customHeight="1" x14ac:dyDescent="0.2">
      <c r="A358" s="132" t="s">
        <v>107</v>
      </c>
      <c r="B358" s="132">
        <v>8</v>
      </c>
      <c r="C358" s="133" t="s">
        <v>108</v>
      </c>
      <c r="D358" s="133" t="s">
        <v>88</v>
      </c>
      <c r="E358" s="134"/>
      <c r="F358" s="134">
        <v>25000000</v>
      </c>
      <c r="G358" s="134"/>
      <c r="H358" s="135" t="s">
        <v>233</v>
      </c>
      <c r="I358" s="136" t="s">
        <v>602</v>
      </c>
      <c r="J358" s="150">
        <v>3</v>
      </c>
      <c r="K358" s="150">
        <v>4</v>
      </c>
      <c r="L358" s="150">
        <v>8</v>
      </c>
      <c r="M358" s="132">
        <f t="shared" si="64"/>
        <v>1</v>
      </c>
      <c r="N358" s="140" t="s">
        <v>53</v>
      </c>
      <c r="O358" s="141" t="str">
        <f>IF(ISBLANK(N358),"",VLOOKUP(N358,[21]Parámetros!$G$2:$H$23,2,FALSE))</f>
        <v>Seléccion abreviada - acuerdo marco</v>
      </c>
      <c r="P358" s="142">
        <f t="shared" si="60"/>
        <v>1</v>
      </c>
      <c r="Q358" s="143">
        <f t="shared" si="65"/>
        <v>25000000</v>
      </c>
      <c r="R358" s="143">
        <f t="shared" si="66"/>
        <v>25000000</v>
      </c>
      <c r="S358" s="144" t="s">
        <v>222</v>
      </c>
      <c r="T358" s="140">
        <f t="shared" si="61"/>
        <v>0</v>
      </c>
      <c r="U358" s="145" t="str">
        <f t="shared" si="67"/>
        <v>SUBDIRECCION DE GESTION CONTRACTUAL</v>
      </c>
      <c r="V358" s="132" t="str">
        <f t="shared" si="58"/>
        <v>CO-DC</v>
      </c>
      <c r="W358" s="145" t="str">
        <f t="shared" si="59"/>
        <v>Distrito Capital de Bogotá</v>
      </c>
      <c r="X358" s="146" t="s">
        <v>77</v>
      </c>
      <c r="Y358" s="132">
        <v>2427400</v>
      </c>
      <c r="Z358" s="146" t="s">
        <v>78</v>
      </c>
    </row>
    <row r="359" spans="1:26" s="7" customFormat="1" ht="12.75" customHeight="1" x14ac:dyDescent="0.2">
      <c r="A359" s="132" t="s">
        <v>107</v>
      </c>
      <c r="B359" s="132">
        <v>9</v>
      </c>
      <c r="C359" s="133" t="s">
        <v>108</v>
      </c>
      <c r="D359" s="133" t="s">
        <v>88</v>
      </c>
      <c r="E359" s="134"/>
      <c r="F359" s="134">
        <v>50000000</v>
      </c>
      <c r="G359" s="134"/>
      <c r="H359" s="135" t="s">
        <v>230</v>
      </c>
      <c r="I359" s="136" t="s">
        <v>413</v>
      </c>
      <c r="J359" s="150">
        <v>2</v>
      </c>
      <c r="K359" s="150">
        <v>3</v>
      </c>
      <c r="L359" s="150">
        <v>4</v>
      </c>
      <c r="M359" s="132">
        <f t="shared" si="64"/>
        <v>1</v>
      </c>
      <c r="N359" s="140" t="s">
        <v>43</v>
      </c>
      <c r="O359" s="141" t="str">
        <f>IF(ISBLANK(N359),"",VLOOKUP(N359,[21]Parámetros!$G$2:$H$23,2,FALSE))</f>
        <v>Selección abreviada subasta inversa</v>
      </c>
      <c r="P359" s="142">
        <f t="shared" si="60"/>
        <v>1</v>
      </c>
      <c r="Q359" s="143">
        <f t="shared" si="65"/>
        <v>50000000</v>
      </c>
      <c r="R359" s="143">
        <f t="shared" si="66"/>
        <v>50000000</v>
      </c>
      <c r="S359" s="144" t="s">
        <v>222</v>
      </c>
      <c r="T359" s="140">
        <f t="shared" si="61"/>
        <v>0</v>
      </c>
      <c r="U359" s="145" t="str">
        <f t="shared" si="67"/>
        <v>SUBDIRECCION DE GESTION CONTRACTUAL</v>
      </c>
      <c r="V359" s="132" t="str">
        <f t="shared" si="58"/>
        <v>CO-DC</v>
      </c>
      <c r="W359" s="145" t="str">
        <f t="shared" si="59"/>
        <v>Distrito Capital de Bogotá</v>
      </c>
      <c r="X359" s="146" t="s">
        <v>307</v>
      </c>
      <c r="Y359" s="132">
        <v>2427400</v>
      </c>
      <c r="Z359" s="148" t="s">
        <v>94</v>
      </c>
    </row>
    <row r="360" spans="1:26" s="7" customFormat="1" ht="12.75" customHeight="1" x14ac:dyDescent="0.25">
      <c r="A360" s="132" t="s">
        <v>107</v>
      </c>
      <c r="B360" s="132">
        <v>10</v>
      </c>
      <c r="C360" s="133" t="s">
        <v>110</v>
      </c>
      <c r="D360" s="133" t="s">
        <v>109</v>
      </c>
      <c r="E360" s="134"/>
      <c r="F360" s="134">
        <v>365899947</v>
      </c>
      <c r="G360" s="134"/>
      <c r="H360" s="135" t="s">
        <v>755</v>
      </c>
      <c r="I360" s="136" t="s">
        <v>414</v>
      </c>
      <c r="J360" s="150">
        <v>2</v>
      </c>
      <c r="K360" s="150">
        <v>3</v>
      </c>
      <c r="L360" s="150">
        <v>9</v>
      </c>
      <c r="M360" s="132">
        <f t="shared" si="64"/>
        <v>1</v>
      </c>
      <c r="N360" s="140" t="s">
        <v>36</v>
      </c>
      <c r="O360" s="141" t="str">
        <f>IF(ISBLANK(N360),"",VLOOKUP(N360,[21]Parámetros!$G$2:$H$23,2,FALSE))</f>
        <v xml:space="preserve">Contratación directa (con ofertas) </v>
      </c>
      <c r="P360" s="142">
        <f t="shared" si="60"/>
        <v>1</v>
      </c>
      <c r="Q360" s="143">
        <f t="shared" si="65"/>
        <v>365899947</v>
      </c>
      <c r="R360" s="143">
        <f t="shared" si="66"/>
        <v>365899947</v>
      </c>
      <c r="S360" s="144" t="s">
        <v>222</v>
      </c>
      <c r="T360" s="140">
        <f t="shared" si="61"/>
        <v>0</v>
      </c>
      <c r="U360" s="145" t="str">
        <f t="shared" si="67"/>
        <v>SUBDIRECCION DE GESTION CONTRACTUAL</v>
      </c>
      <c r="V360" s="132" t="str">
        <f t="shared" si="58"/>
        <v>CO-DC</v>
      </c>
      <c r="W360" s="145" t="str">
        <f t="shared" si="59"/>
        <v>Distrito Capital de Bogotá</v>
      </c>
      <c r="X360" s="146" t="s">
        <v>630</v>
      </c>
      <c r="Y360" s="132">
        <v>2427400</v>
      </c>
      <c r="Z360" s="128" t="s">
        <v>624</v>
      </c>
    </row>
    <row r="361" spans="1:26" s="7" customFormat="1" ht="12.75" customHeight="1" x14ac:dyDescent="0.25">
      <c r="A361" s="132" t="s">
        <v>107</v>
      </c>
      <c r="B361" s="132">
        <v>11</v>
      </c>
      <c r="C361" s="133" t="s">
        <v>110</v>
      </c>
      <c r="D361" s="133" t="s">
        <v>109</v>
      </c>
      <c r="E361" s="134"/>
      <c r="F361" s="134">
        <v>404480842</v>
      </c>
      <c r="G361" s="134"/>
      <c r="H361" s="135" t="s">
        <v>755</v>
      </c>
      <c r="I361" s="136" t="s">
        <v>415</v>
      </c>
      <c r="J361" s="150">
        <v>2</v>
      </c>
      <c r="K361" s="150">
        <v>3</v>
      </c>
      <c r="L361" s="150">
        <v>9</v>
      </c>
      <c r="M361" s="132">
        <f t="shared" si="64"/>
        <v>1</v>
      </c>
      <c r="N361" s="140" t="s">
        <v>36</v>
      </c>
      <c r="O361" s="141" t="str">
        <f>IF(ISBLANK(N361),"",VLOOKUP(N361,[21]Parámetros!$G$2:$H$23,2,FALSE))</f>
        <v xml:space="preserve">Contratación directa (con ofertas) </v>
      </c>
      <c r="P361" s="142">
        <f t="shared" si="60"/>
        <v>1</v>
      </c>
      <c r="Q361" s="143">
        <f t="shared" si="65"/>
        <v>404480842</v>
      </c>
      <c r="R361" s="143">
        <f t="shared" si="66"/>
        <v>404480842</v>
      </c>
      <c r="S361" s="144" t="s">
        <v>222</v>
      </c>
      <c r="T361" s="140">
        <f t="shared" si="61"/>
        <v>0</v>
      </c>
      <c r="U361" s="145" t="str">
        <f t="shared" si="67"/>
        <v>SUBDIRECCION DE GESTION CONTRACTUAL</v>
      </c>
      <c r="V361" s="132" t="str">
        <f t="shared" si="58"/>
        <v>CO-DC</v>
      </c>
      <c r="W361" s="145" t="str">
        <f t="shared" si="59"/>
        <v>Distrito Capital de Bogotá</v>
      </c>
      <c r="X361" s="146" t="s">
        <v>630</v>
      </c>
      <c r="Y361" s="132">
        <v>2427400</v>
      </c>
      <c r="Z361" s="128" t="s">
        <v>624</v>
      </c>
    </row>
    <row r="362" spans="1:26" s="7" customFormat="1" ht="12.75" customHeight="1" x14ac:dyDescent="0.25">
      <c r="A362" s="132" t="s">
        <v>107</v>
      </c>
      <c r="B362" s="132">
        <v>12</v>
      </c>
      <c r="C362" s="133" t="s">
        <v>110</v>
      </c>
      <c r="D362" s="133" t="s">
        <v>88</v>
      </c>
      <c r="E362" s="134"/>
      <c r="F362" s="134">
        <v>87602275</v>
      </c>
      <c r="G362" s="134"/>
      <c r="H362" s="135" t="s">
        <v>755</v>
      </c>
      <c r="I362" s="136" t="s">
        <v>416</v>
      </c>
      <c r="J362" s="150">
        <v>2</v>
      </c>
      <c r="K362" s="150">
        <v>3</v>
      </c>
      <c r="L362" s="150">
        <v>9</v>
      </c>
      <c r="M362" s="132">
        <f t="shared" si="64"/>
        <v>1</v>
      </c>
      <c r="N362" s="140" t="s">
        <v>36</v>
      </c>
      <c r="O362" s="141" t="str">
        <f>IF(ISBLANK(N362),"",VLOOKUP(N362,[21]Parámetros!$G$2:$H$23,2,FALSE))</f>
        <v xml:space="preserve">Contratación directa (con ofertas) </v>
      </c>
      <c r="P362" s="142">
        <f t="shared" si="60"/>
        <v>1</v>
      </c>
      <c r="Q362" s="143">
        <f t="shared" si="65"/>
        <v>87602275</v>
      </c>
      <c r="R362" s="143">
        <f t="shared" si="66"/>
        <v>87602275</v>
      </c>
      <c r="S362" s="144" t="s">
        <v>222</v>
      </c>
      <c r="T362" s="140">
        <f t="shared" si="61"/>
        <v>0</v>
      </c>
      <c r="U362" s="145" t="str">
        <f t="shared" si="67"/>
        <v>SUBDIRECCION DE GESTION CONTRACTUAL</v>
      </c>
      <c r="V362" s="132" t="str">
        <f t="shared" si="58"/>
        <v>CO-DC</v>
      </c>
      <c r="W362" s="145" t="str">
        <f t="shared" si="59"/>
        <v>Distrito Capital de Bogotá</v>
      </c>
      <c r="X362" s="146" t="s">
        <v>630</v>
      </c>
      <c r="Y362" s="132">
        <v>2427400</v>
      </c>
      <c r="Z362" s="128" t="s">
        <v>624</v>
      </c>
    </row>
    <row r="363" spans="1:26" s="7" customFormat="1" ht="12.75" customHeight="1" x14ac:dyDescent="0.25">
      <c r="A363" s="132" t="s">
        <v>107</v>
      </c>
      <c r="B363" s="132">
        <v>13</v>
      </c>
      <c r="C363" s="133" t="s">
        <v>110</v>
      </c>
      <c r="D363" s="133" t="s">
        <v>109</v>
      </c>
      <c r="E363" s="134"/>
      <c r="F363" s="134">
        <v>191609926</v>
      </c>
      <c r="G363" s="134"/>
      <c r="H363" s="135" t="s">
        <v>755</v>
      </c>
      <c r="I363" s="136" t="s">
        <v>417</v>
      </c>
      <c r="J363" s="150">
        <v>2</v>
      </c>
      <c r="K363" s="150">
        <v>3</v>
      </c>
      <c r="L363" s="150">
        <v>9</v>
      </c>
      <c r="M363" s="132">
        <f t="shared" si="64"/>
        <v>1</v>
      </c>
      <c r="N363" s="140" t="s">
        <v>36</v>
      </c>
      <c r="O363" s="141" t="str">
        <f>IF(ISBLANK(N363),"",VLOOKUP(N363,[21]Parámetros!$G$2:$H$23,2,FALSE))</f>
        <v xml:space="preserve">Contratación directa (con ofertas) </v>
      </c>
      <c r="P363" s="142">
        <f t="shared" si="60"/>
        <v>1</v>
      </c>
      <c r="Q363" s="143">
        <f t="shared" si="65"/>
        <v>191609926</v>
      </c>
      <c r="R363" s="143">
        <f t="shared" si="66"/>
        <v>191609926</v>
      </c>
      <c r="S363" s="144" t="s">
        <v>222</v>
      </c>
      <c r="T363" s="140">
        <f t="shared" si="61"/>
        <v>0</v>
      </c>
      <c r="U363" s="145" t="str">
        <f t="shared" si="67"/>
        <v>SUBDIRECCION DE GESTION CONTRACTUAL</v>
      </c>
      <c r="V363" s="132" t="str">
        <f t="shared" si="58"/>
        <v>CO-DC</v>
      </c>
      <c r="W363" s="145" t="str">
        <f t="shared" si="59"/>
        <v>Distrito Capital de Bogotá</v>
      </c>
      <c r="X363" s="146" t="s">
        <v>630</v>
      </c>
      <c r="Y363" s="132">
        <v>2427400</v>
      </c>
      <c r="Z363" s="128" t="s">
        <v>624</v>
      </c>
    </row>
    <row r="364" spans="1:26" s="7" customFormat="1" ht="12.75" customHeight="1" x14ac:dyDescent="0.25">
      <c r="A364" s="132" t="s">
        <v>107</v>
      </c>
      <c r="B364" s="132">
        <v>14</v>
      </c>
      <c r="C364" s="133" t="s">
        <v>110</v>
      </c>
      <c r="D364" s="133" t="s">
        <v>88</v>
      </c>
      <c r="E364" s="134"/>
      <c r="F364" s="134">
        <v>300000000</v>
      </c>
      <c r="G364" s="134"/>
      <c r="H364" s="135" t="s">
        <v>755</v>
      </c>
      <c r="I364" s="136" t="s">
        <v>418</v>
      </c>
      <c r="J364" s="150">
        <v>2</v>
      </c>
      <c r="K364" s="150">
        <v>3</v>
      </c>
      <c r="L364" s="150">
        <v>9</v>
      </c>
      <c r="M364" s="132">
        <f t="shared" si="64"/>
        <v>1</v>
      </c>
      <c r="N364" s="140" t="s">
        <v>36</v>
      </c>
      <c r="O364" s="141" t="str">
        <f>IF(ISBLANK(N364),"",VLOOKUP(N364,[21]Parámetros!$G$2:$H$23,2,FALSE))</f>
        <v xml:space="preserve">Contratación directa (con ofertas) </v>
      </c>
      <c r="P364" s="142">
        <f t="shared" ref="P364:P395" si="68">IF(ISBLANK(N364),"",1)</f>
        <v>1</v>
      </c>
      <c r="Q364" s="143">
        <f t="shared" si="65"/>
        <v>300000000</v>
      </c>
      <c r="R364" s="143">
        <f t="shared" si="66"/>
        <v>300000000</v>
      </c>
      <c r="S364" s="144" t="s">
        <v>222</v>
      </c>
      <c r="T364" s="140">
        <f t="shared" ref="T364:T395" si="69">IF(ISBLANK(S364),"",IF(VALUE(S364)=0,0,IF(VALUE(S364)=1,3,"")))</f>
        <v>0</v>
      </c>
      <c r="U364" s="145" t="str">
        <f t="shared" si="67"/>
        <v>SUBDIRECCION DE GESTION CONTRACTUAL</v>
      </c>
      <c r="V364" s="132" t="str">
        <f t="shared" si="58"/>
        <v>CO-DC</v>
      </c>
      <c r="W364" s="145" t="str">
        <f t="shared" si="59"/>
        <v>Distrito Capital de Bogotá</v>
      </c>
      <c r="X364" s="146" t="s">
        <v>630</v>
      </c>
      <c r="Y364" s="132">
        <v>2427400</v>
      </c>
      <c r="Z364" s="128" t="s">
        <v>624</v>
      </c>
    </row>
    <row r="365" spans="1:26" s="7" customFormat="1" ht="12.75" customHeight="1" x14ac:dyDescent="0.25">
      <c r="A365" s="132" t="s">
        <v>107</v>
      </c>
      <c r="B365" s="132">
        <v>15</v>
      </c>
      <c r="C365" s="133" t="s">
        <v>110</v>
      </c>
      <c r="D365" s="133" t="s">
        <v>88</v>
      </c>
      <c r="E365" s="134"/>
      <c r="F365" s="134">
        <v>742800000</v>
      </c>
      <c r="G365" s="134"/>
      <c r="H365" s="135" t="s">
        <v>755</v>
      </c>
      <c r="I365" s="136" t="s">
        <v>419</v>
      </c>
      <c r="J365" s="150">
        <v>2</v>
      </c>
      <c r="K365" s="150">
        <v>3</v>
      </c>
      <c r="L365" s="150">
        <v>9</v>
      </c>
      <c r="M365" s="132">
        <f t="shared" si="64"/>
        <v>1</v>
      </c>
      <c r="N365" s="140" t="s">
        <v>36</v>
      </c>
      <c r="O365" s="141" t="str">
        <f>IF(ISBLANK(N365),"",VLOOKUP(N365,[21]Parámetros!$G$2:$H$23,2,FALSE))</f>
        <v xml:space="preserve">Contratación directa (con ofertas) </v>
      </c>
      <c r="P365" s="142">
        <f t="shared" si="68"/>
        <v>1</v>
      </c>
      <c r="Q365" s="143">
        <f t="shared" si="65"/>
        <v>742800000</v>
      </c>
      <c r="R365" s="143">
        <f t="shared" si="66"/>
        <v>742800000</v>
      </c>
      <c r="S365" s="144" t="s">
        <v>222</v>
      </c>
      <c r="T365" s="140">
        <f t="shared" si="69"/>
        <v>0</v>
      </c>
      <c r="U365" s="145" t="str">
        <f t="shared" si="67"/>
        <v>SUBDIRECCION DE GESTION CONTRACTUAL</v>
      </c>
      <c r="V365" s="132" t="str">
        <f t="shared" si="58"/>
        <v>CO-DC</v>
      </c>
      <c r="W365" s="145" t="str">
        <f t="shared" si="59"/>
        <v>Distrito Capital de Bogotá</v>
      </c>
      <c r="X365" s="146" t="s">
        <v>630</v>
      </c>
      <c r="Y365" s="132">
        <v>2427400</v>
      </c>
      <c r="Z365" s="128" t="s">
        <v>624</v>
      </c>
    </row>
    <row r="366" spans="1:26" s="7" customFormat="1" ht="12.75" customHeight="1" x14ac:dyDescent="0.25">
      <c r="A366" s="132" t="s">
        <v>107</v>
      </c>
      <c r="B366" s="132">
        <v>16</v>
      </c>
      <c r="C366" s="133" t="s">
        <v>111</v>
      </c>
      <c r="D366" s="133" t="s">
        <v>109</v>
      </c>
      <c r="E366" s="134"/>
      <c r="F366" s="134">
        <v>54798795</v>
      </c>
      <c r="G366" s="134"/>
      <c r="H366" s="135" t="s">
        <v>755</v>
      </c>
      <c r="I366" s="136" t="s">
        <v>420</v>
      </c>
      <c r="J366" s="150">
        <v>2</v>
      </c>
      <c r="K366" s="150">
        <v>3</v>
      </c>
      <c r="L366" s="150">
        <v>9</v>
      </c>
      <c r="M366" s="132">
        <f t="shared" si="64"/>
        <v>1</v>
      </c>
      <c r="N366" s="140" t="s">
        <v>36</v>
      </c>
      <c r="O366" s="141" t="str">
        <f>IF(ISBLANK(N366),"",VLOOKUP(N366,[21]Parámetros!$G$2:$H$23,2,FALSE))</f>
        <v xml:space="preserve">Contratación directa (con ofertas) </v>
      </c>
      <c r="P366" s="142">
        <f t="shared" si="68"/>
        <v>1</v>
      </c>
      <c r="Q366" s="143">
        <f t="shared" si="65"/>
        <v>54798795</v>
      </c>
      <c r="R366" s="143">
        <f t="shared" si="66"/>
        <v>54798795</v>
      </c>
      <c r="S366" s="144" t="s">
        <v>222</v>
      </c>
      <c r="T366" s="140">
        <f t="shared" si="69"/>
        <v>0</v>
      </c>
      <c r="U366" s="145" t="str">
        <f t="shared" si="67"/>
        <v>SUBDIRECCION DE GESTION CONTRACTUAL</v>
      </c>
      <c r="V366" s="132" t="str">
        <f t="shared" si="58"/>
        <v>CO-DC</v>
      </c>
      <c r="W366" s="145" t="str">
        <f t="shared" si="59"/>
        <v>Distrito Capital de Bogotá</v>
      </c>
      <c r="X366" s="146" t="s">
        <v>630</v>
      </c>
      <c r="Y366" s="132">
        <v>2427400</v>
      </c>
      <c r="Z366" s="128" t="s">
        <v>624</v>
      </c>
    </row>
    <row r="367" spans="1:26" s="7" customFormat="1" ht="12.75" customHeight="1" x14ac:dyDescent="0.25">
      <c r="A367" s="132" t="s">
        <v>107</v>
      </c>
      <c r="B367" s="132">
        <v>17</v>
      </c>
      <c r="C367" s="133" t="s">
        <v>111</v>
      </c>
      <c r="D367" s="133" t="s">
        <v>109</v>
      </c>
      <c r="E367" s="134"/>
      <c r="F367" s="134">
        <v>81548796</v>
      </c>
      <c r="G367" s="134"/>
      <c r="H367" s="135" t="s">
        <v>755</v>
      </c>
      <c r="I367" s="136" t="s">
        <v>421</v>
      </c>
      <c r="J367" s="150">
        <v>2</v>
      </c>
      <c r="K367" s="150">
        <v>3</v>
      </c>
      <c r="L367" s="150">
        <v>9</v>
      </c>
      <c r="M367" s="132">
        <f t="shared" si="64"/>
        <v>1</v>
      </c>
      <c r="N367" s="140" t="s">
        <v>36</v>
      </c>
      <c r="O367" s="141" t="str">
        <f>IF(ISBLANK(N367),"",VLOOKUP(N367,[21]Parámetros!$G$2:$H$23,2,FALSE))</f>
        <v xml:space="preserve">Contratación directa (con ofertas) </v>
      </c>
      <c r="P367" s="142">
        <f t="shared" si="68"/>
        <v>1</v>
      </c>
      <c r="Q367" s="143">
        <f t="shared" si="65"/>
        <v>81548796</v>
      </c>
      <c r="R367" s="143">
        <f t="shared" si="66"/>
        <v>81548796</v>
      </c>
      <c r="S367" s="144" t="s">
        <v>222</v>
      </c>
      <c r="T367" s="140">
        <f t="shared" si="69"/>
        <v>0</v>
      </c>
      <c r="U367" s="145" t="str">
        <f t="shared" si="67"/>
        <v>SUBDIRECCION DE GESTION CONTRACTUAL</v>
      </c>
      <c r="V367" s="132" t="str">
        <f t="shared" si="58"/>
        <v>CO-DC</v>
      </c>
      <c r="W367" s="145" t="str">
        <f t="shared" si="59"/>
        <v>Distrito Capital de Bogotá</v>
      </c>
      <c r="X367" s="146" t="s">
        <v>630</v>
      </c>
      <c r="Y367" s="132">
        <v>2427400</v>
      </c>
      <c r="Z367" s="128" t="s">
        <v>624</v>
      </c>
    </row>
    <row r="368" spans="1:26" s="7" customFormat="1" ht="12.75" customHeight="1" x14ac:dyDescent="0.25">
      <c r="A368" s="132" t="s">
        <v>107</v>
      </c>
      <c r="B368" s="132">
        <v>18</v>
      </c>
      <c r="C368" s="133" t="s">
        <v>111</v>
      </c>
      <c r="D368" s="133" t="s">
        <v>88</v>
      </c>
      <c r="E368" s="134"/>
      <c r="F368" s="134">
        <v>3625228068</v>
      </c>
      <c r="G368" s="134"/>
      <c r="H368" s="135" t="s">
        <v>755</v>
      </c>
      <c r="I368" s="136" t="s">
        <v>422</v>
      </c>
      <c r="J368" s="150">
        <v>2</v>
      </c>
      <c r="K368" s="150">
        <v>3</v>
      </c>
      <c r="L368" s="150">
        <v>9</v>
      </c>
      <c r="M368" s="132">
        <f t="shared" si="64"/>
        <v>1</v>
      </c>
      <c r="N368" s="140" t="s">
        <v>36</v>
      </c>
      <c r="O368" s="141" t="str">
        <f>IF(ISBLANK(N368),"",VLOOKUP(N368,[21]Parámetros!$G$2:$H$23,2,FALSE))</f>
        <v xml:space="preserve">Contratación directa (con ofertas) </v>
      </c>
      <c r="P368" s="142">
        <f t="shared" si="68"/>
        <v>1</v>
      </c>
      <c r="Q368" s="143">
        <f t="shared" si="65"/>
        <v>3625228068</v>
      </c>
      <c r="R368" s="143">
        <f t="shared" si="66"/>
        <v>3625228068</v>
      </c>
      <c r="S368" s="144" t="s">
        <v>222</v>
      </c>
      <c r="T368" s="140">
        <f t="shared" si="69"/>
        <v>0</v>
      </c>
      <c r="U368" s="145" t="str">
        <f t="shared" si="67"/>
        <v>SUBDIRECCION DE GESTION CONTRACTUAL</v>
      </c>
      <c r="V368" s="132" t="str">
        <f t="shared" si="58"/>
        <v>CO-DC</v>
      </c>
      <c r="W368" s="145" t="str">
        <f t="shared" si="59"/>
        <v>Distrito Capital de Bogotá</v>
      </c>
      <c r="X368" s="146" t="s">
        <v>630</v>
      </c>
      <c r="Y368" s="132">
        <v>2427400</v>
      </c>
      <c r="Z368" s="128" t="s">
        <v>624</v>
      </c>
    </row>
    <row r="369" spans="1:85" s="7" customFormat="1" ht="12.75" customHeight="1" x14ac:dyDescent="0.25">
      <c r="A369" s="132" t="s">
        <v>107</v>
      </c>
      <c r="B369" s="132">
        <v>19</v>
      </c>
      <c r="C369" s="133" t="s">
        <v>111</v>
      </c>
      <c r="D369" s="133" t="s">
        <v>109</v>
      </c>
      <c r="E369" s="134"/>
      <c r="F369" s="134">
        <v>707908984</v>
      </c>
      <c r="G369" s="134"/>
      <c r="H369" s="135" t="s">
        <v>755</v>
      </c>
      <c r="I369" s="136" t="s">
        <v>423</v>
      </c>
      <c r="J369" s="150">
        <v>2</v>
      </c>
      <c r="K369" s="150">
        <v>3</v>
      </c>
      <c r="L369" s="150">
        <v>9</v>
      </c>
      <c r="M369" s="132">
        <f t="shared" si="64"/>
        <v>1</v>
      </c>
      <c r="N369" s="140" t="s">
        <v>36</v>
      </c>
      <c r="O369" s="141" t="str">
        <f>IF(ISBLANK(N369),"",VLOOKUP(N369,[21]Parámetros!$G$2:$H$23,2,FALSE))</f>
        <v xml:space="preserve">Contratación directa (con ofertas) </v>
      </c>
      <c r="P369" s="142">
        <f t="shared" si="68"/>
        <v>1</v>
      </c>
      <c r="Q369" s="143">
        <f t="shared" si="65"/>
        <v>707908984</v>
      </c>
      <c r="R369" s="143">
        <f t="shared" si="66"/>
        <v>707908984</v>
      </c>
      <c r="S369" s="144" t="s">
        <v>222</v>
      </c>
      <c r="T369" s="140">
        <f t="shared" si="69"/>
        <v>0</v>
      </c>
      <c r="U369" s="145" t="str">
        <f t="shared" si="67"/>
        <v>SUBDIRECCION DE GESTION CONTRACTUAL</v>
      </c>
      <c r="V369" s="132" t="str">
        <f t="shared" si="58"/>
        <v>CO-DC</v>
      </c>
      <c r="W369" s="145" t="str">
        <f t="shared" si="59"/>
        <v>Distrito Capital de Bogotá</v>
      </c>
      <c r="X369" s="146" t="s">
        <v>630</v>
      </c>
      <c r="Y369" s="132">
        <v>2427400</v>
      </c>
      <c r="Z369" s="128" t="s">
        <v>624</v>
      </c>
    </row>
    <row r="370" spans="1:85" s="7" customFormat="1" ht="12.75" customHeight="1" x14ac:dyDescent="0.25">
      <c r="A370" s="132" t="s">
        <v>107</v>
      </c>
      <c r="B370" s="132">
        <v>20</v>
      </c>
      <c r="C370" s="133" t="s">
        <v>111</v>
      </c>
      <c r="D370" s="133" t="s">
        <v>109</v>
      </c>
      <c r="E370" s="134"/>
      <c r="F370" s="134">
        <v>239070300</v>
      </c>
      <c r="G370" s="134"/>
      <c r="H370" s="135" t="s">
        <v>755</v>
      </c>
      <c r="I370" s="136" t="s">
        <v>424</v>
      </c>
      <c r="J370" s="150">
        <v>2</v>
      </c>
      <c r="K370" s="150">
        <v>3</v>
      </c>
      <c r="L370" s="150">
        <v>9</v>
      </c>
      <c r="M370" s="132">
        <f t="shared" si="64"/>
        <v>1</v>
      </c>
      <c r="N370" s="140" t="s">
        <v>36</v>
      </c>
      <c r="O370" s="141" t="str">
        <f>IF(ISBLANK(N370),"",VLOOKUP(N370,[21]Parámetros!$G$2:$H$23,2,FALSE))</f>
        <v xml:space="preserve">Contratación directa (con ofertas) </v>
      </c>
      <c r="P370" s="142">
        <f t="shared" si="68"/>
        <v>1</v>
      </c>
      <c r="Q370" s="143">
        <f t="shared" si="65"/>
        <v>239070300</v>
      </c>
      <c r="R370" s="143">
        <f t="shared" si="66"/>
        <v>239070300</v>
      </c>
      <c r="S370" s="144" t="s">
        <v>222</v>
      </c>
      <c r="T370" s="140">
        <f t="shared" si="69"/>
        <v>0</v>
      </c>
      <c r="U370" s="145" t="str">
        <f t="shared" si="67"/>
        <v>SUBDIRECCION DE GESTION CONTRACTUAL</v>
      </c>
      <c r="V370" s="132" t="str">
        <f t="shared" si="58"/>
        <v>CO-DC</v>
      </c>
      <c r="W370" s="145" t="str">
        <f t="shared" si="59"/>
        <v>Distrito Capital de Bogotá</v>
      </c>
      <c r="X370" s="146" t="s">
        <v>630</v>
      </c>
      <c r="Y370" s="132">
        <v>2427400</v>
      </c>
      <c r="Z370" s="128" t="s">
        <v>624</v>
      </c>
    </row>
    <row r="371" spans="1:85" s="7" customFormat="1" ht="12.75" customHeight="1" x14ac:dyDescent="0.25">
      <c r="A371" s="132" t="s">
        <v>107</v>
      </c>
      <c r="B371" s="132">
        <v>21</v>
      </c>
      <c r="C371" s="133" t="s">
        <v>425</v>
      </c>
      <c r="D371" s="133" t="s">
        <v>109</v>
      </c>
      <c r="E371" s="134"/>
      <c r="F371" s="134">
        <v>377537308</v>
      </c>
      <c r="G371" s="134"/>
      <c r="H371" s="135" t="s">
        <v>755</v>
      </c>
      <c r="I371" s="136" t="s">
        <v>426</v>
      </c>
      <c r="J371" s="150">
        <v>2</v>
      </c>
      <c r="K371" s="150">
        <v>3</v>
      </c>
      <c r="L371" s="150">
        <v>9</v>
      </c>
      <c r="M371" s="132">
        <f t="shared" si="64"/>
        <v>1</v>
      </c>
      <c r="N371" s="140" t="s">
        <v>36</v>
      </c>
      <c r="O371" s="141" t="str">
        <f>IF(ISBLANK(N371),"",VLOOKUP(N371,[21]Parámetros!$G$2:$H$23,2,FALSE))</f>
        <v xml:space="preserve">Contratación directa (con ofertas) </v>
      </c>
      <c r="P371" s="142">
        <f t="shared" si="68"/>
        <v>1</v>
      </c>
      <c r="Q371" s="143">
        <f t="shared" si="65"/>
        <v>377537308</v>
      </c>
      <c r="R371" s="143">
        <f t="shared" si="66"/>
        <v>377537308</v>
      </c>
      <c r="S371" s="144" t="s">
        <v>222</v>
      </c>
      <c r="T371" s="140">
        <f t="shared" si="69"/>
        <v>0</v>
      </c>
      <c r="U371" s="145" t="str">
        <f t="shared" si="67"/>
        <v>SUBDIRECCION DE GESTION CONTRACTUAL</v>
      </c>
      <c r="V371" s="132" t="str">
        <f t="shared" si="58"/>
        <v>CO-DC</v>
      </c>
      <c r="W371" s="145" t="str">
        <f t="shared" si="59"/>
        <v>Distrito Capital de Bogotá</v>
      </c>
      <c r="X371" s="146" t="s">
        <v>630</v>
      </c>
      <c r="Y371" s="132">
        <v>2427400</v>
      </c>
      <c r="Z371" s="128" t="s">
        <v>624</v>
      </c>
    </row>
    <row r="372" spans="1:85" s="7" customFormat="1" ht="12.75" customHeight="1" x14ac:dyDescent="0.25">
      <c r="A372" s="132" t="s">
        <v>107</v>
      </c>
      <c r="B372" s="132">
        <v>22</v>
      </c>
      <c r="C372" s="133" t="s">
        <v>425</v>
      </c>
      <c r="D372" s="133" t="s">
        <v>109</v>
      </c>
      <c r="E372" s="134"/>
      <c r="F372" s="134">
        <v>57388638</v>
      </c>
      <c r="G372" s="134"/>
      <c r="H372" s="135" t="s">
        <v>755</v>
      </c>
      <c r="I372" s="136" t="s">
        <v>427</v>
      </c>
      <c r="J372" s="150">
        <v>2</v>
      </c>
      <c r="K372" s="150">
        <v>3</v>
      </c>
      <c r="L372" s="150">
        <v>9</v>
      </c>
      <c r="M372" s="132">
        <f t="shared" si="64"/>
        <v>1</v>
      </c>
      <c r="N372" s="140" t="s">
        <v>36</v>
      </c>
      <c r="O372" s="141" t="str">
        <f>IF(ISBLANK(N372),"",VLOOKUP(N372,[21]Parámetros!$G$2:$H$23,2,FALSE))</f>
        <v xml:space="preserve">Contratación directa (con ofertas) </v>
      </c>
      <c r="P372" s="142">
        <f t="shared" si="68"/>
        <v>1</v>
      </c>
      <c r="Q372" s="143">
        <f t="shared" si="65"/>
        <v>57388638</v>
      </c>
      <c r="R372" s="143">
        <f t="shared" si="66"/>
        <v>57388638</v>
      </c>
      <c r="S372" s="144" t="s">
        <v>222</v>
      </c>
      <c r="T372" s="140">
        <f t="shared" si="69"/>
        <v>0</v>
      </c>
      <c r="U372" s="145" t="str">
        <f t="shared" si="67"/>
        <v>SUBDIRECCION DE GESTION CONTRACTUAL</v>
      </c>
      <c r="V372" s="132" t="str">
        <f t="shared" ref="V372:V435" si="70">IF(ISBLANK(N372),"","CO-DC")</f>
        <v>CO-DC</v>
      </c>
      <c r="W372" s="145" t="str">
        <f t="shared" ref="W372:W435" si="71">IF(ISBLANK(N372),"","Distrito Capital de Bogotá")</f>
        <v>Distrito Capital de Bogotá</v>
      </c>
      <c r="X372" s="146" t="s">
        <v>630</v>
      </c>
      <c r="Y372" s="132">
        <v>2427400</v>
      </c>
      <c r="Z372" s="128" t="s">
        <v>624</v>
      </c>
    </row>
    <row r="373" spans="1:85" s="7" customFormat="1" ht="12.75" customHeight="1" x14ac:dyDescent="0.25">
      <c r="A373" s="132" t="s">
        <v>107</v>
      </c>
      <c r="B373" s="132">
        <v>23</v>
      </c>
      <c r="C373" s="133" t="s">
        <v>425</v>
      </c>
      <c r="D373" s="133" t="s">
        <v>109</v>
      </c>
      <c r="E373" s="134"/>
      <c r="F373" s="134">
        <v>132529770</v>
      </c>
      <c r="G373" s="134"/>
      <c r="H373" s="135" t="s">
        <v>755</v>
      </c>
      <c r="I373" s="136" t="s">
        <v>428</v>
      </c>
      <c r="J373" s="150">
        <v>2</v>
      </c>
      <c r="K373" s="150">
        <v>3</v>
      </c>
      <c r="L373" s="150">
        <v>9</v>
      </c>
      <c r="M373" s="132">
        <f t="shared" si="64"/>
        <v>1</v>
      </c>
      <c r="N373" s="140" t="s">
        <v>36</v>
      </c>
      <c r="O373" s="141" t="str">
        <f>IF(ISBLANK(N373),"",VLOOKUP(N373,[21]Parámetros!$G$2:$H$23,2,FALSE))</f>
        <v xml:space="preserve">Contratación directa (con ofertas) </v>
      </c>
      <c r="P373" s="142">
        <f t="shared" si="68"/>
        <v>1</v>
      </c>
      <c r="Q373" s="143">
        <f t="shared" si="65"/>
        <v>132529770</v>
      </c>
      <c r="R373" s="143">
        <f t="shared" si="66"/>
        <v>132529770</v>
      </c>
      <c r="S373" s="144" t="s">
        <v>222</v>
      </c>
      <c r="T373" s="140">
        <f t="shared" si="69"/>
        <v>0</v>
      </c>
      <c r="U373" s="145" t="str">
        <f t="shared" si="67"/>
        <v>SUBDIRECCION DE GESTION CONTRACTUAL</v>
      </c>
      <c r="V373" s="132" t="str">
        <f t="shared" si="70"/>
        <v>CO-DC</v>
      </c>
      <c r="W373" s="145" t="str">
        <f t="shared" si="71"/>
        <v>Distrito Capital de Bogotá</v>
      </c>
      <c r="X373" s="146" t="s">
        <v>630</v>
      </c>
      <c r="Y373" s="132">
        <v>2427400</v>
      </c>
      <c r="Z373" s="128" t="s">
        <v>624</v>
      </c>
    </row>
    <row r="374" spans="1:85" s="7" customFormat="1" ht="12.75" customHeight="1" x14ac:dyDescent="0.25">
      <c r="A374" s="132" t="s">
        <v>107</v>
      </c>
      <c r="B374" s="132">
        <v>24</v>
      </c>
      <c r="C374" s="133" t="s">
        <v>425</v>
      </c>
      <c r="D374" s="133" t="s">
        <v>88</v>
      </c>
      <c r="E374" s="134"/>
      <c r="F374" s="134">
        <v>300000000</v>
      </c>
      <c r="G374" s="134"/>
      <c r="H374" s="135" t="s">
        <v>755</v>
      </c>
      <c r="I374" s="136" t="s">
        <v>429</v>
      </c>
      <c r="J374" s="150">
        <v>2</v>
      </c>
      <c r="K374" s="150">
        <v>3</v>
      </c>
      <c r="L374" s="150">
        <v>9</v>
      </c>
      <c r="M374" s="132">
        <f t="shared" si="64"/>
        <v>1</v>
      </c>
      <c r="N374" s="140" t="s">
        <v>36</v>
      </c>
      <c r="O374" s="141" t="str">
        <f>IF(ISBLANK(N374),"",VLOOKUP(N374,[21]Parámetros!$G$2:$H$23,2,FALSE))</f>
        <v xml:space="preserve">Contratación directa (con ofertas) </v>
      </c>
      <c r="P374" s="142">
        <f t="shared" si="68"/>
        <v>1</v>
      </c>
      <c r="Q374" s="143">
        <f t="shared" si="65"/>
        <v>300000000</v>
      </c>
      <c r="R374" s="143">
        <f t="shared" si="66"/>
        <v>300000000</v>
      </c>
      <c r="S374" s="144" t="s">
        <v>222</v>
      </c>
      <c r="T374" s="140">
        <f t="shared" si="69"/>
        <v>0</v>
      </c>
      <c r="U374" s="145" t="str">
        <f t="shared" si="67"/>
        <v>SUBDIRECCION DE GESTION CONTRACTUAL</v>
      </c>
      <c r="V374" s="132" t="str">
        <f t="shared" si="70"/>
        <v>CO-DC</v>
      </c>
      <c r="W374" s="145" t="str">
        <f t="shared" si="71"/>
        <v>Distrito Capital de Bogotá</v>
      </c>
      <c r="X374" s="146" t="s">
        <v>630</v>
      </c>
      <c r="Y374" s="132">
        <v>2427400</v>
      </c>
      <c r="Z374" s="128" t="s">
        <v>624</v>
      </c>
    </row>
    <row r="375" spans="1:85" s="7" customFormat="1" ht="12.75" customHeight="1" x14ac:dyDescent="0.2">
      <c r="A375" s="243" t="s">
        <v>112</v>
      </c>
      <c r="B375" s="147">
        <v>1</v>
      </c>
      <c r="C375" s="244" t="s">
        <v>508</v>
      </c>
      <c r="D375" s="154" t="s">
        <v>463</v>
      </c>
      <c r="E375" s="155"/>
      <c r="F375" s="155">
        <v>1076707446</v>
      </c>
      <c r="G375" s="155"/>
      <c r="H375" s="154">
        <v>80111600</v>
      </c>
      <c r="I375" s="244" t="s">
        <v>509</v>
      </c>
      <c r="J375" s="147">
        <v>1</v>
      </c>
      <c r="K375" s="147">
        <v>1</v>
      </c>
      <c r="L375" s="147">
        <v>12</v>
      </c>
      <c r="M375" s="132">
        <f t="shared" si="64"/>
        <v>1</v>
      </c>
      <c r="N375" s="140" t="s">
        <v>216</v>
      </c>
      <c r="O375" s="141" t="str">
        <f>IF(ISBLANK(N375),"",VLOOKUP(N375,[22]Parámetros!$G$2:$H$23,2,FALSE))</f>
        <v>Contratación directa.</v>
      </c>
      <c r="P375" s="245">
        <f t="shared" si="68"/>
        <v>1</v>
      </c>
      <c r="Q375" s="143">
        <f t="shared" si="65"/>
        <v>1076707446</v>
      </c>
      <c r="R375" s="143">
        <f t="shared" si="66"/>
        <v>1076707446</v>
      </c>
      <c r="S375" s="246" t="s">
        <v>222</v>
      </c>
      <c r="T375" s="245">
        <f t="shared" si="69"/>
        <v>0</v>
      </c>
      <c r="U375" s="145" t="str">
        <f t="shared" si="67"/>
        <v>SUBDIRECCION DE GESTION CONTRACTUAL</v>
      </c>
      <c r="V375" s="245" t="str">
        <f t="shared" si="70"/>
        <v>CO-DC</v>
      </c>
      <c r="W375" s="245" t="str">
        <f t="shared" si="71"/>
        <v>Distrito Capital de Bogotá</v>
      </c>
      <c r="X375" s="154" t="s">
        <v>113</v>
      </c>
      <c r="Y375" s="147">
        <v>2427400</v>
      </c>
      <c r="Z375" s="247" t="s">
        <v>114</v>
      </c>
      <c r="AA375" s="248"/>
      <c r="AB375" s="248"/>
      <c r="AC375" s="248"/>
      <c r="AD375" s="248"/>
      <c r="AE375" s="248"/>
      <c r="AF375" s="248"/>
      <c r="AG375" s="248"/>
      <c r="AH375" s="248"/>
      <c r="AI375" s="248"/>
      <c r="AJ375" s="248"/>
      <c r="AK375" s="248"/>
      <c r="AL375" s="248"/>
      <c r="AM375" s="248"/>
      <c r="AN375" s="248"/>
      <c r="AO375" s="248"/>
      <c r="AP375" s="248"/>
      <c r="AQ375" s="248"/>
      <c r="AR375" s="248"/>
      <c r="AS375" s="248"/>
      <c r="AT375" s="248"/>
      <c r="AU375" s="152"/>
      <c r="AV375" s="152"/>
      <c r="AW375" s="152"/>
      <c r="AX375" s="152"/>
      <c r="AY375" s="152"/>
      <c r="AZ375" s="152"/>
      <c r="BA375" s="152"/>
      <c r="BB375" s="152"/>
      <c r="BC375" s="152"/>
      <c r="BD375" s="152"/>
      <c r="BE375" s="152"/>
      <c r="BF375" s="152"/>
      <c r="BG375" s="152"/>
      <c r="BH375" s="152"/>
      <c r="BI375" s="152"/>
      <c r="BJ375" s="152"/>
      <c r="BK375" s="152"/>
      <c r="BL375" s="152"/>
      <c r="BM375" s="152"/>
      <c r="BN375" s="152"/>
      <c r="BO375" s="152"/>
      <c r="BP375" s="152"/>
      <c r="BQ375" s="152"/>
      <c r="BR375" s="152"/>
      <c r="BS375" s="152"/>
      <c r="BT375" s="152"/>
      <c r="BU375" s="152"/>
      <c r="BV375" s="152"/>
      <c r="BW375" s="152"/>
      <c r="BX375" s="152"/>
      <c r="BY375" s="152"/>
      <c r="BZ375" s="152"/>
      <c r="CA375" s="152"/>
      <c r="CB375" s="152"/>
      <c r="CC375" s="152"/>
      <c r="CD375" s="152"/>
      <c r="CE375" s="152"/>
      <c r="CF375" s="152"/>
      <c r="CG375" s="152"/>
    </row>
    <row r="376" spans="1:85" s="7" customFormat="1" ht="12.75" customHeight="1" x14ac:dyDescent="0.2">
      <c r="A376" s="243" t="s">
        <v>112</v>
      </c>
      <c r="B376" s="147">
        <v>2</v>
      </c>
      <c r="C376" s="244" t="s">
        <v>510</v>
      </c>
      <c r="D376" s="154" t="s">
        <v>463</v>
      </c>
      <c r="E376" s="155"/>
      <c r="F376" s="155">
        <v>78585815</v>
      </c>
      <c r="G376" s="155"/>
      <c r="H376" s="154">
        <v>86101705</v>
      </c>
      <c r="I376" s="244" t="s">
        <v>511</v>
      </c>
      <c r="J376" s="147">
        <v>3</v>
      </c>
      <c r="K376" s="147">
        <v>3</v>
      </c>
      <c r="L376" s="147">
        <v>2</v>
      </c>
      <c r="M376" s="132">
        <f t="shared" si="64"/>
        <v>1</v>
      </c>
      <c r="N376" s="140" t="s">
        <v>304</v>
      </c>
      <c r="O376" s="141" t="str">
        <f>IF(ISBLANK(N376),"",VLOOKUP(N376,[22]Parámetros!$G$2:$H$23,2,FALSE))</f>
        <v>Selección abreviada menor cuantía</v>
      </c>
      <c r="P376" s="245">
        <f t="shared" si="68"/>
        <v>1</v>
      </c>
      <c r="Q376" s="143">
        <f t="shared" si="65"/>
        <v>78585815</v>
      </c>
      <c r="R376" s="143">
        <f t="shared" si="66"/>
        <v>78585815</v>
      </c>
      <c r="S376" s="246" t="s">
        <v>222</v>
      </c>
      <c r="T376" s="245">
        <f t="shared" si="69"/>
        <v>0</v>
      </c>
      <c r="U376" s="145" t="str">
        <f t="shared" si="67"/>
        <v>SUBDIRECCION DE GESTION CONTRACTUAL</v>
      </c>
      <c r="V376" s="245" t="str">
        <f t="shared" si="70"/>
        <v>CO-DC</v>
      </c>
      <c r="W376" s="245" t="str">
        <f t="shared" si="71"/>
        <v>Distrito Capital de Bogotá</v>
      </c>
      <c r="X376" s="154" t="s">
        <v>113</v>
      </c>
      <c r="Y376" s="147">
        <v>2427400</v>
      </c>
      <c r="Z376" s="247" t="s">
        <v>114</v>
      </c>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152"/>
      <c r="AV376" s="152"/>
      <c r="AW376" s="152"/>
      <c r="AX376" s="152"/>
      <c r="AY376" s="152"/>
      <c r="AZ376" s="152"/>
      <c r="BA376" s="152"/>
      <c r="BB376" s="152"/>
      <c r="BC376" s="152"/>
      <c r="BD376" s="152"/>
      <c r="BE376" s="152"/>
      <c r="BF376" s="152"/>
      <c r="BG376" s="152"/>
      <c r="BH376" s="152"/>
      <c r="BI376" s="152"/>
      <c r="BJ376" s="152"/>
      <c r="BK376" s="152"/>
      <c r="BL376" s="152"/>
      <c r="BM376" s="152"/>
      <c r="BN376" s="152"/>
      <c r="BO376" s="152"/>
      <c r="BP376" s="152"/>
      <c r="BQ376" s="152"/>
      <c r="BR376" s="152"/>
      <c r="BS376" s="152"/>
      <c r="BT376" s="152"/>
      <c r="BU376" s="152"/>
      <c r="BV376" s="152"/>
      <c r="BW376" s="152"/>
      <c r="BX376" s="152"/>
      <c r="BY376" s="152"/>
      <c r="BZ376" s="152"/>
      <c r="CA376" s="152"/>
      <c r="CB376" s="152"/>
      <c r="CC376" s="152"/>
      <c r="CD376" s="152"/>
      <c r="CE376" s="152"/>
      <c r="CF376" s="152"/>
      <c r="CG376" s="152"/>
    </row>
    <row r="377" spans="1:85" s="7" customFormat="1" ht="12.75" customHeight="1" x14ac:dyDescent="0.2">
      <c r="A377" s="243" t="s">
        <v>112</v>
      </c>
      <c r="B377" s="147">
        <v>3</v>
      </c>
      <c r="C377" s="244" t="s">
        <v>512</v>
      </c>
      <c r="D377" s="154" t="s">
        <v>463</v>
      </c>
      <c r="E377" s="155"/>
      <c r="F377" s="155">
        <v>378325067</v>
      </c>
      <c r="G377" s="155"/>
      <c r="H377" s="154">
        <v>80111600</v>
      </c>
      <c r="I377" s="244" t="s">
        <v>509</v>
      </c>
      <c r="J377" s="147">
        <v>1</v>
      </c>
      <c r="K377" s="147">
        <v>1</v>
      </c>
      <c r="L377" s="147">
        <v>12</v>
      </c>
      <c r="M377" s="132">
        <f t="shared" si="64"/>
        <v>1</v>
      </c>
      <c r="N377" s="140" t="s">
        <v>216</v>
      </c>
      <c r="O377" s="141" t="str">
        <f>IF(ISBLANK(N377),"",VLOOKUP(N377,[22]Parámetros!$G$2:$H$23,2,FALSE))</f>
        <v>Contratación directa.</v>
      </c>
      <c r="P377" s="245">
        <f t="shared" si="68"/>
        <v>1</v>
      </c>
      <c r="Q377" s="143">
        <f t="shared" si="65"/>
        <v>378325067</v>
      </c>
      <c r="R377" s="143">
        <f t="shared" si="66"/>
        <v>378325067</v>
      </c>
      <c r="S377" s="246" t="s">
        <v>222</v>
      </c>
      <c r="T377" s="245">
        <f t="shared" si="69"/>
        <v>0</v>
      </c>
      <c r="U377" s="145" t="str">
        <f t="shared" si="67"/>
        <v>SUBDIRECCION DE GESTION CONTRACTUAL</v>
      </c>
      <c r="V377" s="245" t="str">
        <f t="shared" si="70"/>
        <v>CO-DC</v>
      </c>
      <c r="W377" s="245" t="str">
        <f t="shared" si="71"/>
        <v>Distrito Capital de Bogotá</v>
      </c>
      <c r="X377" s="154" t="s">
        <v>113</v>
      </c>
      <c r="Y377" s="147">
        <v>2427400</v>
      </c>
      <c r="Z377" s="247" t="s">
        <v>114</v>
      </c>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152"/>
      <c r="AV377" s="152"/>
      <c r="AW377" s="152"/>
      <c r="AX377" s="152"/>
      <c r="AY377" s="152"/>
      <c r="AZ377" s="152"/>
      <c r="BA377" s="152"/>
      <c r="BB377" s="152"/>
      <c r="BC377" s="152"/>
      <c r="BD377" s="152"/>
      <c r="BE377" s="152"/>
      <c r="BF377" s="152"/>
      <c r="BG377" s="152"/>
      <c r="BH377" s="152"/>
      <c r="BI377" s="152"/>
      <c r="BJ377" s="152"/>
      <c r="BK377" s="152"/>
      <c r="BL377" s="152"/>
      <c r="BM377" s="152"/>
      <c r="BN377" s="152"/>
      <c r="BO377" s="152"/>
      <c r="BP377" s="152"/>
      <c r="BQ377" s="152"/>
      <c r="BR377" s="152"/>
      <c r="BS377" s="152"/>
      <c r="BT377" s="152"/>
      <c r="BU377" s="152"/>
      <c r="BV377" s="152"/>
      <c r="BW377" s="152"/>
      <c r="BX377" s="152"/>
      <c r="BY377" s="152"/>
      <c r="BZ377" s="152"/>
      <c r="CA377" s="152"/>
      <c r="CB377" s="152"/>
      <c r="CC377" s="152"/>
      <c r="CD377" s="152"/>
      <c r="CE377" s="152"/>
      <c r="CF377" s="152"/>
      <c r="CG377" s="152"/>
    </row>
    <row r="378" spans="1:85" s="7" customFormat="1" ht="12.75" customHeight="1" x14ac:dyDescent="0.2">
      <c r="A378" s="243" t="s">
        <v>112</v>
      </c>
      <c r="B378" s="147">
        <v>4</v>
      </c>
      <c r="C378" s="244" t="s">
        <v>115</v>
      </c>
      <c r="D378" s="154" t="s">
        <v>81</v>
      </c>
      <c r="E378" s="155"/>
      <c r="F378" s="155">
        <v>89953305</v>
      </c>
      <c r="G378" s="155"/>
      <c r="H378" s="154">
        <v>80111600</v>
      </c>
      <c r="I378" s="244" t="s">
        <v>509</v>
      </c>
      <c r="J378" s="147">
        <v>1</v>
      </c>
      <c r="K378" s="147">
        <v>1</v>
      </c>
      <c r="L378" s="147">
        <v>12</v>
      </c>
      <c r="M378" s="132">
        <f t="shared" si="64"/>
        <v>1</v>
      </c>
      <c r="N378" s="140" t="s">
        <v>216</v>
      </c>
      <c r="O378" s="141" t="str">
        <f>IF(ISBLANK(N378),"",VLOOKUP(N378,[22]Parámetros!$G$2:$H$23,2,FALSE))</f>
        <v>Contratación directa.</v>
      </c>
      <c r="P378" s="245">
        <f t="shared" si="68"/>
        <v>1</v>
      </c>
      <c r="Q378" s="143">
        <f t="shared" si="65"/>
        <v>89953305</v>
      </c>
      <c r="R378" s="143">
        <f t="shared" si="66"/>
        <v>89953305</v>
      </c>
      <c r="S378" s="246" t="s">
        <v>222</v>
      </c>
      <c r="T378" s="245">
        <f t="shared" si="69"/>
        <v>0</v>
      </c>
      <c r="U378" s="145" t="str">
        <f t="shared" si="67"/>
        <v>SUBDIRECCION DE GESTION CONTRACTUAL</v>
      </c>
      <c r="V378" s="245" t="str">
        <f t="shared" si="70"/>
        <v>CO-DC</v>
      </c>
      <c r="W378" s="245" t="str">
        <f t="shared" si="71"/>
        <v>Distrito Capital de Bogotá</v>
      </c>
      <c r="X378" s="154" t="s">
        <v>113</v>
      </c>
      <c r="Y378" s="147">
        <v>2427400</v>
      </c>
      <c r="Z378" s="247" t="s">
        <v>114</v>
      </c>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152"/>
      <c r="AV378" s="152"/>
      <c r="AW378" s="152"/>
      <c r="AX378" s="152"/>
      <c r="AY378" s="152"/>
      <c r="AZ378" s="152"/>
      <c r="BA378" s="152"/>
      <c r="BB378" s="152"/>
      <c r="BC378" s="152"/>
      <c r="BD378" s="152"/>
      <c r="BE378" s="152"/>
      <c r="BF378" s="152"/>
      <c r="BG378" s="152"/>
      <c r="BH378" s="152"/>
      <c r="BI378" s="152"/>
      <c r="BJ378" s="152"/>
      <c r="BK378" s="152"/>
      <c r="BL378" s="152"/>
      <c r="BM378" s="152"/>
      <c r="BN378" s="152"/>
      <c r="BO378" s="152"/>
      <c r="BP378" s="152"/>
      <c r="BQ378" s="152"/>
      <c r="BR378" s="152"/>
      <c r="BS378" s="152"/>
      <c r="BT378" s="152"/>
      <c r="BU378" s="152"/>
      <c r="BV378" s="152"/>
      <c r="BW378" s="152"/>
      <c r="BX378" s="152"/>
      <c r="BY378" s="152"/>
      <c r="BZ378" s="152"/>
      <c r="CA378" s="152"/>
      <c r="CB378" s="152"/>
      <c r="CC378" s="152"/>
      <c r="CD378" s="152"/>
      <c r="CE378" s="152"/>
      <c r="CF378" s="152"/>
      <c r="CG378" s="152"/>
    </row>
    <row r="379" spans="1:85" s="7" customFormat="1" ht="12.75" customHeight="1" x14ac:dyDescent="0.2">
      <c r="A379" s="243" t="s">
        <v>112</v>
      </c>
      <c r="B379" s="147">
        <v>5</v>
      </c>
      <c r="C379" s="244" t="s">
        <v>513</v>
      </c>
      <c r="D379" s="154" t="s">
        <v>463</v>
      </c>
      <c r="E379" s="155"/>
      <c r="F379" s="155">
        <v>966381672</v>
      </c>
      <c r="G379" s="155"/>
      <c r="H379" s="154">
        <v>80111600</v>
      </c>
      <c r="I379" s="244" t="s">
        <v>509</v>
      </c>
      <c r="J379" s="147">
        <v>1</v>
      </c>
      <c r="K379" s="147">
        <v>1</v>
      </c>
      <c r="L379" s="147">
        <v>12</v>
      </c>
      <c r="M379" s="132">
        <f t="shared" si="64"/>
        <v>1</v>
      </c>
      <c r="N379" s="140" t="s">
        <v>216</v>
      </c>
      <c r="O379" s="141" t="str">
        <f>IF(ISBLANK(N379),"",VLOOKUP(N379,[22]Parámetros!$G$2:$H$23,2,FALSE))</f>
        <v>Contratación directa.</v>
      </c>
      <c r="P379" s="245">
        <f t="shared" si="68"/>
        <v>1</v>
      </c>
      <c r="Q379" s="143">
        <f t="shared" si="65"/>
        <v>966381672</v>
      </c>
      <c r="R379" s="143">
        <f t="shared" si="66"/>
        <v>966381672</v>
      </c>
      <c r="S379" s="246" t="s">
        <v>222</v>
      </c>
      <c r="T379" s="245">
        <f t="shared" si="69"/>
        <v>0</v>
      </c>
      <c r="U379" s="145" t="str">
        <f t="shared" si="67"/>
        <v>SUBDIRECCION DE GESTION CONTRACTUAL</v>
      </c>
      <c r="V379" s="245" t="str">
        <f t="shared" si="70"/>
        <v>CO-DC</v>
      </c>
      <c r="W379" s="245" t="str">
        <f t="shared" si="71"/>
        <v>Distrito Capital de Bogotá</v>
      </c>
      <c r="X379" s="154" t="s">
        <v>113</v>
      </c>
      <c r="Y379" s="147">
        <v>2427400</v>
      </c>
      <c r="Z379" s="247" t="s">
        <v>114</v>
      </c>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152"/>
      <c r="AV379" s="152"/>
      <c r="AW379" s="152"/>
      <c r="AX379" s="152"/>
      <c r="AY379" s="152"/>
      <c r="AZ379" s="152"/>
      <c r="BA379" s="152"/>
      <c r="BB379" s="152"/>
      <c r="BC379" s="152"/>
      <c r="BD379" s="152"/>
      <c r="BE379" s="152"/>
      <c r="BF379" s="152"/>
      <c r="BG379" s="152"/>
      <c r="BH379" s="152"/>
      <c r="BI379" s="152"/>
      <c r="BJ379" s="152"/>
      <c r="BK379" s="152"/>
      <c r="BL379" s="152"/>
      <c r="BM379" s="152"/>
      <c r="BN379" s="152"/>
      <c r="BO379" s="152"/>
      <c r="BP379" s="152"/>
      <c r="BQ379" s="152"/>
      <c r="BR379" s="152"/>
      <c r="BS379" s="152"/>
      <c r="BT379" s="152"/>
      <c r="BU379" s="152"/>
      <c r="BV379" s="152"/>
      <c r="BW379" s="152"/>
      <c r="BX379" s="152"/>
      <c r="BY379" s="152"/>
      <c r="BZ379" s="152"/>
      <c r="CA379" s="152"/>
      <c r="CB379" s="152"/>
      <c r="CC379" s="152"/>
      <c r="CD379" s="152"/>
      <c r="CE379" s="152"/>
      <c r="CF379" s="152"/>
      <c r="CG379" s="152"/>
    </row>
    <row r="380" spans="1:85" s="7" customFormat="1" ht="12.75" customHeight="1" x14ac:dyDescent="0.2">
      <c r="A380" s="243" t="s">
        <v>112</v>
      </c>
      <c r="B380" s="147">
        <v>6</v>
      </c>
      <c r="C380" s="244" t="s">
        <v>514</v>
      </c>
      <c r="D380" s="154" t="s">
        <v>515</v>
      </c>
      <c r="E380" s="155"/>
      <c r="F380" s="155">
        <f>3350010673-15000000-340000000-50000000</f>
        <v>2945010673</v>
      </c>
      <c r="G380" s="155"/>
      <c r="H380" s="154">
        <v>80111600</v>
      </c>
      <c r="I380" s="244" t="s">
        <v>509</v>
      </c>
      <c r="J380" s="147">
        <v>1</v>
      </c>
      <c r="K380" s="147">
        <v>1</v>
      </c>
      <c r="L380" s="147">
        <v>12</v>
      </c>
      <c r="M380" s="132">
        <f t="shared" si="64"/>
        <v>1</v>
      </c>
      <c r="N380" s="140" t="s">
        <v>216</v>
      </c>
      <c r="O380" s="141" t="str">
        <f>IF(ISBLANK(N380),"",VLOOKUP(N380,[22]Parámetros!$G$2:$H$23,2,FALSE))</f>
        <v>Contratación directa.</v>
      </c>
      <c r="P380" s="245">
        <f t="shared" si="68"/>
        <v>1</v>
      </c>
      <c r="Q380" s="143">
        <f t="shared" si="65"/>
        <v>2945010673</v>
      </c>
      <c r="R380" s="143">
        <f t="shared" si="66"/>
        <v>2945010673</v>
      </c>
      <c r="S380" s="246" t="s">
        <v>222</v>
      </c>
      <c r="T380" s="245">
        <f t="shared" si="69"/>
        <v>0</v>
      </c>
      <c r="U380" s="145" t="str">
        <f t="shared" si="67"/>
        <v>SUBDIRECCION DE GESTION CONTRACTUAL</v>
      </c>
      <c r="V380" s="245" t="str">
        <f t="shared" si="70"/>
        <v>CO-DC</v>
      </c>
      <c r="W380" s="245" t="str">
        <f t="shared" si="71"/>
        <v>Distrito Capital de Bogotá</v>
      </c>
      <c r="X380" s="154" t="s">
        <v>113</v>
      </c>
      <c r="Y380" s="147">
        <v>2427400</v>
      </c>
      <c r="Z380" s="247" t="s">
        <v>114</v>
      </c>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152"/>
      <c r="AV380" s="152"/>
      <c r="AW380" s="152"/>
      <c r="AX380" s="152"/>
      <c r="AY380" s="152"/>
      <c r="AZ380" s="152"/>
      <c r="BA380" s="152"/>
      <c r="BB380" s="152"/>
      <c r="BC380" s="152"/>
      <c r="BD380" s="152"/>
      <c r="BE380" s="152"/>
      <c r="BF380" s="152"/>
      <c r="BG380" s="152"/>
      <c r="BH380" s="152"/>
      <c r="BI380" s="152"/>
      <c r="BJ380" s="152"/>
      <c r="BK380" s="152"/>
      <c r="BL380" s="152"/>
      <c r="BM380" s="152"/>
      <c r="BN380" s="152"/>
      <c r="BO380" s="152"/>
      <c r="BP380" s="152"/>
      <c r="BQ380" s="152"/>
      <c r="BR380" s="152"/>
      <c r="BS380" s="152"/>
      <c r="BT380" s="152"/>
      <c r="BU380" s="152"/>
      <c r="BV380" s="152"/>
      <c r="BW380" s="152"/>
      <c r="BX380" s="152"/>
      <c r="BY380" s="152"/>
      <c r="BZ380" s="152"/>
      <c r="CA380" s="152"/>
      <c r="CB380" s="152"/>
      <c r="CC380" s="152"/>
      <c r="CD380" s="152"/>
      <c r="CE380" s="152"/>
      <c r="CF380" s="152"/>
      <c r="CG380" s="152"/>
    </row>
    <row r="381" spans="1:85" s="7" customFormat="1" ht="12.75" customHeight="1" x14ac:dyDescent="0.2">
      <c r="A381" s="243" t="s">
        <v>112</v>
      </c>
      <c r="B381" s="147">
        <v>7</v>
      </c>
      <c r="C381" s="244" t="s">
        <v>514</v>
      </c>
      <c r="D381" s="154" t="s">
        <v>515</v>
      </c>
      <c r="E381" s="155"/>
      <c r="F381" s="155">
        <v>100000000</v>
      </c>
      <c r="G381" s="155"/>
      <c r="H381" s="154" t="s">
        <v>735</v>
      </c>
      <c r="I381" s="244" t="s">
        <v>516</v>
      </c>
      <c r="J381" s="147">
        <v>3</v>
      </c>
      <c r="K381" s="147">
        <v>3</v>
      </c>
      <c r="L381" s="147">
        <v>3</v>
      </c>
      <c r="M381" s="132">
        <f t="shared" si="64"/>
        <v>1</v>
      </c>
      <c r="N381" s="140" t="s">
        <v>36</v>
      </c>
      <c r="O381" s="141" t="str">
        <f>IF(ISBLANK(N381),"",VLOOKUP(N381,[22]Parámetros!$G$2:$H$23,2,FALSE))</f>
        <v xml:space="preserve">Contratación directa (con ofertas) </v>
      </c>
      <c r="P381" s="245">
        <f t="shared" si="68"/>
        <v>1</v>
      </c>
      <c r="Q381" s="143">
        <f t="shared" si="65"/>
        <v>100000000</v>
      </c>
      <c r="R381" s="143">
        <f t="shared" si="66"/>
        <v>100000000</v>
      </c>
      <c r="S381" s="246" t="s">
        <v>222</v>
      </c>
      <c r="T381" s="245">
        <f t="shared" si="69"/>
        <v>0</v>
      </c>
      <c r="U381" s="145" t="str">
        <f t="shared" si="67"/>
        <v>SUBDIRECCION DE GESTION CONTRACTUAL</v>
      </c>
      <c r="V381" s="245" t="str">
        <f t="shared" si="70"/>
        <v>CO-DC</v>
      </c>
      <c r="W381" s="245" t="str">
        <f t="shared" si="71"/>
        <v>Distrito Capital de Bogotá</v>
      </c>
      <c r="X381" s="154" t="s">
        <v>113</v>
      </c>
      <c r="Y381" s="147">
        <v>2427400</v>
      </c>
      <c r="Z381" s="247" t="s">
        <v>114</v>
      </c>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152"/>
      <c r="AV381" s="152"/>
      <c r="AW381" s="152"/>
      <c r="AX381" s="152"/>
      <c r="AY381" s="152"/>
      <c r="AZ381" s="152"/>
      <c r="BA381" s="152"/>
      <c r="BB381" s="152"/>
      <c r="BC381" s="152"/>
      <c r="BD381" s="152"/>
      <c r="BE381" s="152"/>
      <c r="BF381" s="152"/>
      <c r="BG381" s="152"/>
      <c r="BH381" s="152"/>
      <c r="BI381" s="152"/>
      <c r="BJ381" s="152"/>
      <c r="BK381" s="152"/>
      <c r="BL381" s="152"/>
      <c r="BM381" s="152"/>
      <c r="BN381" s="152"/>
      <c r="BO381" s="152"/>
      <c r="BP381" s="152"/>
      <c r="BQ381" s="152"/>
      <c r="BR381" s="152"/>
      <c r="BS381" s="152"/>
      <c r="BT381" s="152"/>
      <c r="BU381" s="152"/>
      <c r="BV381" s="152"/>
      <c r="BW381" s="152"/>
      <c r="BX381" s="152"/>
      <c r="BY381" s="152"/>
      <c r="BZ381" s="152"/>
      <c r="CA381" s="152"/>
      <c r="CB381" s="152"/>
      <c r="CC381" s="152"/>
      <c r="CD381" s="152"/>
      <c r="CE381" s="152"/>
      <c r="CF381" s="152"/>
      <c r="CG381" s="152"/>
    </row>
    <row r="382" spans="1:85" s="7" customFormat="1" ht="12.75" customHeight="1" x14ac:dyDescent="0.2">
      <c r="A382" s="243" t="s">
        <v>112</v>
      </c>
      <c r="B382" s="147">
        <v>8</v>
      </c>
      <c r="C382" s="244" t="s">
        <v>514</v>
      </c>
      <c r="D382" s="154" t="s">
        <v>515</v>
      </c>
      <c r="E382" s="155"/>
      <c r="F382" s="155">
        <v>49989327</v>
      </c>
      <c r="G382" s="155"/>
      <c r="H382" s="154" t="s">
        <v>739</v>
      </c>
      <c r="I382" s="244" t="s">
        <v>517</v>
      </c>
      <c r="J382" s="147">
        <v>3</v>
      </c>
      <c r="K382" s="147">
        <v>3</v>
      </c>
      <c r="L382" s="147">
        <v>3</v>
      </c>
      <c r="M382" s="132">
        <f t="shared" si="64"/>
        <v>1</v>
      </c>
      <c r="N382" s="140" t="s">
        <v>48</v>
      </c>
      <c r="O382" s="141" t="str">
        <f>IF(ISBLANK(N382),"",VLOOKUP(N382,[22]Parámetros!$G$2:$H$23,2,FALSE))</f>
        <v>Mínima cuantía</v>
      </c>
      <c r="P382" s="245">
        <f t="shared" si="68"/>
        <v>1</v>
      </c>
      <c r="Q382" s="143">
        <f t="shared" si="65"/>
        <v>49989327</v>
      </c>
      <c r="R382" s="143">
        <f t="shared" si="66"/>
        <v>49989327</v>
      </c>
      <c r="S382" s="246" t="s">
        <v>222</v>
      </c>
      <c r="T382" s="245">
        <f t="shared" si="69"/>
        <v>0</v>
      </c>
      <c r="U382" s="145" t="str">
        <f t="shared" si="67"/>
        <v>SUBDIRECCION DE GESTION CONTRACTUAL</v>
      </c>
      <c r="V382" s="245" t="str">
        <f t="shared" si="70"/>
        <v>CO-DC</v>
      </c>
      <c r="W382" s="245" t="str">
        <f t="shared" si="71"/>
        <v>Distrito Capital de Bogotá</v>
      </c>
      <c r="X382" s="154" t="s">
        <v>113</v>
      </c>
      <c r="Y382" s="147">
        <v>2427400</v>
      </c>
      <c r="Z382" s="247" t="s">
        <v>114</v>
      </c>
      <c r="AA382" s="248"/>
      <c r="AB382" s="248"/>
      <c r="AC382" s="248"/>
      <c r="AD382" s="248"/>
      <c r="AE382" s="248"/>
      <c r="AF382" s="248"/>
      <c r="AG382" s="248"/>
      <c r="AH382" s="248"/>
      <c r="AI382" s="248"/>
      <c r="AJ382" s="248"/>
      <c r="AK382" s="248"/>
      <c r="AL382" s="248"/>
      <c r="AM382" s="248"/>
      <c r="AN382" s="248"/>
      <c r="AO382" s="248"/>
      <c r="AP382" s="248"/>
      <c r="AQ382" s="248"/>
      <c r="AR382" s="248"/>
      <c r="AS382" s="248"/>
      <c r="AT382" s="248"/>
      <c r="AU382" s="152"/>
      <c r="AV382" s="152"/>
      <c r="AW382" s="152"/>
      <c r="AX382" s="152"/>
      <c r="AY382" s="152"/>
      <c r="AZ382" s="152"/>
      <c r="BA382" s="152"/>
      <c r="BB382" s="152"/>
      <c r="BC382" s="152"/>
      <c r="BD382" s="152"/>
      <c r="BE382" s="152"/>
      <c r="BF382" s="152"/>
      <c r="BG382" s="152"/>
      <c r="BH382" s="152"/>
      <c r="BI382" s="152"/>
      <c r="BJ382" s="152"/>
      <c r="BK382" s="152"/>
      <c r="BL382" s="152"/>
      <c r="BM382" s="152"/>
      <c r="BN382" s="152"/>
      <c r="BO382" s="152"/>
      <c r="BP382" s="152"/>
      <c r="BQ382" s="152"/>
      <c r="BR382" s="152"/>
      <c r="BS382" s="152"/>
      <c r="BT382" s="152"/>
      <c r="BU382" s="152"/>
      <c r="BV382" s="152"/>
      <c r="BW382" s="152"/>
      <c r="BX382" s="152"/>
      <c r="BY382" s="152"/>
      <c r="BZ382" s="152"/>
      <c r="CA382" s="152"/>
      <c r="CB382" s="152"/>
      <c r="CC382" s="152"/>
      <c r="CD382" s="152"/>
      <c r="CE382" s="152"/>
      <c r="CF382" s="152"/>
      <c r="CG382" s="152"/>
    </row>
    <row r="383" spans="1:85" s="7" customFormat="1" ht="12.75" customHeight="1" x14ac:dyDescent="0.2">
      <c r="A383" s="243" t="s">
        <v>112</v>
      </c>
      <c r="B383" s="147">
        <v>9</v>
      </c>
      <c r="C383" s="244" t="s">
        <v>514</v>
      </c>
      <c r="D383" s="154" t="s">
        <v>515</v>
      </c>
      <c r="E383" s="155"/>
      <c r="F383" s="155">
        <v>15000000</v>
      </c>
      <c r="G383" s="155"/>
      <c r="H383" s="135" t="s">
        <v>51</v>
      </c>
      <c r="I383" s="244" t="s">
        <v>518</v>
      </c>
      <c r="J383" s="137">
        <v>4</v>
      </c>
      <c r="K383" s="138">
        <v>6</v>
      </c>
      <c r="L383" s="139">
        <v>1</v>
      </c>
      <c r="M383" s="132">
        <f t="shared" si="64"/>
        <v>1</v>
      </c>
      <c r="N383" s="140" t="s">
        <v>43</v>
      </c>
      <c r="O383" s="141" t="str">
        <f>IF(ISBLANK(N383),"",VLOOKUP(N383,[22]Parámetros!$G$2:$H$23,2,FALSE))</f>
        <v>Selección abreviada subasta inversa</v>
      </c>
      <c r="P383" s="245">
        <f t="shared" si="68"/>
        <v>1</v>
      </c>
      <c r="Q383" s="143">
        <f t="shared" si="65"/>
        <v>15000000</v>
      </c>
      <c r="R383" s="143">
        <f t="shared" si="66"/>
        <v>15000000</v>
      </c>
      <c r="S383" s="246" t="s">
        <v>222</v>
      </c>
      <c r="T383" s="245">
        <f t="shared" si="69"/>
        <v>0</v>
      </c>
      <c r="U383" s="145" t="str">
        <f t="shared" si="67"/>
        <v>SUBDIRECCION DE GESTION CONTRACTUAL</v>
      </c>
      <c r="V383" s="132" t="str">
        <f t="shared" si="70"/>
        <v>CO-DC</v>
      </c>
      <c r="W383" s="145" t="str">
        <f t="shared" si="71"/>
        <v>Distrito Capital de Bogotá</v>
      </c>
      <c r="X383" s="146" t="s">
        <v>73</v>
      </c>
      <c r="Y383" s="132">
        <v>2427400</v>
      </c>
      <c r="Z383" s="146" t="s">
        <v>74</v>
      </c>
      <c r="AA383" s="248"/>
      <c r="AB383" s="248"/>
      <c r="AC383" s="248"/>
      <c r="AD383" s="248"/>
      <c r="AE383" s="248"/>
      <c r="AF383" s="248"/>
      <c r="AG383" s="248"/>
      <c r="AH383" s="248"/>
      <c r="AI383" s="248"/>
      <c r="AJ383" s="248"/>
      <c r="AK383" s="248"/>
      <c r="AL383" s="248"/>
      <c r="AM383" s="248"/>
      <c r="AN383" s="248"/>
      <c r="AO383" s="248"/>
      <c r="AP383" s="248"/>
      <c r="AQ383" s="248"/>
      <c r="AR383" s="248"/>
      <c r="AS383" s="248"/>
      <c r="AT383" s="248"/>
      <c r="AU383" s="152"/>
      <c r="AV383" s="152"/>
      <c r="AW383" s="152"/>
      <c r="AX383" s="152"/>
      <c r="AY383" s="152"/>
      <c r="AZ383" s="152"/>
      <c r="BA383" s="152"/>
      <c r="BB383" s="152"/>
      <c r="BC383" s="152"/>
      <c r="BD383" s="152"/>
      <c r="BE383" s="152"/>
      <c r="BF383" s="152"/>
      <c r="BG383" s="152"/>
      <c r="BH383" s="152"/>
      <c r="BI383" s="152"/>
      <c r="BJ383" s="152"/>
      <c r="BK383" s="152"/>
      <c r="BL383" s="152"/>
      <c r="BM383" s="152"/>
      <c r="BN383" s="152"/>
      <c r="BO383" s="152"/>
      <c r="BP383" s="152"/>
      <c r="BQ383" s="152"/>
      <c r="BR383" s="152"/>
      <c r="BS383" s="152"/>
      <c r="BT383" s="152"/>
      <c r="BU383" s="152"/>
      <c r="BV383" s="152"/>
      <c r="BW383" s="152"/>
      <c r="BX383" s="152"/>
      <c r="BY383" s="152"/>
      <c r="BZ383" s="152"/>
      <c r="CA383" s="152"/>
      <c r="CB383" s="152"/>
      <c r="CC383" s="152"/>
      <c r="CD383" s="152"/>
      <c r="CE383" s="152"/>
      <c r="CF383" s="152"/>
      <c r="CG383" s="152"/>
    </row>
    <row r="384" spans="1:85" s="7" customFormat="1" ht="12.75" customHeight="1" x14ac:dyDescent="0.2">
      <c r="A384" s="243" t="s">
        <v>112</v>
      </c>
      <c r="B384" s="147">
        <v>10</v>
      </c>
      <c r="C384" s="244" t="s">
        <v>514</v>
      </c>
      <c r="D384" s="154" t="s">
        <v>515</v>
      </c>
      <c r="E384" s="155"/>
      <c r="F384" s="155">
        <v>50000000</v>
      </c>
      <c r="G384" s="155"/>
      <c r="H384" s="135" t="s">
        <v>752</v>
      </c>
      <c r="I384" s="244" t="s">
        <v>519</v>
      </c>
      <c r="J384" s="150">
        <v>2</v>
      </c>
      <c r="K384" s="150">
        <v>3</v>
      </c>
      <c r="L384" s="150">
        <v>9</v>
      </c>
      <c r="M384" s="132">
        <f t="shared" si="64"/>
        <v>1</v>
      </c>
      <c r="N384" s="140" t="s">
        <v>226</v>
      </c>
      <c r="O384" s="141" t="str">
        <f>IF(ISBLANK(N384),"",VLOOKUP(N384,[22]Parámetros!$G$2:$H$23,2,FALSE))</f>
        <v>Licitación pública</v>
      </c>
      <c r="P384" s="245">
        <f t="shared" si="68"/>
        <v>1</v>
      </c>
      <c r="Q384" s="143">
        <f t="shared" si="65"/>
        <v>50000000</v>
      </c>
      <c r="R384" s="143">
        <f t="shared" si="66"/>
        <v>50000000</v>
      </c>
      <c r="S384" s="246" t="s">
        <v>222</v>
      </c>
      <c r="T384" s="245">
        <f t="shared" si="69"/>
        <v>0</v>
      </c>
      <c r="U384" s="145" t="str">
        <f t="shared" si="67"/>
        <v>SUBDIRECCION DE GESTION CONTRACTUAL</v>
      </c>
      <c r="V384" s="245" t="str">
        <f t="shared" si="70"/>
        <v>CO-DC</v>
      </c>
      <c r="W384" s="245" t="str">
        <f t="shared" si="71"/>
        <v>Distrito Capital de Bogotá</v>
      </c>
      <c r="X384" s="154" t="s">
        <v>113</v>
      </c>
      <c r="Y384" s="147">
        <v>2427400</v>
      </c>
      <c r="Z384" s="247" t="s">
        <v>114</v>
      </c>
      <c r="AA384" s="248"/>
      <c r="AB384" s="248"/>
      <c r="AC384" s="248"/>
      <c r="AD384" s="248"/>
      <c r="AE384" s="248"/>
      <c r="AF384" s="248"/>
      <c r="AG384" s="248"/>
      <c r="AH384" s="248"/>
      <c r="AI384" s="248"/>
      <c r="AJ384" s="248"/>
      <c r="AK384" s="248"/>
      <c r="AL384" s="248"/>
      <c r="AM384" s="248"/>
      <c r="AN384" s="248"/>
      <c r="AO384" s="248"/>
      <c r="AP384" s="248"/>
      <c r="AQ384" s="248"/>
      <c r="AR384" s="248"/>
      <c r="AS384" s="248"/>
      <c r="AT384" s="248"/>
      <c r="AU384" s="152"/>
      <c r="AV384" s="152"/>
      <c r="AW384" s="152"/>
      <c r="AX384" s="152"/>
      <c r="AY384" s="152"/>
      <c r="AZ384" s="152"/>
      <c r="BA384" s="152"/>
      <c r="BB384" s="152"/>
      <c r="BC384" s="152"/>
      <c r="BD384" s="152"/>
      <c r="BE384" s="152"/>
      <c r="BF384" s="152"/>
      <c r="BG384" s="152"/>
      <c r="BH384" s="152"/>
      <c r="BI384" s="152"/>
      <c r="BJ384" s="152"/>
      <c r="BK384" s="152"/>
      <c r="BL384" s="152"/>
      <c r="BM384" s="152"/>
      <c r="BN384" s="152"/>
      <c r="BO384" s="152"/>
      <c r="BP384" s="152"/>
      <c r="BQ384" s="152"/>
      <c r="BR384" s="152"/>
      <c r="BS384" s="152"/>
      <c r="BT384" s="152"/>
      <c r="BU384" s="152"/>
      <c r="BV384" s="152"/>
      <c r="BW384" s="152"/>
      <c r="BX384" s="152"/>
      <c r="BY384" s="152"/>
      <c r="BZ384" s="152"/>
      <c r="CA384" s="152"/>
      <c r="CB384" s="152"/>
      <c r="CC384" s="152"/>
      <c r="CD384" s="152"/>
      <c r="CE384" s="152"/>
      <c r="CF384" s="152"/>
      <c r="CG384" s="152"/>
    </row>
    <row r="385" spans="1:85" s="7" customFormat="1" ht="12.75" customHeight="1" x14ac:dyDescent="0.2">
      <c r="A385" s="132" t="s">
        <v>112</v>
      </c>
      <c r="B385" s="132">
        <v>11</v>
      </c>
      <c r="C385" s="133" t="s">
        <v>514</v>
      </c>
      <c r="D385" s="133" t="s">
        <v>515</v>
      </c>
      <c r="E385" s="134"/>
      <c r="F385" s="134">
        <v>50000000</v>
      </c>
      <c r="G385" s="134"/>
      <c r="H385" s="135" t="s">
        <v>230</v>
      </c>
      <c r="I385" s="136" t="s">
        <v>520</v>
      </c>
      <c r="J385" s="150">
        <v>2</v>
      </c>
      <c r="K385" s="150">
        <v>3</v>
      </c>
      <c r="L385" s="150">
        <v>4</v>
      </c>
      <c r="M385" s="132">
        <f t="shared" si="64"/>
        <v>1</v>
      </c>
      <c r="N385" s="140" t="s">
        <v>43</v>
      </c>
      <c r="O385" s="141" t="str">
        <f>IF(ISBLANK(N385),"",VLOOKUP(N385,[22]Parámetros!$G$2:$H$23,2,FALSE))</f>
        <v>Selección abreviada subasta inversa</v>
      </c>
      <c r="P385" s="142">
        <f t="shared" si="68"/>
        <v>1</v>
      </c>
      <c r="Q385" s="143">
        <f t="shared" si="65"/>
        <v>50000000</v>
      </c>
      <c r="R385" s="143">
        <f t="shared" si="66"/>
        <v>50000000</v>
      </c>
      <c r="S385" s="144" t="s">
        <v>222</v>
      </c>
      <c r="T385" s="140">
        <f t="shared" si="69"/>
        <v>0</v>
      </c>
      <c r="U385" s="145" t="str">
        <f t="shared" si="67"/>
        <v>SUBDIRECCION DE GESTION CONTRACTUAL</v>
      </c>
      <c r="V385" s="132" t="str">
        <f t="shared" si="70"/>
        <v>CO-DC</v>
      </c>
      <c r="W385" s="145" t="str">
        <f t="shared" si="71"/>
        <v>Distrito Capital de Bogotá</v>
      </c>
      <c r="X385" s="146" t="s">
        <v>307</v>
      </c>
      <c r="Y385" s="132">
        <v>2427400</v>
      </c>
      <c r="Z385" s="146" t="s">
        <v>94</v>
      </c>
    </row>
    <row r="386" spans="1:85" s="7" customFormat="1" ht="12.75" customHeight="1" x14ac:dyDescent="0.2">
      <c r="A386" s="243" t="s">
        <v>112</v>
      </c>
      <c r="B386" s="147">
        <v>12</v>
      </c>
      <c r="C386" s="244" t="s">
        <v>514</v>
      </c>
      <c r="D386" s="154" t="s">
        <v>515</v>
      </c>
      <c r="E386" s="155"/>
      <c r="F386" s="155">
        <v>290000000</v>
      </c>
      <c r="G386" s="155"/>
      <c r="H386" s="135" t="s">
        <v>752</v>
      </c>
      <c r="I386" s="244" t="s">
        <v>519</v>
      </c>
      <c r="J386" s="137">
        <v>2</v>
      </c>
      <c r="K386" s="138">
        <v>3</v>
      </c>
      <c r="L386" s="139">
        <v>9</v>
      </c>
      <c r="M386" s="132">
        <f t="shared" si="64"/>
        <v>1</v>
      </c>
      <c r="N386" s="140" t="s">
        <v>226</v>
      </c>
      <c r="O386" s="141" t="str">
        <f>IF(ISBLANK(N386),"",VLOOKUP(N386,[22]Parámetros!$G$2:$H$23,2,FALSE))</f>
        <v>Licitación pública</v>
      </c>
      <c r="P386" s="245">
        <f t="shared" si="68"/>
        <v>1</v>
      </c>
      <c r="Q386" s="143">
        <f t="shared" si="65"/>
        <v>290000000</v>
      </c>
      <c r="R386" s="143">
        <f t="shared" si="66"/>
        <v>290000000</v>
      </c>
      <c r="S386" s="246" t="s">
        <v>222</v>
      </c>
      <c r="T386" s="245">
        <f t="shared" si="69"/>
        <v>0</v>
      </c>
      <c r="U386" s="145" t="str">
        <f t="shared" si="67"/>
        <v>SUBDIRECCION DE GESTION CONTRACTUAL</v>
      </c>
      <c r="V386" s="245" t="str">
        <f t="shared" si="70"/>
        <v>CO-DC</v>
      </c>
      <c r="W386" s="245" t="str">
        <f t="shared" si="71"/>
        <v>Distrito Capital de Bogotá</v>
      </c>
      <c r="X386" s="154" t="s">
        <v>113</v>
      </c>
      <c r="Y386" s="147">
        <v>2427400</v>
      </c>
      <c r="Z386" s="247" t="s">
        <v>114</v>
      </c>
      <c r="AA386" s="248"/>
      <c r="AB386" s="248"/>
      <c r="AC386" s="248"/>
      <c r="AD386" s="248"/>
      <c r="AE386" s="248"/>
      <c r="AF386" s="248"/>
      <c r="AG386" s="248"/>
      <c r="AH386" s="248"/>
      <c r="AI386" s="248"/>
      <c r="AJ386" s="248"/>
      <c r="AK386" s="248"/>
      <c r="AL386" s="248"/>
      <c r="AM386" s="248"/>
      <c r="AN386" s="248"/>
      <c r="AO386" s="248"/>
      <c r="AP386" s="248"/>
      <c r="AQ386" s="248"/>
      <c r="AR386" s="248"/>
      <c r="AS386" s="248"/>
      <c r="AT386" s="248"/>
      <c r="AU386" s="152"/>
      <c r="AV386" s="152"/>
      <c r="AW386" s="152"/>
      <c r="AX386" s="152"/>
      <c r="AY386" s="152"/>
      <c r="AZ386" s="152"/>
      <c r="BA386" s="152"/>
      <c r="BB386" s="152"/>
      <c r="BC386" s="152"/>
      <c r="BD386" s="152"/>
      <c r="BE386" s="152"/>
      <c r="BF386" s="152"/>
      <c r="BG386" s="152"/>
      <c r="BH386" s="152"/>
      <c r="BI386" s="152"/>
      <c r="BJ386" s="152"/>
      <c r="BK386" s="152"/>
      <c r="BL386" s="152"/>
      <c r="BM386" s="152"/>
      <c r="BN386" s="152"/>
      <c r="BO386" s="152"/>
      <c r="BP386" s="152"/>
      <c r="BQ386" s="152"/>
      <c r="BR386" s="152"/>
      <c r="BS386" s="152"/>
      <c r="BT386" s="152"/>
      <c r="BU386" s="152"/>
      <c r="BV386" s="152"/>
      <c r="BW386" s="152"/>
      <c r="BX386" s="152"/>
      <c r="BY386" s="152"/>
      <c r="BZ386" s="152"/>
      <c r="CA386" s="152"/>
      <c r="CB386" s="152"/>
      <c r="CC386" s="152"/>
      <c r="CD386" s="152"/>
      <c r="CE386" s="152"/>
      <c r="CF386" s="152"/>
      <c r="CG386" s="152"/>
    </row>
    <row r="387" spans="1:85" s="7" customFormat="1" ht="12.75" customHeight="1" x14ac:dyDescent="0.2">
      <c r="A387" s="132" t="s">
        <v>117</v>
      </c>
      <c r="B387" s="132">
        <v>1</v>
      </c>
      <c r="C387" s="133" t="s">
        <v>581</v>
      </c>
      <c r="D387" s="133" t="s">
        <v>430</v>
      </c>
      <c r="E387" s="134"/>
      <c r="F387" s="134">
        <v>1416666667</v>
      </c>
      <c r="G387" s="134"/>
      <c r="H387" s="135">
        <v>80111600</v>
      </c>
      <c r="I387" s="136" t="s">
        <v>431</v>
      </c>
      <c r="J387" s="150">
        <v>1</v>
      </c>
      <c r="K387" s="150">
        <v>1</v>
      </c>
      <c r="L387" s="150">
        <v>12</v>
      </c>
      <c r="M387" s="132">
        <f t="shared" si="64"/>
        <v>1</v>
      </c>
      <c r="N387" s="140" t="s">
        <v>216</v>
      </c>
      <c r="O387" s="141" t="str">
        <f>IF(ISBLANK(N387),"",VLOOKUP(N387,[23]Parámetros!$G$2:$H$23,2,FALSE))</f>
        <v>Contratación directa.</v>
      </c>
      <c r="P387" s="142">
        <f t="shared" si="68"/>
        <v>1</v>
      </c>
      <c r="Q387" s="143">
        <f t="shared" si="65"/>
        <v>1416666667</v>
      </c>
      <c r="R387" s="143">
        <f t="shared" si="66"/>
        <v>1416666667</v>
      </c>
      <c r="S387" s="144" t="s">
        <v>222</v>
      </c>
      <c r="T387" s="140">
        <f t="shared" si="69"/>
        <v>0</v>
      </c>
      <c r="U387" s="145" t="str">
        <f t="shared" si="67"/>
        <v>SUBDIRECCION DE GESTION CONTRACTUAL</v>
      </c>
      <c r="V387" s="132" t="str">
        <f t="shared" si="70"/>
        <v>CO-DC</v>
      </c>
      <c r="W387" s="145" t="str">
        <f t="shared" si="71"/>
        <v>Distrito Capital de Bogotá</v>
      </c>
      <c r="X387" s="146" t="s">
        <v>307</v>
      </c>
      <c r="Y387" s="132">
        <v>2427400</v>
      </c>
      <c r="Z387" s="146" t="s">
        <v>94</v>
      </c>
    </row>
    <row r="388" spans="1:85" s="7" customFormat="1" ht="12.75" customHeight="1" x14ac:dyDescent="0.2">
      <c r="A388" s="132" t="s">
        <v>117</v>
      </c>
      <c r="B388" s="132">
        <v>2</v>
      </c>
      <c r="C388" s="133" t="s">
        <v>118</v>
      </c>
      <c r="D388" s="133" t="s">
        <v>430</v>
      </c>
      <c r="E388" s="134"/>
      <c r="F388" s="134">
        <v>1375206666</v>
      </c>
      <c r="G388" s="134"/>
      <c r="H388" s="135">
        <v>80111600</v>
      </c>
      <c r="I388" s="136" t="s">
        <v>431</v>
      </c>
      <c r="J388" s="150">
        <v>1</v>
      </c>
      <c r="K388" s="150">
        <v>1</v>
      </c>
      <c r="L388" s="150">
        <v>12</v>
      </c>
      <c r="M388" s="132">
        <f t="shared" si="64"/>
        <v>1</v>
      </c>
      <c r="N388" s="140" t="s">
        <v>216</v>
      </c>
      <c r="O388" s="141" t="str">
        <f>IF(ISBLANK(N388),"",VLOOKUP(N388,[23]Parámetros!$G$2:$H$23,2,FALSE))</f>
        <v>Contratación directa.</v>
      </c>
      <c r="P388" s="142">
        <f t="shared" si="68"/>
        <v>1</v>
      </c>
      <c r="Q388" s="143">
        <f t="shared" si="65"/>
        <v>1375206666</v>
      </c>
      <c r="R388" s="143">
        <f t="shared" si="66"/>
        <v>1375206666</v>
      </c>
      <c r="S388" s="144" t="s">
        <v>222</v>
      </c>
      <c r="T388" s="140">
        <f t="shared" si="69"/>
        <v>0</v>
      </c>
      <c r="U388" s="145" t="str">
        <f t="shared" si="67"/>
        <v>SUBDIRECCION DE GESTION CONTRACTUAL</v>
      </c>
      <c r="V388" s="132" t="str">
        <f t="shared" si="70"/>
        <v>CO-DC</v>
      </c>
      <c r="W388" s="145" t="str">
        <f t="shared" si="71"/>
        <v>Distrito Capital de Bogotá</v>
      </c>
      <c r="X388" s="146" t="s">
        <v>307</v>
      </c>
      <c r="Y388" s="132">
        <v>2427400</v>
      </c>
      <c r="Z388" s="146" t="s">
        <v>94</v>
      </c>
    </row>
    <row r="389" spans="1:85" s="152" customFormat="1" ht="13.9" customHeight="1" x14ac:dyDescent="0.2">
      <c r="A389" s="132" t="s">
        <v>117</v>
      </c>
      <c r="B389" s="132">
        <v>3</v>
      </c>
      <c r="C389" s="133" t="s">
        <v>118</v>
      </c>
      <c r="D389" s="133" t="s">
        <v>430</v>
      </c>
      <c r="E389" s="134"/>
      <c r="F389" s="134">
        <f>2623583333-225000000</f>
        <v>2398583333</v>
      </c>
      <c r="G389" s="134"/>
      <c r="H389" s="135" t="s">
        <v>432</v>
      </c>
      <c r="I389" s="136" t="s">
        <v>433</v>
      </c>
      <c r="J389" s="150">
        <v>6</v>
      </c>
      <c r="K389" s="150">
        <v>10</v>
      </c>
      <c r="L389" s="150">
        <v>2</v>
      </c>
      <c r="M389" s="132">
        <f t="shared" si="64"/>
        <v>1</v>
      </c>
      <c r="N389" s="140" t="s">
        <v>226</v>
      </c>
      <c r="O389" s="141" t="str">
        <f>IF(ISBLANK(N389),"",VLOOKUP(N389,[23]Parámetros!$G$2:$H$23,2,FALSE))</f>
        <v>Licitación pública</v>
      </c>
      <c r="P389" s="142">
        <f t="shared" si="68"/>
        <v>1</v>
      </c>
      <c r="Q389" s="143">
        <f t="shared" si="65"/>
        <v>2398583333</v>
      </c>
      <c r="R389" s="143">
        <f t="shared" si="66"/>
        <v>2398583333</v>
      </c>
      <c r="S389" s="144" t="s">
        <v>222</v>
      </c>
      <c r="T389" s="140">
        <f t="shared" si="69"/>
        <v>0</v>
      </c>
      <c r="U389" s="145" t="str">
        <f t="shared" si="67"/>
        <v>SUBDIRECCION DE GESTION CONTRACTUAL</v>
      </c>
      <c r="V389" s="132" t="str">
        <f t="shared" si="70"/>
        <v>CO-DC</v>
      </c>
      <c r="W389" s="145" t="str">
        <f t="shared" si="71"/>
        <v>Distrito Capital de Bogotá</v>
      </c>
      <c r="X389" s="146" t="s">
        <v>307</v>
      </c>
      <c r="Y389" s="132">
        <v>2427400</v>
      </c>
      <c r="Z389" s="146" t="s">
        <v>94</v>
      </c>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row>
    <row r="390" spans="1:85" s="7" customFormat="1" ht="12.75" customHeight="1" x14ac:dyDescent="0.2">
      <c r="A390" s="132" t="s">
        <v>117</v>
      </c>
      <c r="B390" s="132">
        <v>4</v>
      </c>
      <c r="C390" s="133" t="s">
        <v>118</v>
      </c>
      <c r="D390" s="133" t="s">
        <v>430</v>
      </c>
      <c r="E390" s="134"/>
      <c r="F390" s="134">
        <f>225000000+225000000</f>
        <v>450000000</v>
      </c>
      <c r="G390" s="134"/>
      <c r="H390" s="135" t="s">
        <v>119</v>
      </c>
      <c r="I390" s="180" t="s">
        <v>837</v>
      </c>
      <c r="J390" s="150">
        <v>3</v>
      </c>
      <c r="K390" s="150">
        <v>5</v>
      </c>
      <c r="L390" s="150">
        <v>2</v>
      </c>
      <c r="M390" s="132">
        <f t="shared" si="64"/>
        <v>1</v>
      </c>
      <c r="N390" s="140" t="s">
        <v>43</v>
      </c>
      <c r="O390" s="141" t="str">
        <f>IF(ISBLANK(N390),"",VLOOKUP(N390,[23]Parámetros!$G$2:$H$23,2,FALSE))</f>
        <v>Selección abreviada subasta inversa</v>
      </c>
      <c r="P390" s="142">
        <f t="shared" si="68"/>
        <v>1</v>
      </c>
      <c r="Q390" s="143">
        <f t="shared" si="65"/>
        <v>450000000</v>
      </c>
      <c r="R390" s="143">
        <f t="shared" si="66"/>
        <v>450000000</v>
      </c>
      <c r="S390" s="144" t="s">
        <v>222</v>
      </c>
      <c r="T390" s="140">
        <f t="shared" si="69"/>
        <v>0</v>
      </c>
      <c r="U390" s="145" t="str">
        <f t="shared" si="67"/>
        <v>SUBDIRECCION DE GESTION CONTRACTUAL</v>
      </c>
      <c r="V390" s="132" t="str">
        <f t="shared" si="70"/>
        <v>CO-DC</v>
      </c>
      <c r="W390" s="145" t="str">
        <f t="shared" si="71"/>
        <v>Distrito Capital de Bogotá</v>
      </c>
      <c r="X390" s="146" t="s">
        <v>307</v>
      </c>
      <c r="Y390" s="132">
        <v>2427400</v>
      </c>
      <c r="Z390" s="146" t="s">
        <v>94</v>
      </c>
    </row>
    <row r="391" spans="1:85" s="7" customFormat="1" ht="12.75" customHeight="1" x14ac:dyDescent="0.2">
      <c r="A391" s="132" t="s">
        <v>117</v>
      </c>
      <c r="B391" s="132">
        <v>5</v>
      </c>
      <c r="C391" s="133" t="s">
        <v>118</v>
      </c>
      <c r="D391" s="133" t="s">
        <v>430</v>
      </c>
      <c r="E391" s="134"/>
      <c r="F391" s="134">
        <v>250000000</v>
      </c>
      <c r="G391" s="134"/>
      <c r="H391" s="135" t="s">
        <v>434</v>
      </c>
      <c r="I391" s="136" t="s">
        <v>435</v>
      </c>
      <c r="J391" s="150">
        <v>3</v>
      </c>
      <c r="K391" s="150">
        <v>5</v>
      </c>
      <c r="L391" s="150">
        <v>2</v>
      </c>
      <c r="M391" s="132">
        <f t="shared" si="64"/>
        <v>1</v>
      </c>
      <c r="N391" s="140" t="s">
        <v>43</v>
      </c>
      <c r="O391" s="141" t="str">
        <f>IF(ISBLANK(N391),"",VLOOKUP(N391,[23]Parámetros!$G$2:$H$23,2,FALSE))</f>
        <v>Selección abreviada subasta inversa</v>
      </c>
      <c r="P391" s="142">
        <f t="shared" si="68"/>
        <v>1</v>
      </c>
      <c r="Q391" s="143">
        <f t="shared" si="65"/>
        <v>250000000</v>
      </c>
      <c r="R391" s="143">
        <f t="shared" si="66"/>
        <v>250000000</v>
      </c>
      <c r="S391" s="144" t="s">
        <v>222</v>
      </c>
      <c r="T391" s="140">
        <f t="shared" si="69"/>
        <v>0</v>
      </c>
      <c r="U391" s="145" t="str">
        <f t="shared" si="67"/>
        <v>SUBDIRECCION DE GESTION CONTRACTUAL</v>
      </c>
      <c r="V391" s="132" t="str">
        <f t="shared" si="70"/>
        <v>CO-DC</v>
      </c>
      <c r="W391" s="145" t="str">
        <f t="shared" si="71"/>
        <v>Distrito Capital de Bogotá</v>
      </c>
      <c r="X391" s="146" t="s">
        <v>307</v>
      </c>
      <c r="Y391" s="132">
        <v>2427400</v>
      </c>
      <c r="Z391" s="146" t="s">
        <v>94</v>
      </c>
    </row>
    <row r="392" spans="1:85" s="7" customFormat="1" ht="12.75" customHeight="1" x14ac:dyDescent="0.2">
      <c r="A392" s="132" t="s">
        <v>117</v>
      </c>
      <c r="B392" s="132">
        <v>6</v>
      </c>
      <c r="C392" s="133" t="s">
        <v>581</v>
      </c>
      <c r="D392" s="133" t="s">
        <v>430</v>
      </c>
      <c r="E392" s="134"/>
      <c r="F392" s="134">
        <v>1297767202</v>
      </c>
      <c r="G392" s="134"/>
      <c r="H392" s="135" t="s">
        <v>436</v>
      </c>
      <c r="I392" s="136" t="s">
        <v>437</v>
      </c>
      <c r="J392" s="150">
        <v>6</v>
      </c>
      <c r="K392" s="150">
        <v>10</v>
      </c>
      <c r="L392" s="150">
        <v>2</v>
      </c>
      <c r="M392" s="132">
        <f t="shared" si="64"/>
        <v>1</v>
      </c>
      <c r="N392" s="140" t="s">
        <v>226</v>
      </c>
      <c r="O392" s="141" t="str">
        <f>IF(ISBLANK(N392),"",VLOOKUP(N392,[23]Parámetros!$G$2:$H$23,2,FALSE))</f>
        <v>Licitación pública</v>
      </c>
      <c r="P392" s="142">
        <f t="shared" si="68"/>
        <v>1</v>
      </c>
      <c r="Q392" s="143">
        <f t="shared" si="65"/>
        <v>1297767202</v>
      </c>
      <c r="R392" s="143">
        <f t="shared" si="66"/>
        <v>1297767202</v>
      </c>
      <c r="S392" s="144" t="s">
        <v>222</v>
      </c>
      <c r="T392" s="140">
        <f t="shared" si="69"/>
        <v>0</v>
      </c>
      <c r="U392" s="145" t="str">
        <f t="shared" si="67"/>
        <v>SUBDIRECCION DE GESTION CONTRACTUAL</v>
      </c>
      <c r="V392" s="132" t="str">
        <f t="shared" si="70"/>
        <v>CO-DC</v>
      </c>
      <c r="W392" s="145" t="str">
        <f t="shared" si="71"/>
        <v>Distrito Capital de Bogotá</v>
      </c>
      <c r="X392" s="146" t="s">
        <v>307</v>
      </c>
      <c r="Y392" s="132">
        <v>2427400</v>
      </c>
      <c r="Z392" s="146" t="s">
        <v>94</v>
      </c>
    </row>
    <row r="393" spans="1:85" s="7" customFormat="1" ht="12.75" customHeight="1" x14ac:dyDescent="0.2">
      <c r="A393" s="132" t="s">
        <v>117</v>
      </c>
      <c r="B393" s="132">
        <v>7</v>
      </c>
      <c r="C393" s="133" t="s">
        <v>118</v>
      </c>
      <c r="D393" s="133" t="s">
        <v>430</v>
      </c>
      <c r="E393" s="134"/>
      <c r="F393" s="134">
        <v>80000000</v>
      </c>
      <c r="G393" s="134"/>
      <c r="H393" s="135" t="s">
        <v>121</v>
      </c>
      <c r="I393" s="136" t="s">
        <v>438</v>
      </c>
      <c r="J393" s="150">
        <v>8</v>
      </c>
      <c r="K393" s="150">
        <v>8</v>
      </c>
      <c r="L393" s="150">
        <v>2</v>
      </c>
      <c r="M393" s="132">
        <f t="shared" si="64"/>
        <v>1</v>
      </c>
      <c r="N393" s="140" t="s">
        <v>53</v>
      </c>
      <c r="O393" s="141" t="str">
        <f>IF(ISBLANK(N393),"",VLOOKUP(N393,[23]Parámetros!$G$2:$H$23,2,FALSE))</f>
        <v>Seléccion abreviada - acuerdo marco</v>
      </c>
      <c r="P393" s="142">
        <f t="shared" si="68"/>
        <v>1</v>
      </c>
      <c r="Q393" s="143">
        <f t="shared" si="65"/>
        <v>80000000</v>
      </c>
      <c r="R393" s="143">
        <f t="shared" si="66"/>
        <v>80000000</v>
      </c>
      <c r="S393" s="144" t="s">
        <v>222</v>
      </c>
      <c r="T393" s="140">
        <f t="shared" si="69"/>
        <v>0</v>
      </c>
      <c r="U393" s="145" t="str">
        <f t="shared" si="67"/>
        <v>SUBDIRECCION DE GESTION CONTRACTUAL</v>
      </c>
      <c r="V393" s="132" t="str">
        <f t="shared" si="70"/>
        <v>CO-DC</v>
      </c>
      <c r="W393" s="145" t="str">
        <f t="shared" si="71"/>
        <v>Distrito Capital de Bogotá</v>
      </c>
      <c r="X393" s="146" t="s">
        <v>307</v>
      </c>
      <c r="Y393" s="132">
        <v>2427400</v>
      </c>
      <c r="Z393" s="146" t="s">
        <v>94</v>
      </c>
    </row>
    <row r="394" spans="1:85" s="7" customFormat="1" ht="12.75" customHeight="1" x14ac:dyDescent="0.2">
      <c r="A394" s="132" t="s">
        <v>117</v>
      </c>
      <c r="B394" s="132">
        <v>8</v>
      </c>
      <c r="C394" s="133" t="s">
        <v>118</v>
      </c>
      <c r="D394" s="133" t="s">
        <v>430</v>
      </c>
      <c r="E394" s="134"/>
      <c r="F394" s="134">
        <v>350000000</v>
      </c>
      <c r="G394" s="134"/>
      <c r="H394" s="135" t="s">
        <v>439</v>
      </c>
      <c r="I394" s="136" t="s">
        <v>440</v>
      </c>
      <c r="J394" s="150">
        <v>4</v>
      </c>
      <c r="K394" s="150">
        <v>6</v>
      </c>
      <c r="L394" s="150">
        <v>2</v>
      </c>
      <c r="M394" s="132">
        <f t="shared" si="64"/>
        <v>1</v>
      </c>
      <c r="N394" s="140" t="s">
        <v>43</v>
      </c>
      <c r="O394" s="141" t="str">
        <f>IF(ISBLANK(N394),"",VLOOKUP(N394,[23]Parámetros!$G$2:$H$23,2,FALSE))</f>
        <v>Selección abreviada subasta inversa</v>
      </c>
      <c r="P394" s="142">
        <f t="shared" si="68"/>
        <v>1</v>
      </c>
      <c r="Q394" s="143">
        <f t="shared" si="65"/>
        <v>350000000</v>
      </c>
      <c r="R394" s="143">
        <f t="shared" si="66"/>
        <v>350000000</v>
      </c>
      <c r="S394" s="144" t="s">
        <v>222</v>
      </c>
      <c r="T394" s="140">
        <f t="shared" si="69"/>
        <v>0</v>
      </c>
      <c r="U394" s="145" t="str">
        <f t="shared" si="67"/>
        <v>SUBDIRECCION DE GESTION CONTRACTUAL</v>
      </c>
      <c r="V394" s="132" t="str">
        <f t="shared" si="70"/>
        <v>CO-DC</v>
      </c>
      <c r="W394" s="145" t="str">
        <f t="shared" si="71"/>
        <v>Distrito Capital de Bogotá</v>
      </c>
      <c r="X394" s="146" t="s">
        <v>307</v>
      </c>
      <c r="Y394" s="132">
        <v>2427400</v>
      </c>
      <c r="Z394" s="146" t="s">
        <v>94</v>
      </c>
    </row>
    <row r="395" spans="1:85" s="7" customFormat="1" ht="12.75" customHeight="1" x14ac:dyDescent="0.2">
      <c r="A395" s="132" t="s">
        <v>117</v>
      </c>
      <c r="B395" s="132">
        <v>9</v>
      </c>
      <c r="C395" s="133" t="s">
        <v>118</v>
      </c>
      <c r="D395" s="133" t="s">
        <v>430</v>
      </c>
      <c r="E395" s="134"/>
      <c r="F395" s="134">
        <v>1600000000</v>
      </c>
      <c r="G395" s="134"/>
      <c r="H395" s="135" t="s">
        <v>233</v>
      </c>
      <c r="I395" s="136" t="s">
        <v>441</v>
      </c>
      <c r="J395" s="150">
        <v>3</v>
      </c>
      <c r="K395" s="150">
        <v>3</v>
      </c>
      <c r="L395" s="150">
        <v>6</v>
      </c>
      <c r="M395" s="132">
        <f t="shared" si="64"/>
        <v>1</v>
      </c>
      <c r="N395" s="140" t="s">
        <v>53</v>
      </c>
      <c r="O395" s="141" t="str">
        <f>IF(ISBLANK(N395),"",VLOOKUP(N395,[23]Parámetros!$G$2:$H$23,2,FALSE))</f>
        <v>Seléccion abreviada - acuerdo marco</v>
      </c>
      <c r="P395" s="142">
        <f t="shared" si="68"/>
        <v>1</v>
      </c>
      <c r="Q395" s="143">
        <f t="shared" si="65"/>
        <v>1600000000</v>
      </c>
      <c r="R395" s="143">
        <f t="shared" si="66"/>
        <v>1600000000</v>
      </c>
      <c r="S395" s="144" t="s">
        <v>222</v>
      </c>
      <c r="T395" s="140">
        <f t="shared" si="69"/>
        <v>0</v>
      </c>
      <c r="U395" s="145" t="str">
        <f t="shared" si="67"/>
        <v>SUBDIRECCION DE GESTION CONTRACTUAL</v>
      </c>
      <c r="V395" s="132" t="str">
        <f t="shared" si="70"/>
        <v>CO-DC</v>
      </c>
      <c r="W395" s="145" t="str">
        <f t="shared" si="71"/>
        <v>Distrito Capital de Bogotá</v>
      </c>
      <c r="X395" s="146" t="s">
        <v>307</v>
      </c>
      <c r="Y395" s="132">
        <v>2427400</v>
      </c>
      <c r="Z395" s="146" t="s">
        <v>94</v>
      </c>
    </row>
    <row r="396" spans="1:85" s="152" customFormat="1" ht="13.9" customHeight="1" x14ac:dyDescent="0.2">
      <c r="A396" s="132" t="s">
        <v>117</v>
      </c>
      <c r="B396" s="132">
        <v>10</v>
      </c>
      <c r="C396" s="133" t="s">
        <v>118</v>
      </c>
      <c r="D396" s="133" t="s">
        <v>430</v>
      </c>
      <c r="E396" s="134"/>
      <c r="F396" s="134">
        <v>700000000</v>
      </c>
      <c r="G396" s="134"/>
      <c r="H396" s="135" t="s">
        <v>442</v>
      </c>
      <c r="I396" s="136" t="s">
        <v>443</v>
      </c>
      <c r="J396" s="150">
        <v>6</v>
      </c>
      <c r="K396" s="150">
        <v>10</v>
      </c>
      <c r="L396" s="150">
        <v>2</v>
      </c>
      <c r="M396" s="132">
        <f t="shared" si="64"/>
        <v>1</v>
      </c>
      <c r="N396" s="140" t="s">
        <v>444</v>
      </c>
      <c r="O396" s="141" t="str">
        <f>IF(ISBLANK(N396),"",VLOOKUP(N396,[23]Parámetros!$G$2:$H$23,2,FALSE))</f>
        <v>Concurso de méritos abierto</v>
      </c>
      <c r="P396" s="142">
        <f t="shared" ref="P396:P427" si="72">IF(ISBLANK(N396),"",1)</f>
        <v>1</v>
      </c>
      <c r="Q396" s="143">
        <f t="shared" si="65"/>
        <v>700000000</v>
      </c>
      <c r="R396" s="143">
        <f t="shared" si="66"/>
        <v>700000000</v>
      </c>
      <c r="S396" s="144" t="s">
        <v>222</v>
      </c>
      <c r="T396" s="140">
        <f t="shared" ref="T396:T427" si="73">IF(ISBLANK(S396),"",IF(VALUE(S396)=0,0,IF(VALUE(S396)=1,3,"")))</f>
        <v>0</v>
      </c>
      <c r="U396" s="145" t="str">
        <f t="shared" si="67"/>
        <v>SUBDIRECCION DE GESTION CONTRACTUAL</v>
      </c>
      <c r="V396" s="132" t="str">
        <f t="shared" si="70"/>
        <v>CO-DC</v>
      </c>
      <c r="W396" s="145" t="str">
        <f t="shared" si="71"/>
        <v>Distrito Capital de Bogotá</v>
      </c>
      <c r="X396" s="146" t="s">
        <v>307</v>
      </c>
      <c r="Y396" s="132">
        <v>2427400</v>
      </c>
      <c r="Z396" s="146" t="s">
        <v>94</v>
      </c>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7"/>
      <c r="BX396" s="7"/>
      <c r="BY396" s="7"/>
      <c r="BZ396" s="7"/>
      <c r="CA396" s="7"/>
      <c r="CB396" s="7"/>
      <c r="CC396" s="7"/>
      <c r="CD396" s="7"/>
      <c r="CE396" s="7"/>
      <c r="CF396" s="7"/>
      <c r="CG396" s="7"/>
    </row>
    <row r="397" spans="1:85" s="152" customFormat="1" ht="13.9" customHeight="1" x14ac:dyDescent="0.2">
      <c r="A397" s="132" t="s">
        <v>117</v>
      </c>
      <c r="B397" s="132">
        <v>11</v>
      </c>
      <c r="C397" s="133" t="s">
        <v>118</v>
      </c>
      <c r="D397" s="133" t="s">
        <v>430</v>
      </c>
      <c r="E397" s="134"/>
      <c r="F397" s="134">
        <v>150000000</v>
      </c>
      <c r="G397" s="134"/>
      <c r="H397" s="135" t="s">
        <v>621</v>
      </c>
      <c r="I397" s="136" t="s">
        <v>445</v>
      </c>
      <c r="J397" s="150">
        <v>6</v>
      </c>
      <c r="K397" s="150">
        <v>10</v>
      </c>
      <c r="L397" s="150">
        <v>2</v>
      </c>
      <c r="M397" s="132">
        <f t="shared" si="64"/>
        <v>1</v>
      </c>
      <c r="N397" s="140" t="s">
        <v>444</v>
      </c>
      <c r="O397" s="141" t="str">
        <f>IF(ISBLANK(N397),"",VLOOKUP(N397,[23]Parámetros!$G$2:$H$23,2,FALSE))</f>
        <v>Concurso de méritos abierto</v>
      </c>
      <c r="P397" s="142">
        <f t="shared" si="72"/>
        <v>1</v>
      </c>
      <c r="Q397" s="143">
        <f t="shared" si="65"/>
        <v>150000000</v>
      </c>
      <c r="R397" s="143">
        <f t="shared" si="66"/>
        <v>150000000</v>
      </c>
      <c r="S397" s="144" t="s">
        <v>222</v>
      </c>
      <c r="T397" s="140">
        <f t="shared" si="73"/>
        <v>0</v>
      </c>
      <c r="U397" s="145" t="str">
        <f t="shared" si="67"/>
        <v>SUBDIRECCION DE GESTION CONTRACTUAL</v>
      </c>
      <c r="V397" s="132" t="str">
        <f t="shared" si="70"/>
        <v>CO-DC</v>
      </c>
      <c r="W397" s="145" t="str">
        <f t="shared" si="71"/>
        <v>Distrito Capital de Bogotá</v>
      </c>
      <c r="X397" s="146" t="s">
        <v>307</v>
      </c>
      <c r="Y397" s="132">
        <v>2427400</v>
      </c>
      <c r="Z397" s="146" t="s">
        <v>94</v>
      </c>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7"/>
      <c r="BX397" s="7"/>
      <c r="BY397" s="7"/>
      <c r="BZ397" s="7"/>
      <c r="CA397" s="7"/>
      <c r="CB397" s="7"/>
      <c r="CC397" s="7"/>
      <c r="CD397" s="7"/>
      <c r="CE397" s="7"/>
      <c r="CF397" s="7"/>
      <c r="CG397" s="7"/>
    </row>
    <row r="398" spans="1:85" s="152" customFormat="1" ht="13.9" customHeight="1" x14ac:dyDescent="0.2">
      <c r="A398" s="132" t="s">
        <v>117</v>
      </c>
      <c r="B398" s="132">
        <v>12</v>
      </c>
      <c r="C398" s="133" t="s">
        <v>446</v>
      </c>
      <c r="D398" s="133" t="s">
        <v>447</v>
      </c>
      <c r="E398" s="134"/>
      <c r="F398" s="134">
        <v>1748500000</v>
      </c>
      <c r="G398" s="134"/>
      <c r="H398" s="135">
        <v>80111600</v>
      </c>
      <c r="I398" s="136" t="s">
        <v>448</v>
      </c>
      <c r="J398" s="150">
        <v>1</v>
      </c>
      <c r="K398" s="150">
        <v>1</v>
      </c>
      <c r="L398" s="150">
        <v>12</v>
      </c>
      <c r="M398" s="132">
        <f t="shared" si="64"/>
        <v>1</v>
      </c>
      <c r="N398" s="140" t="s">
        <v>216</v>
      </c>
      <c r="O398" s="141" t="str">
        <f>IF(ISBLANK(N398),"",VLOOKUP(N398,[23]Parámetros!$G$2:$H$23,2,FALSE))</f>
        <v>Contratación directa.</v>
      </c>
      <c r="P398" s="142">
        <f t="shared" si="72"/>
        <v>1</v>
      </c>
      <c r="Q398" s="143">
        <f t="shared" si="65"/>
        <v>1748500000</v>
      </c>
      <c r="R398" s="143">
        <f t="shared" si="66"/>
        <v>1748500000</v>
      </c>
      <c r="S398" s="144" t="s">
        <v>222</v>
      </c>
      <c r="T398" s="140">
        <f t="shared" si="73"/>
        <v>0</v>
      </c>
      <c r="U398" s="145" t="str">
        <f t="shared" si="67"/>
        <v>SUBDIRECCION DE GESTION CONTRACTUAL</v>
      </c>
      <c r="V398" s="132" t="str">
        <f t="shared" si="70"/>
        <v>CO-DC</v>
      </c>
      <c r="W398" s="145" t="str">
        <f t="shared" si="71"/>
        <v>Distrito Capital de Bogotá</v>
      </c>
      <c r="X398" s="146" t="s">
        <v>307</v>
      </c>
      <c r="Y398" s="132">
        <v>2427400</v>
      </c>
      <c r="Z398" s="146" t="s">
        <v>94</v>
      </c>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7"/>
      <c r="BX398" s="7"/>
      <c r="BY398" s="7"/>
      <c r="BZ398" s="7"/>
      <c r="CA398" s="7"/>
      <c r="CB398" s="7"/>
      <c r="CC398" s="7"/>
      <c r="CD398" s="7"/>
      <c r="CE398" s="7"/>
      <c r="CF398" s="7"/>
      <c r="CG398" s="7"/>
    </row>
    <row r="399" spans="1:85" s="152" customFormat="1" ht="13.9" customHeight="1" x14ac:dyDescent="0.2">
      <c r="A399" s="132" t="s">
        <v>117</v>
      </c>
      <c r="B399" s="132">
        <v>13</v>
      </c>
      <c r="C399" s="133" t="s">
        <v>446</v>
      </c>
      <c r="D399" s="133" t="s">
        <v>447</v>
      </c>
      <c r="E399" s="134"/>
      <c r="F399" s="134">
        <v>196000000</v>
      </c>
      <c r="G399" s="134"/>
      <c r="H399" s="135" t="s">
        <v>449</v>
      </c>
      <c r="I399" s="136" t="s">
        <v>433</v>
      </c>
      <c r="J399" s="150">
        <v>6</v>
      </c>
      <c r="K399" s="150">
        <v>7</v>
      </c>
      <c r="L399" s="150">
        <v>4</v>
      </c>
      <c r="M399" s="132">
        <f t="shared" si="64"/>
        <v>1</v>
      </c>
      <c r="N399" s="140" t="s">
        <v>53</v>
      </c>
      <c r="O399" s="141" t="str">
        <f>IF(ISBLANK(N399),"",VLOOKUP(N399,[23]Parámetros!$G$2:$H$23,2,FALSE))</f>
        <v>Seléccion abreviada - acuerdo marco</v>
      </c>
      <c r="P399" s="142">
        <f t="shared" si="72"/>
        <v>1</v>
      </c>
      <c r="Q399" s="143">
        <f t="shared" si="65"/>
        <v>196000000</v>
      </c>
      <c r="R399" s="143">
        <f t="shared" si="66"/>
        <v>196000000</v>
      </c>
      <c r="S399" s="144" t="s">
        <v>222</v>
      </c>
      <c r="T399" s="140">
        <f t="shared" si="73"/>
        <v>0</v>
      </c>
      <c r="U399" s="145" t="str">
        <f t="shared" si="67"/>
        <v>SUBDIRECCION DE GESTION CONTRACTUAL</v>
      </c>
      <c r="V399" s="132" t="str">
        <f t="shared" si="70"/>
        <v>CO-DC</v>
      </c>
      <c r="W399" s="145" t="str">
        <f t="shared" si="71"/>
        <v>Distrito Capital de Bogotá</v>
      </c>
      <c r="X399" s="146" t="s">
        <v>307</v>
      </c>
      <c r="Y399" s="132">
        <v>2427400</v>
      </c>
      <c r="Z399" s="146" t="s">
        <v>94</v>
      </c>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7"/>
      <c r="BX399" s="7"/>
      <c r="BY399" s="7"/>
      <c r="BZ399" s="7"/>
      <c r="CA399" s="7"/>
      <c r="CB399" s="7"/>
      <c r="CC399" s="7"/>
      <c r="CD399" s="7"/>
      <c r="CE399" s="7"/>
      <c r="CF399" s="7"/>
      <c r="CG399" s="7"/>
    </row>
    <row r="400" spans="1:85" s="152" customFormat="1" ht="13.9" customHeight="1" x14ac:dyDescent="0.2">
      <c r="A400" s="132" t="s">
        <v>117</v>
      </c>
      <c r="B400" s="132">
        <v>14</v>
      </c>
      <c r="C400" s="133" t="s">
        <v>446</v>
      </c>
      <c r="D400" s="133" t="s">
        <v>447</v>
      </c>
      <c r="E400" s="134"/>
      <c r="F400" s="134">
        <v>55500000</v>
      </c>
      <c r="G400" s="134"/>
      <c r="H400" s="135" t="s">
        <v>124</v>
      </c>
      <c r="I400" s="136" t="s">
        <v>450</v>
      </c>
      <c r="J400" s="150">
        <v>2</v>
      </c>
      <c r="K400" s="150">
        <v>3</v>
      </c>
      <c r="L400" s="150">
        <v>11</v>
      </c>
      <c r="M400" s="132">
        <f t="shared" si="64"/>
        <v>1</v>
      </c>
      <c r="N400" s="140" t="s">
        <v>304</v>
      </c>
      <c r="O400" s="141" t="str">
        <f>IF(ISBLANK(N400),"",VLOOKUP(N400,[23]Parámetros!$G$2:$H$23,2,FALSE))</f>
        <v>Selección abreviada menor cuantía</v>
      </c>
      <c r="P400" s="142">
        <f t="shared" si="72"/>
        <v>1</v>
      </c>
      <c r="Q400" s="143">
        <f t="shared" si="65"/>
        <v>55500000</v>
      </c>
      <c r="R400" s="143">
        <f t="shared" si="66"/>
        <v>55500000</v>
      </c>
      <c r="S400" s="144" t="s">
        <v>222</v>
      </c>
      <c r="T400" s="140">
        <f t="shared" si="73"/>
        <v>0</v>
      </c>
      <c r="U400" s="145" t="str">
        <f t="shared" si="67"/>
        <v>SUBDIRECCION DE GESTION CONTRACTUAL</v>
      </c>
      <c r="V400" s="132" t="str">
        <f t="shared" si="70"/>
        <v>CO-DC</v>
      </c>
      <c r="W400" s="145" t="str">
        <f t="shared" si="71"/>
        <v>Distrito Capital de Bogotá</v>
      </c>
      <c r="X400" s="146" t="s">
        <v>307</v>
      </c>
      <c r="Y400" s="132">
        <v>2427400</v>
      </c>
      <c r="Z400" s="146" t="s">
        <v>94</v>
      </c>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row>
    <row r="401" spans="1:85" s="250" customFormat="1" ht="13.9" customHeight="1" x14ac:dyDescent="0.2">
      <c r="A401" s="131" t="s">
        <v>117</v>
      </c>
      <c r="B401" s="132">
        <v>15</v>
      </c>
      <c r="C401" s="133" t="s">
        <v>451</v>
      </c>
      <c r="D401" s="133" t="s">
        <v>452</v>
      </c>
      <c r="E401" s="134"/>
      <c r="F401" s="134">
        <v>828166666</v>
      </c>
      <c r="G401" s="134"/>
      <c r="H401" s="135">
        <v>80111600</v>
      </c>
      <c r="I401" s="136" t="s">
        <v>453</v>
      </c>
      <c r="J401" s="150">
        <v>1</v>
      </c>
      <c r="K401" s="150">
        <v>1</v>
      </c>
      <c r="L401" s="150">
        <v>12</v>
      </c>
      <c r="M401" s="132">
        <f t="shared" si="64"/>
        <v>1</v>
      </c>
      <c r="N401" s="140" t="s">
        <v>216</v>
      </c>
      <c r="O401" s="141" t="str">
        <f>IF(ISBLANK(N401),"",VLOOKUP(N401,[23]Parámetros!$G$2:$H$23,2,FALSE))</f>
        <v>Contratación directa.</v>
      </c>
      <c r="P401" s="142">
        <f t="shared" si="72"/>
        <v>1</v>
      </c>
      <c r="Q401" s="143">
        <f t="shared" si="65"/>
        <v>828166666</v>
      </c>
      <c r="R401" s="143">
        <f t="shared" si="66"/>
        <v>828166666</v>
      </c>
      <c r="S401" s="144" t="s">
        <v>222</v>
      </c>
      <c r="T401" s="140">
        <f t="shared" si="73"/>
        <v>0</v>
      </c>
      <c r="U401" s="145" t="str">
        <f t="shared" si="67"/>
        <v>SUBDIRECCION DE GESTION CONTRACTUAL</v>
      </c>
      <c r="V401" s="132" t="str">
        <f t="shared" si="70"/>
        <v>CO-DC</v>
      </c>
      <c r="W401" s="145" t="str">
        <f t="shared" si="71"/>
        <v>Distrito Capital de Bogotá</v>
      </c>
      <c r="X401" s="146" t="s">
        <v>307</v>
      </c>
      <c r="Y401" s="132">
        <v>2427400</v>
      </c>
      <c r="Z401" s="148" t="s">
        <v>94</v>
      </c>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249"/>
    </row>
    <row r="402" spans="1:85" s="250" customFormat="1" ht="13.9" customHeight="1" x14ac:dyDescent="0.2">
      <c r="A402" s="131" t="s">
        <v>117</v>
      </c>
      <c r="B402" s="132">
        <v>16</v>
      </c>
      <c r="C402" s="133" t="s">
        <v>451</v>
      </c>
      <c r="D402" s="133" t="s">
        <v>452</v>
      </c>
      <c r="E402" s="134"/>
      <c r="F402" s="134">
        <v>80000000</v>
      </c>
      <c r="G402" s="134"/>
      <c r="H402" s="135" t="s">
        <v>752</v>
      </c>
      <c r="I402" s="136" t="s">
        <v>622</v>
      </c>
      <c r="J402" s="150">
        <v>2</v>
      </c>
      <c r="K402" s="150">
        <v>3</v>
      </c>
      <c r="L402" s="150">
        <v>9</v>
      </c>
      <c r="M402" s="132">
        <f t="shared" si="64"/>
        <v>1</v>
      </c>
      <c r="N402" s="140" t="s">
        <v>226</v>
      </c>
      <c r="O402" s="141" t="str">
        <f>IF(ISBLANK(N402),"",VLOOKUP(N402,[23]Parámetros!$G$2:$H$23,2,FALSE))</f>
        <v>Licitación pública</v>
      </c>
      <c r="P402" s="142">
        <f t="shared" si="72"/>
        <v>1</v>
      </c>
      <c r="Q402" s="143">
        <f t="shared" si="65"/>
        <v>80000000</v>
      </c>
      <c r="R402" s="143">
        <f t="shared" si="66"/>
        <v>80000000</v>
      </c>
      <c r="S402" s="144" t="s">
        <v>222</v>
      </c>
      <c r="T402" s="140">
        <f t="shared" si="73"/>
        <v>0</v>
      </c>
      <c r="U402" s="145" t="str">
        <f t="shared" si="67"/>
        <v>SUBDIRECCION DE GESTION CONTRACTUAL</v>
      </c>
      <c r="V402" s="132" t="str">
        <f t="shared" si="70"/>
        <v>CO-DC</v>
      </c>
      <c r="W402" s="145" t="str">
        <f t="shared" si="71"/>
        <v>Distrito Capital de Bogotá</v>
      </c>
      <c r="X402" s="146" t="s">
        <v>307</v>
      </c>
      <c r="Y402" s="132">
        <v>2427400</v>
      </c>
      <c r="Z402" s="148" t="s">
        <v>94</v>
      </c>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7"/>
      <c r="BX402" s="7"/>
      <c r="BY402" s="7"/>
      <c r="BZ402" s="7"/>
      <c r="CA402" s="7"/>
      <c r="CB402" s="7"/>
      <c r="CC402" s="7"/>
      <c r="CD402" s="7"/>
      <c r="CE402" s="7"/>
      <c r="CF402" s="7"/>
      <c r="CG402" s="249"/>
    </row>
    <row r="403" spans="1:85" s="250" customFormat="1" ht="13.9" customHeight="1" x14ac:dyDescent="0.2">
      <c r="A403" s="131" t="s">
        <v>117</v>
      </c>
      <c r="B403" s="132">
        <v>17</v>
      </c>
      <c r="C403" s="133" t="s">
        <v>451</v>
      </c>
      <c r="D403" s="133" t="s">
        <v>452</v>
      </c>
      <c r="E403" s="134"/>
      <c r="F403" s="134">
        <v>20000000</v>
      </c>
      <c r="G403" s="134"/>
      <c r="H403" s="135" t="s">
        <v>120</v>
      </c>
      <c r="I403" s="136" t="s">
        <v>454</v>
      </c>
      <c r="J403" s="150">
        <v>2</v>
      </c>
      <c r="K403" s="150">
        <v>3</v>
      </c>
      <c r="L403" s="150">
        <v>9</v>
      </c>
      <c r="M403" s="132">
        <f t="shared" si="64"/>
        <v>1</v>
      </c>
      <c r="N403" s="140" t="s">
        <v>36</v>
      </c>
      <c r="O403" s="141" t="str">
        <f>IF(ISBLANK(N403),"",VLOOKUP(N403,[23]Parámetros!$G$2:$H$23,2,FALSE))</f>
        <v xml:space="preserve">Contratación directa (con ofertas) </v>
      </c>
      <c r="P403" s="142">
        <f t="shared" si="72"/>
        <v>1</v>
      </c>
      <c r="Q403" s="143">
        <f t="shared" si="65"/>
        <v>20000000</v>
      </c>
      <c r="R403" s="143">
        <f t="shared" si="66"/>
        <v>20000000</v>
      </c>
      <c r="S403" s="144" t="s">
        <v>222</v>
      </c>
      <c r="T403" s="140">
        <f t="shared" si="73"/>
        <v>0</v>
      </c>
      <c r="U403" s="145" t="str">
        <f t="shared" si="67"/>
        <v>SUBDIRECCION DE GESTION CONTRACTUAL</v>
      </c>
      <c r="V403" s="132" t="str">
        <f t="shared" si="70"/>
        <v>CO-DC</v>
      </c>
      <c r="W403" s="145" t="str">
        <f t="shared" si="71"/>
        <v>Distrito Capital de Bogotá</v>
      </c>
      <c r="X403" s="146" t="s">
        <v>307</v>
      </c>
      <c r="Y403" s="132">
        <v>2427400</v>
      </c>
      <c r="Z403" s="148" t="s">
        <v>94</v>
      </c>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249"/>
    </row>
    <row r="404" spans="1:85" s="250" customFormat="1" ht="13.9" customHeight="1" x14ac:dyDescent="0.2">
      <c r="A404" s="131" t="s">
        <v>117</v>
      </c>
      <c r="B404" s="132">
        <v>18</v>
      </c>
      <c r="C404" s="133" t="s">
        <v>118</v>
      </c>
      <c r="D404" s="133" t="s">
        <v>125</v>
      </c>
      <c r="E404" s="134"/>
      <c r="F404" s="134">
        <v>8000000</v>
      </c>
      <c r="G404" s="134"/>
      <c r="H404" s="135">
        <v>81112200</v>
      </c>
      <c r="I404" s="136" t="s">
        <v>455</v>
      </c>
      <c r="J404" s="150">
        <v>5</v>
      </c>
      <c r="K404" s="150">
        <v>6</v>
      </c>
      <c r="L404" s="150">
        <v>2</v>
      </c>
      <c r="M404" s="132">
        <f t="shared" si="64"/>
        <v>1</v>
      </c>
      <c r="N404" s="140" t="s">
        <v>53</v>
      </c>
      <c r="O404" s="141" t="str">
        <f>IF(ISBLANK(N404),"",VLOOKUP(N404,[23]Parámetros!$G$2:$H$23,2,FALSE))</f>
        <v>Seléccion abreviada - acuerdo marco</v>
      </c>
      <c r="P404" s="142">
        <f t="shared" si="72"/>
        <v>1</v>
      </c>
      <c r="Q404" s="143">
        <f t="shared" si="65"/>
        <v>8000000</v>
      </c>
      <c r="R404" s="143">
        <f t="shared" si="66"/>
        <v>8000000</v>
      </c>
      <c r="S404" s="144" t="s">
        <v>222</v>
      </c>
      <c r="T404" s="140">
        <f t="shared" si="73"/>
        <v>0</v>
      </c>
      <c r="U404" s="145" t="str">
        <f t="shared" si="67"/>
        <v>SUBDIRECCION DE GESTION CONTRACTUAL</v>
      </c>
      <c r="V404" s="132" t="str">
        <f t="shared" si="70"/>
        <v>CO-DC</v>
      </c>
      <c r="W404" s="145" t="str">
        <f t="shared" si="71"/>
        <v>Distrito Capital de Bogotá</v>
      </c>
      <c r="X404" s="146" t="s">
        <v>307</v>
      </c>
      <c r="Y404" s="132">
        <v>2427400</v>
      </c>
      <c r="Z404" s="148" t="s">
        <v>94</v>
      </c>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7"/>
      <c r="BX404" s="7"/>
      <c r="BY404" s="7"/>
      <c r="BZ404" s="7"/>
      <c r="CA404" s="7"/>
      <c r="CB404" s="7"/>
      <c r="CC404" s="7"/>
      <c r="CD404" s="7"/>
      <c r="CE404" s="7"/>
      <c r="CF404" s="7"/>
      <c r="CG404" s="249"/>
    </row>
    <row r="405" spans="1:85" s="250" customFormat="1" ht="13.9" customHeight="1" x14ac:dyDescent="0.2">
      <c r="A405" s="131" t="s">
        <v>117</v>
      </c>
      <c r="B405" s="132">
        <v>19</v>
      </c>
      <c r="C405" s="133" t="s">
        <v>118</v>
      </c>
      <c r="D405" s="133" t="s">
        <v>59</v>
      </c>
      <c r="E405" s="134"/>
      <c r="F405" s="134">
        <v>35000000</v>
      </c>
      <c r="G405" s="134"/>
      <c r="H405" s="135" t="s">
        <v>122</v>
      </c>
      <c r="I405" s="136" t="s">
        <v>433</v>
      </c>
      <c r="J405" s="150">
        <v>3</v>
      </c>
      <c r="K405" s="150">
        <v>3</v>
      </c>
      <c r="L405" s="150">
        <v>7</v>
      </c>
      <c r="M405" s="132">
        <f t="shared" si="64"/>
        <v>1</v>
      </c>
      <c r="N405" s="140" t="s">
        <v>53</v>
      </c>
      <c r="O405" s="141" t="str">
        <f>IF(ISBLANK(N405),"",VLOOKUP(N405,[23]Parámetros!$G$2:$H$23,2,FALSE))</f>
        <v>Seléccion abreviada - acuerdo marco</v>
      </c>
      <c r="P405" s="142">
        <f t="shared" si="72"/>
        <v>1</v>
      </c>
      <c r="Q405" s="143">
        <f t="shared" si="65"/>
        <v>35000000</v>
      </c>
      <c r="R405" s="143">
        <f t="shared" si="66"/>
        <v>35000000</v>
      </c>
      <c r="S405" s="144" t="s">
        <v>224</v>
      </c>
      <c r="T405" s="140">
        <f t="shared" si="73"/>
        <v>3</v>
      </c>
      <c r="U405" s="145" t="str">
        <f t="shared" si="67"/>
        <v>SUBDIRECCION DE GESTION CONTRACTUAL</v>
      </c>
      <c r="V405" s="132" t="str">
        <f t="shared" si="70"/>
        <v>CO-DC</v>
      </c>
      <c r="W405" s="145" t="str">
        <f t="shared" si="71"/>
        <v>Distrito Capital de Bogotá</v>
      </c>
      <c r="X405" s="146" t="s">
        <v>307</v>
      </c>
      <c r="Y405" s="132">
        <v>2427400</v>
      </c>
      <c r="Z405" s="148" t="s">
        <v>94</v>
      </c>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249"/>
    </row>
    <row r="406" spans="1:85" s="250" customFormat="1" ht="13.9" customHeight="1" x14ac:dyDescent="0.2">
      <c r="A406" s="131" t="s">
        <v>117</v>
      </c>
      <c r="B406" s="132">
        <v>20</v>
      </c>
      <c r="C406" s="133" t="s">
        <v>118</v>
      </c>
      <c r="D406" s="133" t="s">
        <v>57</v>
      </c>
      <c r="E406" s="134"/>
      <c r="F406" s="134">
        <v>70000000</v>
      </c>
      <c r="G406" s="134"/>
      <c r="H406" s="135" t="s">
        <v>122</v>
      </c>
      <c r="I406" s="136" t="s">
        <v>433</v>
      </c>
      <c r="J406" s="150">
        <v>3</v>
      </c>
      <c r="K406" s="150">
        <v>3</v>
      </c>
      <c r="L406" s="150">
        <v>7</v>
      </c>
      <c r="M406" s="132">
        <f t="shared" si="64"/>
        <v>1</v>
      </c>
      <c r="N406" s="140" t="s">
        <v>53</v>
      </c>
      <c r="O406" s="141" t="str">
        <f>IF(ISBLANK(N406),"",VLOOKUP(N406,[23]Parámetros!$G$2:$H$23,2,FALSE))</f>
        <v>Seléccion abreviada - acuerdo marco</v>
      </c>
      <c r="P406" s="142">
        <f t="shared" si="72"/>
        <v>1</v>
      </c>
      <c r="Q406" s="143">
        <f t="shared" si="65"/>
        <v>70000000</v>
      </c>
      <c r="R406" s="143">
        <f t="shared" si="66"/>
        <v>70000000</v>
      </c>
      <c r="S406" s="144" t="s">
        <v>224</v>
      </c>
      <c r="T406" s="140">
        <f t="shared" si="73"/>
        <v>3</v>
      </c>
      <c r="U406" s="145" t="str">
        <f t="shared" si="67"/>
        <v>SUBDIRECCION DE GESTION CONTRACTUAL</v>
      </c>
      <c r="V406" s="132" t="str">
        <f t="shared" si="70"/>
        <v>CO-DC</v>
      </c>
      <c r="W406" s="145" t="str">
        <f t="shared" si="71"/>
        <v>Distrito Capital de Bogotá</v>
      </c>
      <c r="X406" s="146" t="s">
        <v>307</v>
      </c>
      <c r="Y406" s="132">
        <v>2427400</v>
      </c>
      <c r="Z406" s="148" t="s">
        <v>94</v>
      </c>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249"/>
    </row>
    <row r="407" spans="1:85" s="145" customFormat="1" ht="12.75" customHeight="1" x14ac:dyDescent="0.2">
      <c r="A407" s="131" t="s">
        <v>117</v>
      </c>
      <c r="B407" s="132">
        <v>21</v>
      </c>
      <c r="C407" s="133" t="s">
        <v>118</v>
      </c>
      <c r="D407" s="133" t="s">
        <v>125</v>
      </c>
      <c r="E407" s="134"/>
      <c r="F407" s="134">
        <v>104381910</v>
      </c>
      <c r="G407" s="134"/>
      <c r="H407" s="135" t="s">
        <v>62</v>
      </c>
      <c r="I407" s="136" t="s">
        <v>601</v>
      </c>
      <c r="J407" s="150">
        <v>1</v>
      </c>
      <c r="K407" s="150">
        <v>1</v>
      </c>
      <c r="L407" s="150">
        <v>10</v>
      </c>
      <c r="M407" s="132">
        <f t="shared" si="64"/>
        <v>1</v>
      </c>
      <c r="N407" s="140" t="s">
        <v>36</v>
      </c>
      <c r="O407" s="141" t="str">
        <f>IF(ISBLANK(N407),"",VLOOKUP(N407,[23]Parámetros!$G$2:$H$23,2,FALSE))</f>
        <v xml:space="preserve">Contratación directa (con ofertas) </v>
      </c>
      <c r="P407" s="142">
        <f t="shared" si="72"/>
        <v>1</v>
      </c>
      <c r="Q407" s="143">
        <f t="shared" si="65"/>
        <v>104381910</v>
      </c>
      <c r="R407" s="143">
        <f t="shared" si="66"/>
        <v>104381910</v>
      </c>
      <c r="S407" s="144" t="s">
        <v>222</v>
      </c>
      <c r="T407" s="140">
        <f t="shared" si="73"/>
        <v>0</v>
      </c>
      <c r="U407" s="145" t="str">
        <f t="shared" si="67"/>
        <v>SUBDIRECCION DE GESTION CONTRACTUAL</v>
      </c>
      <c r="V407" s="132" t="str">
        <f t="shared" si="70"/>
        <v>CO-DC</v>
      </c>
      <c r="W407" s="145" t="str">
        <f t="shared" si="71"/>
        <v>Distrito Capital de Bogotá</v>
      </c>
      <c r="X407" s="146" t="s">
        <v>307</v>
      </c>
      <c r="Y407" s="132">
        <v>2427400</v>
      </c>
      <c r="Z407" s="148" t="s">
        <v>94</v>
      </c>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249"/>
    </row>
    <row r="408" spans="1:85" s="250" customFormat="1" ht="13.9" customHeight="1" x14ac:dyDescent="0.2">
      <c r="A408" s="131" t="s">
        <v>117</v>
      </c>
      <c r="B408" s="132">
        <v>22</v>
      </c>
      <c r="C408" s="133" t="s">
        <v>118</v>
      </c>
      <c r="D408" s="133" t="s">
        <v>125</v>
      </c>
      <c r="E408" s="134"/>
      <c r="F408" s="134">
        <v>25000000</v>
      </c>
      <c r="G408" s="134"/>
      <c r="H408" s="135">
        <v>81111805</v>
      </c>
      <c r="I408" s="136" t="s">
        <v>456</v>
      </c>
      <c r="J408" s="150">
        <v>1</v>
      </c>
      <c r="K408" s="150">
        <v>1</v>
      </c>
      <c r="L408" s="150">
        <v>10</v>
      </c>
      <c r="M408" s="132">
        <f t="shared" si="64"/>
        <v>1</v>
      </c>
      <c r="N408" s="140" t="s">
        <v>36</v>
      </c>
      <c r="O408" s="141" t="str">
        <f>IF(ISBLANK(N408),"",VLOOKUP(N408,[23]Parámetros!$G$2:$H$23,2,FALSE))</f>
        <v xml:space="preserve">Contratación directa (con ofertas) </v>
      </c>
      <c r="P408" s="142">
        <f t="shared" si="72"/>
        <v>1</v>
      </c>
      <c r="Q408" s="143">
        <f t="shared" si="65"/>
        <v>25000000</v>
      </c>
      <c r="R408" s="143">
        <f t="shared" si="66"/>
        <v>25000000</v>
      </c>
      <c r="S408" s="144" t="s">
        <v>222</v>
      </c>
      <c r="T408" s="140">
        <f t="shared" si="73"/>
        <v>0</v>
      </c>
      <c r="U408" s="145" t="str">
        <f t="shared" si="67"/>
        <v>SUBDIRECCION DE GESTION CONTRACTUAL</v>
      </c>
      <c r="V408" s="132" t="str">
        <f t="shared" si="70"/>
        <v>CO-DC</v>
      </c>
      <c r="W408" s="145" t="str">
        <f t="shared" si="71"/>
        <v>Distrito Capital de Bogotá</v>
      </c>
      <c r="X408" s="146" t="s">
        <v>307</v>
      </c>
      <c r="Y408" s="132">
        <v>2427400</v>
      </c>
      <c r="Z408" s="148" t="s">
        <v>94</v>
      </c>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249"/>
    </row>
    <row r="409" spans="1:85" s="250" customFormat="1" ht="13.9" customHeight="1" x14ac:dyDescent="0.2">
      <c r="A409" s="131" t="s">
        <v>117</v>
      </c>
      <c r="B409" s="132">
        <v>23</v>
      </c>
      <c r="C409" s="133" t="s">
        <v>118</v>
      </c>
      <c r="D409" s="133" t="s">
        <v>59</v>
      </c>
      <c r="E409" s="134"/>
      <c r="F409" s="134">
        <v>86393971</v>
      </c>
      <c r="G409" s="134"/>
      <c r="H409" s="135" t="s">
        <v>122</v>
      </c>
      <c r="I409" s="136" t="s">
        <v>457</v>
      </c>
      <c r="J409" s="150">
        <v>1</v>
      </c>
      <c r="K409" s="150">
        <v>1</v>
      </c>
      <c r="L409" s="150">
        <v>11</v>
      </c>
      <c r="M409" s="132">
        <f t="shared" si="64"/>
        <v>1</v>
      </c>
      <c r="N409" s="140" t="s">
        <v>53</v>
      </c>
      <c r="O409" s="141" t="str">
        <f>IF(ISBLANK(N409),"",VLOOKUP(N409,[23]Parámetros!$G$2:$H$23,2,FALSE))</f>
        <v>Seléccion abreviada - acuerdo marco</v>
      </c>
      <c r="P409" s="142">
        <f t="shared" si="72"/>
        <v>1</v>
      </c>
      <c r="Q409" s="143">
        <f t="shared" si="65"/>
        <v>86393971</v>
      </c>
      <c r="R409" s="143">
        <f t="shared" si="66"/>
        <v>86393971</v>
      </c>
      <c r="S409" s="144" t="s">
        <v>222</v>
      </c>
      <c r="T409" s="140">
        <f t="shared" si="73"/>
        <v>0</v>
      </c>
      <c r="U409" s="145" t="str">
        <f t="shared" si="67"/>
        <v>SUBDIRECCION DE GESTION CONTRACTUAL</v>
      </c>
      <c r="V409" s="132" t="str">
        <f t="shared" si="70"/>
        <v>CO-DC</v>
      </c>
      <c r="W409" s="145" t="str">
        <f t="shared" si="71"/>
        <v>Distrito Capital de Bogotá</v>
      </c>
      <c r="X409" s="146" t="s">
        <v>307</v>
      </c>
      <c r="Y409" s="132">
        <v>2427400</v>
      </c>
      <c r="Z409" s="148" t="s">
        <v>94</v>
      </c>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249"/>
    </row>
    <row r="410" spans="1:85" s="250" customFormat="1" ht="13.9" customHeight="1" x14ac:dyDescent="0.2">
      <c r="A410" s="131" t="s">
        <v>117</v>
      </c>
      <c r="B410" s="132">
        <v>24</v>
      </c>
      <c r="C410" s="133" t="s">
        <v>118</v>
      </c>
      <c r="D410" s="133" t="s">
        <v>57</v>
      </c>
      <c r="E410" s="134"/>
      <c r="F410" s="134">
        <v>52127289</v>
      </c>
      <c r="G410" s="134"/>
      <c r="H410" s="135" t="s">
        <v>122</v>
      </c>
      <c r="I410" s="136" t="s">
        <v>458</v>
      </c>
      <c r="J410" s="150">
        <v>1</v>
      </c>
      <c r="K410" s="150">
        <v>1</v>
      </c>
      <c r="L410" s="150">
        <v>11</v>
      </c>
      <c r="M410" s="132">
        <f t="shared" si="64"/>
        <v>1</v>
      </c>
      <c r="N410" s="140" t="s">
        <v>53</v>
      </c>
      <c r="O410" s="141" t="str">
        <f>IF(ISBLANK(N410),"",VLOOKUP(N410,[23]Parámetros!$G$2:$H$23,2,FALSE))</f>
        <v>Seléccion abreviada - acuerdo marco</v>
      </c>
      <c r="P410" s="142">
        <f t="shared" si="72"/>
        <v>1</v>
      </c>
      <c r="Q410" s="143">
        <f t="shared" si="65"/>
        <v>52127289</v>
      </c>
      <c r="R410" s="143">
        <f t="shared" si="66"/>
        <v>52127289</v>
      </c>
      <c r="S410" s="144" t="s">
        <v>222</v>
      </c>
      <c r="T410" s="140">
        <f t="shared" si="73"/>
        <v>0</v>
      </c>
      <c r="U410" s="145" t="str">
        <f t="shared" si="67"/>
        <v>SUBDIRECCION DE GESTION CONTRACTUAL</v>
      </c>
      <c r="V410" s="132" t="str">
        <f t="shared" si="70"/>
        <v>CO-DC</v>
      </c>
      <c r="W410" s="145" t="str">
        <f t="shared" si="71"/>
        <v>Distrito Capital de Bogotá</v>
      </c>
      <c r="X410" s="146" t="s">
        <v>307</v>
      </c>
      <c r="Y410" s="132">
        <v>2427400</v>
      </c>
      <c r="Z410" s="148" t="s">
        <v>94</v>
      </c>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249"/>
    </row>
    <row r="411" spans="1:85" s="250" customFormat="1" ht="13.9" customHeight="1" x14ac:dyDescent="0.2">
      <c r="A411" s="131" t="s">
        <v>117</v>
      </c>
      <c r="B411" s="132">
        <v>25</v>
      </c>
      <c r="C411" s="133" t="s">
        <v>118</v>
      </c>
      <c r="D411" s="133" t="s">
        <v>63</v>
      </c>
      <c r="E411" s="134"/>
      <c r="F411" s="134">
        <v>70000000</v>
      </c>
      <c r="G411" s="134"/>
      <c r="H411" s="135">
        <v>73152108</v>
      </c>
      <c r="I411" s="136" t="s">
        <v>433</v>
      </c>
      <c r="J411" s="150">
        <v>4</v>
      </c>
      <c r="K411" s="150">
        <v>5</v>
      </c>
      <c r="L411" s="150">
        <v>7</v>
      </c>
      <c r="M411" s="132">
        <f t="shared" si="64"/>
        <v>1</v>
      </c>
      <c r="N411" s="140" t="s">
        <v>304</v>
      </c>
      <c r="O411" s="141" t="str">
        <f>IF(ISBLANK(N411),"",VLOOKUP(N411,[23]Parámetros!$G$2:$H$23,2,FALSE))</f>
        <v>Selección abreviada menor cuantía</v>
      </c>
      <c r="P411" s="142">
        <f t="shared" si="72"/>
        <v>1</v>
      </c>
      <c r="Q411" s="143">
        <f t="shared" si="65"/>
        <v>70000000</v>
      </c>
      <c r="R411" s="143">
        <f t="shared" si="66"/>
        <v>70000000</v>
      </c>
      <c r="S411" s="144" t="s">
        <v>222</v>
      </c>
      <c r="T411" s="140">
        <f t="shared" si="73"/>
        <v>0</v>
      </c>
      <c r="U411" s="145" t="str">
        <f t="shared" si="67"/>
        <v>SUBDIRECCION DE GESTION CONTRACTUAL</v>
      </c>
      <c r="V411" s="132" t="str">
        <f t="shared" si="70"/>
        <v>CO-DC</v>
      </c>
      <c r="W411" s="145" t="str">
        <f t="shared" si="71"/>
        <v>Distrito Capital de Bogotá</v>
      </c>
      <c r="X411" s="146" t="s">
        <v>307</v>
      </c>
      <c r="Y411" s="132">
        <v>2427400</v>
      </c>
      <c r="Z411" s="148" t="s">
        <v>94</v>
      </c>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249"/>
    </row>
    <row r="412" spans="1:85" s="250" customFormat="1" ht="13.9" customHeight="1" x14ac:dyDescent="0.2">
      <c r="A412" s="131" t="s">
        <v>117</v>
      </c>
      <c r="B412" s="132">
        <v>26</v>
      </c>
      <c r="C412" s="133" t="s">
        <v>446</v>
      </c>
      <c r="D412" s="133" t="s">
        <v>65</v>
      </c>
      <c r="E412" s="134"/>
      <c r="F412" s="179">
        <f>70669974+105357767</f>
        <v>176027741</v>
      </c>
      <c r="G412" s="134"/>
      <c r="H412" s="135" t="s">
        <v>42</v>
      </c>
      <c r="I412" s="136" t="s">
        <v>590</v>
      </c>
      <c r="J412" s="137">
        <v>3</v>
      </c>
      <c r="K412" s="138">
        <v>4</v>
      </c>
      <c r="L412" s="139">
        <v>9</v>
      </c>
      <c r="M412" s="132">
        <f t="shared" si="64"/>
        <v>1</v>
      </c>
      <c r="N412" s="140" t="s">
        <v>61</v>
      </c>
      <c r="O412" s="141" t="str">
        <f>IF(ISBLANK(N412),"",VLOOKUP(N412,[15]Parámetros!$G$2:$H$23,2,FALSE))</f>
        <v>Contratación régimen especial - Selección de comisionista</v>
      </c>
      <c r="P412" s="142">
        <f t="shared" si="72"/>
        <v>1</v>
      </c>
      <c r="Q412" s="143">
        <f t="shared" si="65"/>
        <v>176027741</v>
      </c>
      <c r="R412" s="143">
        <f t="shared" si="66"/>
        <v>176027741</v>
      </c>
      <c r="S412" s="144" t="s">
        <v>222</v>
      </c>
      <c r="T412" s="140">
        <f t="shared" si="73"/>
        <v>0</v>
      </c>
      <c r="U412" s="145" t="str">
        <f t="shared" si="67"/>
        <v>SUBDIRECCION DE GESTION CONTRACTUAL</v>
      </c>
      <c r="V412" s="132" t="str">
        <f t="shared" si="70"/>
        <v>CO-DC</v>
      </c>
      <c r="W412" s="145" t="str">
        <f t="shared" si="71"/>
        <v>Distrito Capital de Bogotá</v>
      </c>
      <c r="X412" s="146" t="s">
        <v>307</v>
      </c>
      <c r="Y412" s="132">
        <v>2427400</v>
      </c>
      <c r="Z412" s="148" t="s">
        <v>94</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249"/>
    </row>
    <row r="413" spans="1:85" s="145" customFormat="1" ht="12.75" customHeight="1" x14ac:dyDescent="0.2">
      <c r="A413" s="251" t="s">
        <v>126</v>
      </c>
      <c r="B413" s="147">
        <v>1</v>
      </c>
      <c r="C413" s="244" t="s">
        <v>580</v>
      </c>
      <c r="D413" s="154" t="s">
        <v>127</v>
      </c>
      <c r="E413" s="155"/>
      <c r="F413" s="155">
        <v>577843847</v>
      </c>
      <c r="G413" s="155"/>
      <c r="H413" s="154">
        <v>80111600</v>
      </c>
      <c r="I413" s="244" t="s">
        <v>459</v>
      </c>
      <c r="J413" s="147">
        <v>1</v>
      </c>
      <c r="K413" s="147">
        <v>1</v>
      </c>
      <c r="L413" s="147">
        <v>12</v>
      </c>
      <c r="M413" s="132">
        <f t="shared" si="64"/>
        <v>1</v>
      </c>
      <c r="N413" s="140" t="s">
        <v>216</v>
      </c>
      <c r="O413" s="141" t="str">
        <f>IF(ISBLANK(N413),"",VLOOKUP(N413,[2]Parámetros!$G$2:$H$23,2,FALSE))</f>
        <v>Contratación directa.</v>
      </c>
      <c r="P413" s="245">
        <f t="shared" si="72"/>
        <v>1</v>
      </c>
      <c r="Q413" s="143">
        <f t="shared" si="65"/>
        <v>577843847</v>
      </c>
      <c r="R413" s="143">
        <f t="shared" si="66"/>
        <v>577843847</v>
      </c>
      <c r="S413" s="246" t="s">
        <v>222</v>
      </c>
      <c r="T413" s="245">
        <f t="shared" si="73"/>
        <v>0</v>
      </c>
      <c r="U413" s="145" t="str">
        <f t="shared" si="67"/>
        <v>SUBDIRECCION DE GESTION CONTRACTUAL</v>
      </c>
      <c r="V413" s="245" t="str">
        <f t="shared" si="70"/>
        <v>CO-DC</v>
      </c>
      <c r="W413" s="245" t="str">
        <f t="shared" si="71"/>
        <v>Distrito Capital de Bogotá</v>
      </c>
      <c r="X413" s="154" t="s">
        <v>460</v>
      </c>
      <c r="Y413" s="147">
        <v>2427400</v>
      </c>
      <c r="Z413" s="157" t="s">
        <v>128</v>
      </c>
      <c r="AA413" s="248"/>
      <c r="AB413" s="248"/>
      <c r="AC413" s="248"/>
      <c r="AD413" s="248"/>
      <c r="AE413" s="248"/>
      <c r="AF413" s="248"/>
      <c r="AG413" s="248"/>
      <c r="AH413" s="248"/>
      <c r="AI413" s="248"/>
      <c r="AJ413" s="248"/>
      <c r="AK413" s="248"/>
      <c r="AL413" s="248"/>
      <c r="AM413" s="248"/>
      <c r="AN413" s="248"/>
      <c r="AO413" s="248"/>
      <c r="AP413" s="248"/>
      <c r="AQ413" s="248"/>
      <c r="AR413" s="248"/>
      <c r="AS413" s="248"/>
      <c r="AT413" s="248"/>
      <c r="AU413" s="152"/>
      <c r="AV413" s="152"/>
      <c r="AW413" s="152"/>
      <c r="AX413" s="152"/>
      <c r="AY413" s="152"/>
      <c r="AZ413" s="152"/>
      <c r="BA413" s="152"/>
      <c r="BB413" s="152"/>
      <c r="BC413" s="152"/>
      <c r="BD413" s="152"/>
      <c r="BE413" s="152"/>
      <c r="BF413" s="152"/>
      <c r="BG413" s="152"/>
      <c r="BH413" s="152"/>
      <c r="BI413" s="152"/>
      <c r="BJ413" s="152"/>
      <c r="BK413" s="152"/>
      <c r="BL413" s="152"/>
      <c r="BM413" s="152"/>
      <c r="BN413" s="152"/>
      <c r="BO413" s="152"/>
      <c r="BP413" s="152"/>
      <c r="BQ413" s="152"/>
      <c r="BR413" s="152"/>
      <c r="BS413" s="152"/>
      <c r="BT413" s="152"/>
      <c r="BU413" s="152"/>
      <c r="BV413" s="152"/>
      <c r="BW413" s="152"/>
      <c r="BX413" s="152"/>
      <c r="BY413" s="152"/>
      <c r="BZ413" s="152"/>
      <c r="CA413" s="152"/>
      <c r="CB413" s="152"/>
      <c r="CC413" s="152"/>
      <c r="CD413" s="152"/>
      <c r="CE413" s="152"/>
      <c r="CF413" s="152"/>
      <c r="CG413" s="252"/>
    </row>
    <row r="414" spans="1:85" s="250" customFormat="1" ht="13.9" customHeight="1" x14ac:dyDescent="0.2">
      <c r="A414" s="251" t="s">
        <v>126</v>
      </c>
      <c r="B414" s="147">
        <v>2</v>
      </c>
      <c r="C414" s="244" t="s">
        <v>580</v>
      </c>
      <c r="D414" s="154" t="s">
        <v>127</v>
      </c>
      <c r="E414" s="155"/>
      <c r="F414" s="155">
        <v>425000000</v>
      </c>
      <c r="G414" s="155"/>
      <c r="H414" s="154" t="s">
        <v>741</v>
      </c>
      <c r="I414" s="244" t="s">
        <v>461</v>
      </c>
      <c r="J414" s="147">
        <v>3</v>
      </c>
      <c r="K414" s="147">
        <v>5</v>
      </c>
      <c r="L414" s="147">
        <v>2</v>
      </c>
      <c r="M414" s="132">
        <f t="shared" si="64"/>
        <v>1</v>
      </c>
      <c r="N414" s="140" t="s">
        <v>304</v>
      </c>
      <c r="O414" s="141" t="str">
        <f>IF(ISBLANK(N414),"",VLOOKUP(N414,[2]Parámetros!$G$2:$H$23,2,FALSE))</f>
        <v>Selección abreviada menor cuantía</v>
      </c>
      <c r="P414" s="245">
        <f t="shared" si="72"/>
        <v>1</v>
      </c>
      <c r="Q414" s="143">
        <f t="shared" si="65"/>
        <v>425000000</v>
      </c>
      <c r="R414" s="143">
        <f t="shared" si="66"/>
        <v>425000000</v>
      </c>
      <c r="S414" s="246" t="s">
        <v>222</v>
      </c>
      <c r="T414" s="245">
        <f t="shared" si="73"/>
        <v>0</v>
      </c>
      <c r="U414" s="145" t="str">
        <f t="shared" si="67"/>
        <v>SUBDIRECCION DE GESTION CONTRACTUAL</v>
      </c>
      <c r="V414" s="245" t="str">
        <f t="shared" si="70"/>
        <v>CO-DC</v>
      </c>
      <c r="W414" s="245" t="str">
        <f t="shared" si="71"/>
        <v>Distrito Capital de Bogotá</v>
      </c>
      <c r="X414" s="154" t="s">
        <v>460</v>
      </c>
      <c r="Y414" s="147">
        <v>2427400</v>
      </c>
      <c r="Z414" s="157" t="s">
        <v>128</v>
      </c>
      <c r="AA414" s="248"/>
      <c r="AB414" s="248"/>
      <c r="AC414" s="248"/>
      <c r="AD414" s="248"/>
      <c r="AE414" s="248"/>
      <c r="AF414" s="248"/>
      <c r="AG414" s="248"/>
      <c r="AH414" s="248"/>
      <c r="AI414" s="248"/>
      <c r="AJ414" s="248"/>
      <c r="AK414" s="248"/>
      <c r="AL414" s="248"/>
      <c r="AM414" s="248"/>
      <c r="AN414" s="248"/>
      <c r="AO414" s="248"/>
      <c r="AP414" s="248"/>
      <c r="AQ414" s="248"/>
      <c r="AR414" s="248"/>
      <c r="AS414" s="248"/>
      <c r="AT414" s="248"/>
      <c r="AU414" s="152"/>
      <c r="AV414" s="152"/>
      <c r="AW414" s="152"/>
      <c r="AX414" s="152"/>
      <c r="AY414" s="152"/>
      <c r="AZ414" s="152"/>
      <c r="BA414" s="152"/>
      <c r="BB414" s="152"/>
      <c r="BC414" s="152"/>
      <c r="BD414" s="152"/>
      <c r="BE414" s="152"/>
      <c r="BF414" s="152"/>
      <c r="BG414" s="152"/>
      <c r="BH414" s="152"/>
      <c r="BI414" s="152"/>
      <c r="BJ414" s="152"/>
      <c r="BK414" s="152"/>
      <c r="BL414" s="152"/>
      <c r="BM414" s="152"/>
      <c r="BN414" s="152"/>
      <c r="BO414" s="152"/>
      <c r="BP414" s="152"/>
      <c r="BQ414" s="152"/>
      <c r="BR414" s="152"/>
      <c r="BS414" s="152"/>
      <c r="BT414" s="152"/>
      <c r="BU414" s="152"/>
      <c r="BV414" s="152"/>
      <c r="BW414" s="152"/>
      <c r="BX414" s="152"/>
      <c r="BY414" s="152"/>
      <c r="BZ414" s="152"/>
      <c r="CA414" s="152"/>
      <c r="CB414" s="152"/>
      <c r="CC414" s="152"/>
      <c r="CD414" s="152"/>
      <c r="CE414" s="152"/>
      <c r="CF414" s="152"/>
      <c r="CG414" s="252"/>
    </row>
    <row r="415" spans="1:85" s="250" customFormat="1" ht="13.9" customHeight="1" x14ac:dyDescent="0.2">
      <c r="A415" s="251" t="s">
        <v>126</v>
      </c>
      <c r="B415" s="147">
        <v>3</v>
      </c>
      <c r="C415" s="244" t="s">
        <v>580</v>
      </c>
      <c r="D415" s="154" t="s">
        <v>127</v>
      </c>
      <c r="E415" s="155"/>
      <c r="F415" s="155">
        <v>700000000</v>
      </c>
      <c r="G415" s="155"/>
      <c r="H415" s="154">
        <v>43233001</v>
      </c>
      <c r="I415" s="244" t="s">
        <v>462</v>
      </c>
      <c r="J415" s="147">
        <v>2</v>
      </c>
      <c r="K415" s="147">
        <v>3</v>
      </c>
      <c r="L415" s="147">
        <v>10</v>
      </c>
      <c r="M415" s="132">
        <f t="shared" si="64"/>
        <v>1</v>
      </c>
      <c r="N415" s="140" t="s">
        <v>36</v>
      </c>
      <c r="O415" s="141" t="str">
        <f>IF(ISBLANK(N415),"",VLOOKUP(N415,[2]Parámetros!$G$2:$H$23,2,FALSE))</f>
        <v xml:space="preserve">Contratación directa (con ofertas) </v>
      </c>
      <c r="P415" s="245">
        <f t="shared" si="72"/>
        <v>1</v>
      </c>
      <c r="Q415" s="143">
        <f t="shared" si="65"/>
        <v>700000000</v>
      </c>
      <c r="R415" s="143">
        <f t="shared" si="66"/>
        <v>700000000</v>
      </c>
      <c r="S415" s="246" t="s">
        <v>222</v>
      </c>
      <c r="T415" s="245">
        <f t="shared" si="73"/>
        <v>0</v>
      </c>
      <c r="U415" s="145" t="str">
        <f t="shared" si="67"/>
        <v>SUBDIRECCION DE GESTION CONTRACTUAL</v>
      </c>
      <c r="V415" s="245" t="str">
        <f t="shared" si="70"/>
        <v>CO-DC</v>
      </c>
      <c r="W415" s="245" t="str">
        <f t="shared" si="71"/>
        <v>Distrito Capital de Bogotá</v>
      </c>
      <c r="X415" s="154" t="s">
        <v>460</v>
      </c>
      <c r="Y415" s="147">
        <v>2427400</v>
      </c>
      <c r="Z415" s="157" t="s">
        <v>128</v>
      </c>
      <c r="AA415" s="248"/>
      <c r="AB415" s="248"/>
      <c r="AC415" s="248"/>
      <c r="AD415" s="248"/>
      <c r="AE415" s="248"/>
      <c r="AF415" s="248"/>
      <c r="AG415" s="248"/>
      <c r="AH415" s="248"/>
      <c r="AI415" s="248"/>
      <c r="AJ415" s="248"/>
      <c r="AK415" s="248"/>
      <c r="AL415" s="248"/>
      <c r="AM415" s="248"/>
      <c r="AN415" s="248"/>
      <c r="AO415" s="248"/>
      <c r="AP415" s="248"/>
      <c r="AQ415" s="248"/>
      <c r="AR415" s="248"/>
      <c r="AS415" s="248"/>
      <c r="AT415" s="248"/>
      <c r="AU415" s="152"/>
      <c r="AV415" s="152"/>
      <c r="AW415" s="152"/>
      <c r="AX415" s="152"/>
      <c r="AY415" s="152"/>
      <c r="AZ415" s="152"/>
      <c r="BA415" s="152"/>
      <c r="BB415" s="152"/>
      <c r="BC415" s="152"/>
      <c r="BD415" s="152"/>
      <c r="BE415" s="152"/>
      <c r="BF415" s="152"/>
      <c r="BG415" s="152"/>
      <c r="BH415" s="152"/>
      <c r="BI415" s="152"/>
      <c r="BJ415" s="152"/>
      <c r="BK415" s="152"/>
      <c r="BL415" s="152"/>
      <c r="BM415" s="152"/>
      <c r="BN415" s="152"/>
      <c r="BO415" s="152"/>
      <c r="BP415" s="152"/>
      <c r="BQ415" s="152"/>
      <c r="BR415" s="152"/>
      <c r="BS415" s="152"/>
      <c r="BT415" s="152"/>
      <c r="BU415" s="152"/>
      <c r="BV415" s="152"/>
      <c r="BW415" s="152"/>
      <c r="BX415" s="152"/>
      <c r="BY415" s="152"/>
      <c r="BZ415" s="152"/>
      <c r="CA415" s="152"/>
      <c r="CB415" s="152"/>
      <c r="CC415" s="152"/>
      <c r="CD415" s="152"/>
      <c r="CE415" s="152"/>
      <c r="CF415" s="152"/>
      <c r="CG415" s="252"/>
    </row>
    <row r="416" spans="1:85" s="250" customFormat="1" ht="13.9" customHeight="1" x14ac:dyDescent="0.2">
      <c r="A416" s="251" t="s">
        <v>126</v>
      </c>
      <c r="B416" s="147">
        <v>4</v>
      </c>
      <c r="C416" s="244" t="s">
        <v>580</v>
      </c>
      <c r="D416" s="154" t="s">
        <v>127</v>
      </c>
      <c r="E416" s="155"/>
      <c r="F416" s="155">
        <v>100000000</v>
      </c>
      <c r="G416" s="155"/>
      <c r="H416" s="154" t="s">
        <v>736</v>
      </c>
      <c r="I416" s="244" t="s">
        <v>464</v>
      </c>
      <c r="J416" s="147">
        <v>2</v>
      </c>
      <c r="K416" s="147">
        <v>3</v>
      </c>
      <c r="L416" s="147">
        <v>3</v>
      </c>
      <c r="M416" s="132">
        <f t="shared" ref="M416:M479" si="74">IF(ISBLANK(J416),"",1)</f>
        <v>1</v>
      </c>
      <c r="N416" s="140" t="s">
        <v>304</v>
      </c>
      <c r="O416" s="141" t="str">
        <f>IF(ISBLANK(N416),"",VLOOKUP(N416,[2]Parámetros!$G$2:$H$23,2,FALSE))</f>
        <v>Selección abreviada menor cuantía</v>
      </c>
      <c r="P416" s="245">
        <f t="shared" si="72"/>
        <v>1</v>
      </c>
      <c r="Q416" s="143">
        <f t="shared" ref="Q416:Q479" si="75">+E416+F416+G416</f>
        <v>100000000</v>
      </c>
      <c r="R416" s="143">
        <f t="shared" ref="R416:R479" si="76">+F416</f>
        <v>100000000</v>
      </c>
      <c r="S416" s="246" t="s">
        <v>222</v>
      </c>
      <c r="T416" s="245">
        <f t="shared" si="73"/>
        <v>0</v>
      </c>
      <c r="U416" s="145" t="str">
        <f t="shared" ref="U416:U479" si="77">IF(ISBLANK(N416),"","SUBDIRECCION DE GESTION CONTRACTUAL")</f>
        <v>SUBDIRECCION DE GESTION CONTRACTUAL</v>
      </c>
      <c r="V416" s="245" t="str">
        <f t="shared" si="70"/>
        <v>CO-DC</v>
      </c>
      <c r="W416" s="245" t="str">
        <f t="shared" si="71"/>
        <v>Distrito Capital de Bogotá</v>
      </c>
      <c r="X416" s="154" t="s">
        <v>460</v>
      </c>
      <c r="Y416" s="147">
        <v>2427400</v>
      </c>
      <c r="Z416" s="157" t="s">
        <v>128</v>
      </c>
      <c r="AA416" s="248"/>
      <c r="AB416" s="248"/>
      <c r="AC416" s="248"/>
      <c r="AD416" s="248"/>
      <c r="AE416" s="248"/>
      <c r="AF416" s="248"/>
      <c r="AG416" s="248"/>
      <c r="AH416" s="248"/>
      <c r="AI416" s="248"/>
      <c r="AJ416" s="248"/>
      <c r="AK416" s="248"/>
      <c r="AL416" s="248"/>
      <c r="AM416" s="248"/>
      <c r="AN416" s="248"/>
      <c r="AO416" s="248"/>
      <c r="AP416" s="248"/>
      <c r="AQ416" s="248"/>
      <c r="AR416" s="248"/>
      <c r="AS416" s="248"/>
      <c r="AT416" s="248"/>
      <c r="AU416" s="152"/>
      <c r="AV416" s="152"/>
      <c r="AW416" s="152"/>
      <c r="AX416" s="152"/>
      <c r="AY416" s="152"/>
      <c r="AZ416" s="152"/>
      <c r="BA416" s="152"/>
      <c r="BB416" s="152"/>
      <c r="BC416" s="152"/>
      <c r="BD416" s="152"/>
      <c r="BE416" s="152"/>
      <c r="BF416" s="152"/>
      <c r="BG416" s="152"/>
      <c r="BH416" s="152"/>
      <c r="BI416" s="152"/>
      <c r="BJ416" s="152"/>
      <c r="BK416" s="152"/>
      <c r="BL416" s="152"/>
      <c r="BM416" s="152"/>
      <c r="BN416" s="152"/>
      <c r="BO416" s="152"/>
      <c r="BP416" s="152"/>
      <c r="BQ416" s="152"/>
      <c r="BR416" s="152"/>
      <c r="BS416" s="152"/>
      <c r="BT416" s="152"/>
      <c r="BU416" s="152"/>
      <c r="BV416" s="152"/>
      <c r="BW416" s="152"/>
      <c r="BX416" s="152"/>
      <c r="BY416" s="152"/>
      <c r="BZ416" s="152"/>
      <c r="CA416" s="152"/>
      <c r="CB416" s="152"/>
      <c r="CC416" s="152"/>
      <c r="CD416" s="152"/>
      <c r="CE416" s="152"/>
      <c r="CF416" s="152"/>
      <c r="CG416" s="252"/>
    </row>
    <row r="417" spans="1:85" s="250" customFormat="1" ht="13.9" customHeight="1" x14ac:dyDescent="0.2">
      <c r="A417" s="251" t="s">
        <v>126</v>
      </c>
      <c r="B417" s="147">
        <v>5</v>
      </c>
      <c r="C417" s="244" t="s">
        <v>580</v>
      </c>
      <c r="D417" s="154" t="s">
        <v>127</v>
      </c>
      <c r="E417" s="155"/>
      <c r="F417" s="155">
        <v>4459914231</v>
      </c>
      <c r="G417" s="155"/>
      <c r="H417" s="154" t="s">
        <v>744</v>
      </c>
      <c r="I417" s="244" t="s">
        <v>465</v>
      </c>
      <c r="J417" s="147">
        <v>2</v>
      </c>
      <c r="K417" s="147">
        <v>3</v>
      </c>
      <c r="L417" s="147">
        <v>9</v>
      </c>
      <c r="M417" s="132">
        <f t="shared" si="74"/>
        <v>1</v>
      </c>
      <c r="N417" s="140" t="s">
        <v>36</v>
      </c>
      <c r="O417" s="141" t="str">
        <f>IF(ISBLANK(N417),"",VLOOKUP(N417,[2]Parámetros!$G$2:$H$23,2,FALSE))</f>
        <v xml:space="preserve">Contratación directa (con ofertas) </v>
      </c>
      <c r="P417" s="245">
        <f t="shared" si="72"/>
        <v>1</v>
      </c>
      <c r="Q417" s="143">
        <f t="shared" si="75"/>
        <v>4459914231</v>
      </c>
      <c r="R417" s="143">
        <f t="shared" si="76"/>
        <v>4459914231</v>
      </c>
      <c r="S417" s="246" t="s">
        <v>222</v>
      </c>
      <c r="T417" s="245">
        <f t="shared" si="73"/>
        <v>0</v>
      </c>
      <c r="U417" s="145" t="str">
        <f t="shared" si="77"/>
        <v>SUBDIRECCION DE GESTION CONTRACTUAL</v>
      </c>
      <c r="V417" s="245" t="str">
        <f t="shared" si="70"/>
        <v>CO-DC</v>
      </c>
      <c r="W417" s="245" t="str">
        <f t="shared" si="71"/>
        <v>Distrito Capital de Bogotá</v>
      </c>
      <c r="X417" s="154" t="s">
        <v>460</v>
      </c>
      <c r="Y417" s="147">
        <v>2427400</v>
      </c>
      <c r="Z417" s="157" t="s">
        <v>128</v>
      </c>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152"/>
      <c r="AV417" s="152"/>
      <c r="AW417" s="152"/>
      <c r="AX417" s="152"/>
      <c r="AY417" s="152"/>
      <c r="AZ417" s="152"/>
      <c r="BA417" s="152"/>
      <c r="BB417" s="152"/>
      <c r="BC417" s="152"/>
      <c r="BD417" s="152"/>
      <c r="BE417" s="152"/>
      <c r="BF417" s="152"/>
      <c r="BG417" s="152"/>
      <c r="BH417" s="152"/>
      <c r="BI417" s="152"/>
      <c r="BJ417" s="152"/>
      <c r="BK417" s="152"/>
      <c r="BL417" s="152"/>
      <c r="BM417" s="152"/>
      <c r="BN417" s="152"/>
      <c r="BO417" s="152"/>
      <c r="BP417" s="152"/>
      <c r="BQ417" s="152"/>
      <c r="BR417" s="152"/>
      <c r="BS417" s="152"/>
      <c r="BT417" s="152"/>
      <c r="BU417" s="152"/>
      <c r="BV417" s="152"/>
      <c r="BW417" s="152"/>
      <c r="BX417" s="152"/>
      <c r="BY417" s="152"/>
      <c r="BZ417" s="152"/>
      <c r="CA417" s="152"/>
      <c r="CB417" s="152"/>
      <c r="CC417" s="152"/>
      <c r="CD417" s="152"/>
      <c r="CE417" s="152"/>
      <c r="CF417" s="152"/>
      <c r="CG417" s="252"/>
    </row>
    <row r="418" spans="1:85" s="250" customFormat="1" ht="13.9" customHeight="1" x14ac:dyDescent="0.2">
      <c r="A418" s="251" t="s">
        <v>126</v>
      </c>
      <c r="B418" s="147">
        <v>6</v>
      </c>
      <c r="C418" s="244" t="s">
        <v>580</v>
      </c>
      <c r="D418" s="154" t="s">
        <v>127</v>
      </c>
      <c r="E418" s="155"/>
      <c r="F418" s="155">
        <v>100000000</v>
      </c>
      <c r="G418" s="155"/>
      <c r="H418" s="154" t="s">
        <v>137</v>
      </c>
      <c r="I418" s="244" t="s">
        <v>466</v>
      </c>
      <c r="J418" s="147">
        <v>2</v>
      </c>
      <c r="K418" s="147">
        <v>3</v>
      </c>
      <c r="L418" s="147">
        <v>9</v>
      </c>
      <c r="M418" s="132">
        <f t="shared" si="74"/>
        <v>1</v>
      </c>
      <c r="N418" s="140" t="s">
        <v>53</v>
      </c>
      <c r="O418" s="141" t="str">
        <f>IF(ISBLANK(N418),"",VLOOKUP(N418,[2]Parámetros!$G$2:$H$23,2,FALSE))</f>
        <v>Seléccion abreviada - acuerdo marco</v>
      </c>
      <c r="P418" s="245">
        <f t="shared" si="72"/>
        <v>1</v>
      </c>
      <c r="Q418" s="143">
        <f t="shared" si="75"/>
        <v>100000000</v>
      </c>
      <c r="R418" s="143">
        <f t="shared" si="76"/>
        <v>100000000</v>
      </c>
      <c r="S418" s="246" t="s">
        <v>222</v>
      </c>
      <c r="T418" s="245">
        <f t="shared" si="73"/>
        <v>0</v>
      </c>
      <c r="U418" s="145" t="str">
        <f t="shared" si="77"/>
        <v>SUBDIRECCION DE GESTION CONTRACTUAL</v>
      </c>
      <c r="V418" s="245" t="str">
        <f t="shared" si="70"/>
        <v>CO-DC</v>
      </c>
      <c r="W418" s="245" t="str">
        <f t="shared" si="71"/>
        <v>Distrito Capital de Bogotá</v>
      </c>
      <c r="X418" s="154" t="s">
        <v>460</v>
      </c>
      <c r="Y418" s="147">
        <v>2427400</v>
      </c>
      <c r="Z418" s="157" t="s">
        <v>128</v>
      </c>
      <c r="AA418" s="248"/>
      <c r="AB418" s="248"/>
      <c r="AC418" s="248"/>
      <c r="AD418" s="248"/>
      <c r="AE418" s="248"/>
      <c r="AF418" s="248"/>
      <c r="AG418" s="248"/>
      <c r="AH418" s="248"/>
      <c r="AI418" s="248"/>
      <c r="AJ418" s="248"/>
      <c r="AK418" s="248"/>
      <c r="AL418" s="248"/>
      <c r="AM418" s="248"/>
      <c r="AN418" s="248"/>
      <c r="AO418" s="248"/>
      <c r="AP418" s="248"/>
      <c r="AQ418" s="248"/>
      <c r="AR418" s="248"/>
      <c r="AS418" s="248"/>
      <c r="AT418" s="248"/>
      <c r="AU418" s="152"/>
      <c r="AV418" s="152"/>
      <c r="AW418" s="152"/>
      <c r="AX418" s="152"/>
      <c r="AY418" s="152"/>
      <c r="AZ418" s="152"/>
      <c r="BA418" s="152"/>
      <c r="BB418" s="152"/>
      <c r="BC418" s="152"/>
      <c r="BD418" s="152"/>
      <c r="BE418" s="152"/>
      <c r="BF418" s="152"/>
      <c r="BG418" s="152"/>
      <c r="BH418" s="152"/>
      <c r="BI418" s="152"/>
      <c r="BJ418" s="152"/>
      <c r="BK418" s="152"/>
      <c r="BL418" s="152"/>
      <c r="BM418" s="152"/>
      <c r="BN418" s="152"/>
      <c r="BO418" s="152"/>
      <c r="BP418" s="152"/>
      <c r="BQ418" s="152"/>
      <c r="BR418" s="152"/>
      <c r="BS418" s="152"/>
      <c r="BT418" s="152"/>
      <c r="BU418" s="152"/>
      <c r="BV418" s="152"/>
      <c r="BW418" s="152"/>
      <c r="BX418" s="152"/>
      <c r="BY418" s="152"/>
      <c r="BZ418" s="152"/>
      <c r="CA418" s="152"/>
      <c r="CB418" s="152"/>
      <c r="CC418" s="152"/>
      <c r="CD418" s="152"/>
      <c r="CE418" s="152"/>
      <c r="CF418" s="152"/>
      <c r="CG418" s="252"/>
    </row>
    <row r="419" spans="1:85" s="145" customFormat="1" ht="12.75" customHeight="1" x14ac:dyDescent="0.2">
      <c r="A419" s="251" t="s">
        <v>126</v>
      </c>
      <c r="B419" s="147">
        <v>7</v>
      </c>
      <c r="C419" s="244" t="s">
        <v>129</v>
      </c>
      <c r="D419" s="154" t="s">
        <v>136</v>
      </c>
      <c r="E419" s="155"/>
      <c r="F419" s="155">
        <v>436360</v>
      </c>
      <c r="G419" s="155"/>
      <c r="H419" s="154" t="s">
        <v>137</v>
      </c>
      <c r="I419" s="244" t="s">
        <v>466</v>
      </c>
      <c r="J419" s="147">
        <v>2</v>
      </c>
      <c r="K419" s="147">
        <v>3</v>
      </c>
      <c r="L419" s="147">
        <v>9</v>
      </c>
      <c r="M419" s="132">
        <f t="shared" si="74"/>
        <v>1</v>
      </c>
      <c r="N419" s="140" t="s">
        <v>53</v>
      </c>
      <c r="O419" s="141" t="str">
        <f>IF(ISBLANK(N419),"",VLOOKUP(N419,[2]Parámetros!$G$2:$H$23,2,FALSE))</f>
        <v>Seléccion abreviada - acuerdo marco</v>
      </c>
      <c r="P419" s="245">
        <f t="shared" si="72"/>
        <v>1</v>
      </c>
      <c r="Q419" s="143">
        <f t="shared" si="75"/>
        <v>436360</v>
      </c>
      <c r="R419" s="143">
        <f t="shared" si="76"/>
        <v>436360</v>
      </c>
      <c r="S419" s="246" t="s">
        <v>222</v>
      </c>
      <c r="T419" s="245">
        <f t="shared" si="73"/>
        <v>0</v>
      </c>
      <c r="U419" s="145" t="str">
        <f t="shared" si="77"/>
        <v>SUBDIRECCION DE GESTION CONTRACTUAL</v>
      </c>
      <c r="V419" s="245" t="str">
        <f t="shared" si="70"/>
        <v>CO-DC</v>
      </c>
      <c r="W419" s="245" t="str">
        <f t="shared" si="71"/>
        <v>Distrito Capital de Bogotá</v>
      </c>
      <c r="X419" s="154" t="s">
        <v>467</v>
      </c>
      <c r="Y419" s="147">
        <v>2427400</v>
      </c>
      <c r="Z419" s="157" t="s">
        <v>131</v>
      </c>
      <c r="AA419" s="248"/>
      <c r="AB419" s="248"/>
      <c r="AC419" s="248"/>
      <c r="AD419" s="248"/>
      <c r="AE419" s="248"/>
      <c r="AF419" s="248"/>
      <c r="AG419" s="248"/>
      <c r="AH419" s="248"/>
      <c r="AI419" s="248"/>
      <c r="AJ419" s="248"/>
      <c r="AK419" s="248"/>
      <c r="AL419" s="248"/>
      <c r="AM419" s="248"/>
      <c r="AN419" s="248"/>
      <c r="AO419" s="248"/>
      <c r="AP419" s="248"/>
      <c r="AQ419" s="248"/>
      <c r="AR419" s="248"/>
      <c r="AS419" s="248"/>
      <c r="AT419" s="248"/>
      <c r="AU419" s="152"/>
      <c r="AV419" s="152"/>
      <c r="AW419" s="152"/>
      <c r="AX419" s="152"/>
      <c r="AY419" s="152"/>
      <c r="AZ419" s="152"/>
      <c r="BA419" s="152"/>
      <c r="BB419" s="152"/>
      <c r="BC419" s="152"/>
      <c r="BD419" s="152"/>
      <c r="BE419" s="152"/>
      <c r="BF419" s="152"/>
      <c r="BG419" s="152"/>
      <c r="BH419" s="152"/>
      <c r="BI419" s="152"/>
      <c r="BJ419" s="152"/>
      <c r="BK419" s="152"/>
      <c r="BL419" s="152"/>
      <c r="BM419" s="152"/>
      <c r="BN419" s="152"/>
      <c r="BO419" s="152"/>
      <c r="BP419" s="152"/>
      <c r="BQ419" s="152"/>
      <c r="BR419" s="152"/>
      <c r="BS419" s="152"/>
      <c r="BT419" s="152"/>
      <c r="BU419" s="152"/>
      <c r="BV419" s="152"/>
      <c r="BW419" s="152"/>
      <c r="BX419" s="152"/>
      <c r="BY419" s="152"/>
      <c r="BZ419" s="152"/>
      <c r="CA419" s="152"/>
      <c r="CB419" s="152"/>
      <c r="CC419" s="152"/>
      <c r="CD419" s="152"/>
      <c r="CE419" s="152"/>
      <c r="CF419" s="152"/>
      <c r="CG419" s="252"/>
    </row>
    <row r="420" spans="1:85" s="250" customFormat="1" ht="13.9" customHeight="1" x14ac:dyDescent="0.2">
      <c r="A420" s="251" t="s">
        <v>126</v>
      </c>
      <c r="B420" s="147">
        <v>8</v>
      </c>
      <c r="C420" s="244" t="s">
        <v>129</v>
      </c>
      <c r="D420" s="154" t="s">
        <v>133</v>
      </c>
      <c r="E420" s="155"/>
      <c r="F420" s="155">
        <v>39548424</v>
      </c>
      <c r="G420" s="155"/>
      <c r="H420" s="154" t="s">
        <v>137</v>
      </c>
      <c r="I420" s="244" t="s">
        <v>466</v>
      </c>
      <c r="J420" s="147">
        <v>2</v>
      </c>
      <c r="K420" s="147">
        <v>3</v>
      </c>
      <c r="L420" s="147">
        <v>9</v>
      </c>
      <c r="M420" s="132">
        <f t="shared" si="74"/>
        <v>1</v>
      </c>
      <c r="N420" s="140" t="s">
        <v>53</v>
      </c>
      <c r="O420" s="141" t="str">
        <f>IF(ISBLANK(N420),"",VLOOKUP(N420,[2]Parámetros!$G$2:$H$23,2,FALSE))</f>
        <v>Seléccion abreviada - acuerdo marco</v>
      </c>
      <c r="P420" s="245">
        <f t="shared" si="72"/>
        <v>1</v>
      </c>
      <c r="Q420" s="143">
        <f t="shared" si="75"/>
        <v>39548424</v>
      </c>
      <c r="R420" s="143">
        <f t="shared" si="76"/>
        <v>39548424</v>
      </c>
      <c r="S420" s="246" t="s">
        <v>222</v>
      </c>
      <c r="T420" s="245">
        <f t="shared" si="73"/>
        <v>0</v>
      </c>
      <c r="U420" s="145" t="str">
        <f t="shared" si="77"/>
        <v>SUBDIRECCION DE GESTION CONTRACTUAL</v>
      </c>
      <c r="V420" s="245" t="str">
        <f t="shared" si="70"/>
        <v>CO-DC</v>
      </c>
      <c r="W420" s="245" t="str">
        <f t="shared" si="71"/>
        <v>Distrito Capital de Bogotá</v>
      </c>
      <c r="X420" s="154" t="s">
        <v>467</v>
      </c>
      <c r="Y420" s="147">
        <v>2427400</v>
      </c>
      <c r="Z420" s="157" t="s">
        <v>131</v>
      </c>
      <c r="AA420" s="248"/>
      <c r="AB420" s="248"/>
      <c r="AC420" s="248"/>
      <c r="AD420" s="248"/>
      <c r="AE420" s="248"/>
      <c r="AF420" s="248"/>
      <c r="AG420" s="248"/>
      <c r="AH420" s="248"/>
      <c r="AI420" s="248"/>
      <c r="AJ420" s="248"/>
      <c r="AK420" s="248"/>
      <c r="AL420" s="248"/>
      <c r="AM420" s="248"/>
      <c r="AN420" s="248"/>
      <c r="AO420" s="248"/>
      <c r="AP420" s="248"/>
      <c r="AQ420" s="248"/>
      <c r="AR420" s="248"/>
      <c r="AS420" s="248"/>
      <c r="AT420" s="248"/>
      <c r="AU420" s="152"/>
      <c r="AV420" s="152"/>
      <c r="AW420" s="152"/>
      <c r="AX420" s="152"/>
      <c r="AY420" s="152"/>
      <c r="AZ420" s="152"/>
      <c r="BA420" s="152"/>
      <c r="BB420" s="152"/>
      <c r="BC420" s="152"/>
      <c r="BD420" s="152"/>
      <c r="BE420" s="152"/>
      <c r="BF420" s="152"/>
      <c r="BG420" s="152"/>
      <c r="BH420" s="152"/>
      <c r="BI420" s="152"/>
      <c r="BJ420" s="152"/>
      <c r="BK420" s="152"/>
      <c r="BL420" s="152"/>
      <c r="BM420" s="152"/>
      <c r="BN420" s="152"/>
      <c r="BO420" s="152"/>
      <c r="BP420" s="152"/>
      <c r="BQ420" s="152"/>
      <c r="BR420" s="152"/>
      <c r="BS420" s="152"/>
      <c r="BT420" s="152"/>
      <c r="BU420" s="152"/>
      <c r="BV420" s="152"/>
      <c r="BW420" s="152"/>
      <c r="BX420" s="152"/>
      <c r="BY420" s="152"/>
      <c r="BZ420" s="152"/>
      <c r="CA420" s="152"/>
      <c r="CB420" s="152"/>
      <c r="CC420" s="152"/>
      <c r="CD420" s="152"/>
      <c r="CE420" s="152"/>
      <c r="CF420" s="152"/>
      <c r="CG420" s="252"/>
    </row>
    <row r="421" spans="1:85" s="250" customFormat="1" ht="13.9" customHeight="1" x14ac:dyDescent="0.2">
      <c r="A421" s="251" t="s">
        <v>126</v>
      </c>
      <c r="B421" s="147">
        <v>9</v>
      </c>
      <c r="C421" s="244" t="s">
        <v>129</v>
      </c>
      <c r="D421" s="154" t="s">
        <v>138</v>
      </c>
      <c r="E421" s="155"/>
      <c r="F421" s="155">
        <v>16760190</v>
      </c>
      <c r="G421" s="155"/>
      <c r="H421" s="154" t="s">
        <v>137</v>
      </c>
      <c r="I421" s="244" t="s">
        <v>466</v>
      </c>
      <c r="J421" s="147">
        <v>2</v>
      </c>
      <c r="K421" s="147">
        <v>3</v>
      </c>
      <c r="L421" s="147">
        <v>9</v>
      </c>
      <c r="M421" s="132">
        <f t="shared" si="74"/>
        <v>1</v>
      </c>
      <c r="N421" s="140" t="s">
        <v>53</v>
      </c>
      <c r="O421" s="141" t="str">
        <f>IF(ISBLANK(N421),"",VLOOKUP(N421,[2]Parámetros!$G$2:$H$23,2,FALSE))</f>
        <v>Seléccion abreviada - acuerdo marco</v>
      </c>
      <c r="P421" s="245">
        <f t="shared" si="72"/>
        <v>1</v>
      </c>
      <c r="Q421" s="143">
        <f t="shared" si="75"/>
        <v>16760190</v>
      </c>
      <c r="R421" s="143">
        <f t="shared" si="76"/>
        <v>16760190</v>
      </c>
      <c r="S421" s="246" t="s">
        <v>222</v>
      </c>
      <c r="T421" s="245">
        <f t="shared" si="73"/>
        <v>0</v>
      </c>
      <c r="U421" s="145" t="str">
        <f t="shared" si="77"/>
        <v>SUBDIRECCION DE GESTION CONTRACTUAL</v>
      </c>
      <c r="V421" s="245" t="str">
        <f t="shared" si="70"/>
        <v>CO-DC</v>
      </c>
      <c r="W421" s="245" t="str">
        <f t="shared" si="71"/>
        <v>Distrito Capital de Bogotá</v>
      </c>
      <c r="X421" s="154" t="s">
        <v>467</v>
      </c>
      <c r="Y421" s="147">
        <v>2427400</v>
      </c>
      <c r="Z421" s="157" t="s">
        <v>131</v>
      </c>
      <c r="AA421" s="248"/>
      <c r="AB421" s="248"/>
      <c r="AC421" s="248"/>
      <c r="AD421" s="248"/>
      <c r="AE421" s="248"/>
      <c r="AF421" s="248"/>
      <c r="AG421" s="248"/>
      <c r="AH421" s="248"/>
      <c r="AI421" s="248"/>
      <c r="AJ421" s="248"/>
      <c r="AK421" s="248"/>
      <c r="AL421" s="248"/>
      <c r="AM421" s="248"/>
      <c r="AN421" s="248"/>
      <c r="AO421" s="248"/>
      <c r="AP421" s="248"/>
      <c r="AQ421" s="248"/>
      <c r="AR421" s="248"/>
      <c r="AS421" s="248"/>
      <c r="AT421" s="248"/>
      <c r="AU421" s="152"/>
      <c r="AV421" s="152"/>
      <c r="AW421" s="152"/>
      <c r="AX421" s="152"/>
      <c r="AY421" s="152"/>
      <c r="AZ421" s="152"/>
      <c r="BA421" s="152"/>
      <c r="BB421" s="152"/>
      <c r="BC421" s="152"/>
      <c r="BD421" s="152"/>
      <c r="BE421" s="152"/>
      <c r="BF421" s="152"/>
      <c r="BG421" s="152"/>
      <c r="BH421" s="152"/>
      <c r="BI421" s="152"/>
      <c r="BJ421" s="152"/>
      <c r="BK421" s="152"/>
      <c r="BL421" s="152"/>
      <c r="BM421" s="152"/>
      <c r="BN421" s="152"/>
      <c r="BO421" s="152"/>
      <c r="BP421" s="152"/>
      <c r="BQ421" s="152"/>
      <c r="BR421" s="152"/>
      <c r="BS421" s="152"/>
      <c r="BT421" s="152"/>
      <c r="BU421" s="152"/>
      <c r="BV421" s="152"/>
      <c r="BW421" s="152"/>
      <c r="BX421" s="152"/>
      <c r="BY421" s="152"/>
      <c r="BZ421" s="152"/>
      <c r="CA421" s="152"/>
      <c r="CB421" s="152"/>
      <c r="CC421" s="152"/>
      <c r="CD421" s="152"/>
      <c r="CE421" s="152"/>
      <c r="CF421" s="152"/>
      <c r="CG421" s="252"/>
    </row>
    <row r="422" spans="1:85" s="250" customFormat="1" ht="13.9" customHeight="1" x14ac:dyDescent="0.2">
      <c r="A422" s="251" t="s">
        <v>126</v>
      </c>
      <c r="B422" s="147">
        <v>10</v>
      </c>
      <c r="C422" s="244" t="s">
        <v>129</v>
      </c>
      <c r="D422" s="154" t="s">
        <v>139</v>
      </c>
      <c r="E422" s="155"/>
      <c r="F422" s="155">
        <v>15925909</v>
      </c>
      <c r="G422" s="155"/>
      <c r="H422" s="154" t="s">
        <v>137</v>
      </c>
      <c r="I422" s="244" t="s">
        <v>466</v>
      </c>
      <c r="J422" s="147">
        <v>2</v>
      </c>
      <c r="K422" s="147">
        <v>3</v>
      </c>
      <c r="L422" s="147">
        <v>9</v>
      </c>
      <c r="M422" s="132">
        <f t="shared" si="74"/>
        <v>1</v>
      </c>
      <c r="N422" s="140" t="s">
        <v>53</v>
      </c>
      <c r="O422" s="141" t="str">
        <f>IF(ISBLANK(N422),"",VLOOKUP(N422,[2]Parámetros!$G$2:$H$23,2,FALSE))</f>
        <v>Seléccion abreviada - acuerdo marco</v>
      </c>
      <c r="P422" s="245">
        <f t="shared" si="72"/>
        <v>1</v>
      </c>
      <c r="Q422" s="143">
        <f t="shared" si="75"/>
        <v>15925909</v>
      </c>
      <c r="R422" s="143">
        <f t="shared" si="76"/>
        <v>15925909</v>
      </c>
      <c r="S422" s="246" t="s">
        <v>222</v>
      </c>
      <c r="T422" s="245">
        <f t="shared" si="73"/>
        <v>0</v>
      </c>
      <c r="U422" s="145" t="str">
        <f t="shared" si="77"/>
        <v>SUBDIRECCION DE GESTION CONTRACTUAL</v>
      </c>
      <c r="V422" s="245" t="str">
        <f t="shared" si="70"/>
        <v>CO-DC</v>
      </c>
      <c r="W422" s="245" t="str">
        <f t="shared" si="71"/>
        <v>Distrito Capital de Bogotá</v>
      </c>
      <c r="X422" s="154" t="s">
        <v>467</v>
      </c>
      <c r="Y422" s="147">
        <v>2427400</v>
      </c>
      <c r="Z422" s="157" t="s">
        <v>131</v>
      </c>
      <c r="AA422" s="248"/>
      <c r="AB422" s="248"/>
      <c r="AC422" s="248"/>
      <c r="AD422" s="248"/>
      <c r="AE422" s="248"/>
      <c r="AF422" s="248"/>
      <c r="AG422" s="248"/>
      <c r="AH422" s="248"/>
      <c r="AI422" s="248"/>
      <c r="AJ422" s="248"/>
      <c r="AK422" s="248"/>
      <c r="AL422" s="248"/>
      <c r="AM422" s="248"/>
      <c r="AN422" s="248"/>
      <c r="AO422" s="248"/>
      <c r="AP422" s="248"/>
      <c r="AQ422" s="248"/>
      <c r="AR422" s="248"/>
      <c r="AS422" s="248"/>
      <c r="AT422" s="248"/>
      <c r="AU422" s="152"/>
      <c r="AV422" s="152"/>
      <c r="AW422" s="152"/>
      <c r="AX422" s="152"/>
      <c r="AY422" s="152"/>
      <c r="AZ422" s="152"/>
      <c r="BA422" s="152"/>
      <c r="BB422" s="152"/>
      <c r="BC422" s="152"/>
      <c r="BD422" s="152"/>
      <c r="BE422" s="152"/>
      <c r="BF422" s="152"/>
      <c r="BG422" s="152"/>
      <c r="BH422" s="152"/>
      <c r="BI422" s="152"/>
      <c r="BJ422" s="152"/>
      <c r="BK422" s="152"/>
      <c r="BL422" s="152"/>
      <c r="BM422" s="152"/>
      <c r="BN422" s="152"/>
      <c r="BO422" s="152"/>
      <c r="BP422" s="152"/>
      <c r="BQ422" s="152"/>
      <c r="BR422" s="152"/>
      <c r="BS422" s="152"/>
      <c r="BT422" s="152"/>
      <c r="BU422" s="152"/>
      <c r="BV422" s="152"/>
      <c r="BW422" s="152"/>
      <c r="BX422" s="152"/>
      <c r="BY422" s="152"/>
      <c r="BZ422" s="152"/>
      <c r="CA422" s="152"/>
      <c r="CB422" s="152"/>
      <c r="CC422" s="152"/>
      <c r="CD422" s="152"/>
      <c r="CE422" s="152"/>
      <c r="CF422" s="152"/>
      <c r="CG422" s="252"/>
    </row>
    <row r="423" spans="1:85" s="250" customFormat="1" ht="13.9" customHeight="1" x14ac:dyDescent="0.2">
      <c r="A423" s="251" t="s">
        <v>126</v>
      </c>
      <c r="B423" s="147">
        <v>11</v>
      </c>
      <c r="C423" s="244" t="s">
        <v>129</v>
      </c>
      <c r="D423" s="154" t="s">
        <v>140</v>
      </c>
      <c r="E423" s="155"/>
      <c r="F423" s="155">
        <v>25099427</v>
      </c>
      <c r="G423" s="155"/>
      <c r="H423" s="154" t="s">
        <v>137</v>
      </c>
      <c r="I423" s="244" t="s">
        <v>466</v>
      </c>
      <c r="J423" s="147">
        <v>2</v>
      </c>
      <c r="K423" s="147">
        <v>3</v>
      </c>
      <c r="L423" s="147">
        <v>9</v>
      </c>
      <c r="M423" s="132">
        <f t="shared" si="74"/>
        <v>1</v>
      </c>
      <c r="N423" s="140" t="s">
        <v>53</v>
      </c>
      <c r="O423" s="141" t="str">
        <f>IF(ISBLANK(N423),"",VLOOKUP(N423,[2]Parámetros!$G$2:$H$23,2,FALSE))</f>
        <v>Seléccion abreviada - acuerdo marco</v>
      </c>
      <c r="P423" s="245">
        <f t="shared" si="72"/>
        <v>1</v>
      </c>
      <c r="Q423" s="143">
        <f t="shared" si="75"/>
        <v>25099427</v>
      </c>
      <c r="R423" s="143">
        <f t="shared" si="76"/>
        <v>25099427</v>
      </c>
      <c r="S423" s="246" t="s">
        <v>222</v>
      </c>
      <c r="T423" s="245">
        <f t="shared" si="73"/>
        <v>0</v>
      </c>
      <c r="U423" s="145" t="str">
        <f t="shared" si="77"/>
        <v>SUBDIRECCION DE GESTION CONTRACTUAL</v>
      </c>
      <c r="V423" s="245" t="str">
        <f t="shared" si="70"/>
        <v>CO-DC</v>
      </c>
      <c r="W423" s="245" t="str">
        <f t="shared" si="71"/>
        <v>Distrito Capital de Bogotá</v>
      </c>
      <c r="X423" s="154" t="s">
        <v>467</v>
      </c>
      <c r="Y423" s="147">
        <v>2427400</v>
      </c>
      <c r="Z423" s="157" t="s">
        <v>131</v>
      </c>
      <c r="AA423" s="248"/>
      <c r="AB423" s="248"/>
      <c r="AC423" s="248"/>
      <c r="AD423" s="248"/>
      <c r="AE423" s="248"/>
      <c r="AF423" s="248"/>
      <c r="AG423" s="248"/>
      <c r="AH423" s="248"/>
      <c r="AI423" s="248"/>
      <c r="AJ423" s="248"/>
      <c r="AK423" s="248"/>
      <c r="AL423" s="248"/>
      <c r="AM423" s="248"/>
      <c r="AN423" s="248"/>
      <c r="AO423" s="248"/>
      <c r="AP423" s="248"/>
      <c r="AQ423" s="248"/>
      <c r="AR423" s="248"/>
      <c r="AS423" s="248"/>
      <c r="AT423" s="248"/>
      <c r="AU423" s="152"/>
      <c r="AV423" s="152"/>
      <c r="AW423" s="152"/>
      <c r="AX423" s="152"/>
      <c r="AY423" s="152"/>
      <c r="AZ423" s="152"/>
      <c r="BA423" s="152"/>
      <c r="BB423" s="152"/>
      <c r="BC423" s="152"/>
      <c r="BD423" s="152"/>
      <c r="BE423" s="152"/>
      <c r="BF423" s="152"/>
      <c r="BG423" s="152"/>
      <c r="BH423" s="152"/>
      <c r="BI423" s="152"/>
      <c r="BJ423" s="152"/>
      <c r="BK423" s="152"/>
      <c r="BL423" s="152"/>
      <c r="BM423" s="152"/>
      <c r="BN423" s="152"/>
      <c r="BO423" s="152"/>
      <c r="BP423" s="152"/>
      <c r="BQ423" s="152"/>
      <c r="BR423" s="152"/>
      <c r="BS423" s="152"/>
      <c r="BT423" s="152"/>
      <c r="BU423" s="152"/>
      <c r="BV423" s="152"/>
      <c r="BW423" s="152"/>
      <c r="BX423" s="152"/>
      <c r="BY423" s="152"/>
      <c r="BZ423" s="152"/>
      <c r="CA423" s="152"/>
      <c r="CB423" s="152"/>
      <c r="CC423" s="152"/>
      <c r="CD423" s="152"/>
      <c r="CE423" s="152"/>
      <c r="CF423" s="152"/>
      <c r="CG423" s="252"/>
    </row>
    <row r="424" spans="1:85" s="250" customFormat="1" ht="13.9" customHeight="1" x14ac:dyDescent="0.2">
      <c r="A424" s="251" t="s">
        <v>126</v>
      </c>
      <c r="B424" s="147">
        <v>12</v>
      </c>
      <c r="C424" s="244" t="s">
        <v>129</v>
      </c>
      <c r="D424" s="154" t="s">
        <v>141</v>
      </c>
      <c r="E424" s="155"/>
      <c r="F424" s="155">
        <v>37659348</v>
      </c>
      <c r="G424" s="155"/>
      <c r="H424" s="154" t="s">
        <v>137</v>
      </c>
      <c r="I424" s="244" t="s">
        <v>466</v>
      </c>
      <c r="J424" s="147">
        <v>2</v>
      </c>
      <c r="K424" s="147">
        <v>3</v>
      </c>
      <c r="L424" s="147">
        <v>9</v>
      </c>
      <c r="M424" s="132">
        <f t="shared" si="74"/>
        <v>1</v>
      </c>
      <c r="N424" s="140" t="s">
        <v>53</v>
      </c>
      <c r="O424" s="141" t="str">
        <f>IF(ISBLANK(N424),"",VLOOKUP(N424,[2]Parámetros!$G$2:$H$23,2,FALSE))</f>
        <v>Seléccion abreviada - acuerdo marco</v>
      </c>
      <c r="P424" s="245">
        <f t="shared" si="72"/>
        <v>1</v>
      </c>
      <c r="Q424" s="143">
        <f t="shared" si="75"/>
        <v>37659348</v>
      </c>
      <c r="R424" s="143">
        <f t="shared" si="76"/>
        <v>37659348</v>
      </c>
      <c r="S424" s="246" t="s">
        <v>222</v>
      </c>
      <c r="T424" s="245">
        <f t="shared" si="73"/>
        <v>0</v>
      </c>
      <c r="U424" s="145" t="str">
        <f t="shared" si="77"/>
        <v>SUBDIRECCION DE GESTION CONTRACTUAL</v>
      </c>
      <c r="V424" s="245" t="str">
        <f t="shared" si="70"/>
        <v>CO-DC</v>
      </c>
      <c r="W424" s="245" t="str">
        <f t="shared" si="71"/>
        <v>Distrito Capital de Bogotá</v>
      </c>
      <c r="X424" s="154" t="s">
        <v>467</v>
      </c>
      <c r="Y424" s="147">
        <v>2427400</v>
      </c>
      <c r="Z424" s="157" t="s">
        <v>131</v>
      </c>
      <c r="AA424" s="248"/>
      <c r="AB424" s="248"/>
      <c r="AC424" s="248"/>
      <c r="AD424" s="248"/>
      <c r="AE424" s="248"/>
      <c r="AF424" s="248"/>
      <c r="AG424" s="248"/>
      <c r="AH424" s="248"/>
      <c r="AI424" s="248"/>
      <c r="AJ424" s="248"/>
      <c r="AK424" s="248"/>
      <c r="AL424" s="248"/>
      <c r="AM424" s="248"/>
      <c r="AN424" s="248"/>
      <c r="AO424" s="248"/>
      <c r="AP424" s="248"/>
      <c r="AQ424" s="248"/>
      <c r="AR424" s="248"/>
      <c r="AS424" s="248"/>
      <c r="AT424" s="248"/>
      <c r="AU424" s="152"/>
      <c r="AV424" s="152"/>
      <c r="AW424" s="152"/>
      <c r="AX424" s="152"/>
      <c r="AY424" s="152"/>
      <c r="AZ424" s="152"/>
      <c r="BA424" s="152"/>
      <c r="BB424" s="152"/>
      <c r="BC424" s="152"/>
      <c r="BD424" s="152"/>
      <c r="BE424" s="152"/>
      <c r="BF424" s="152"/>
      <c r="BG424" s="152"/>
      <c r="BH424" s="152"/>
      <c r="BI424" s="152"/>
      <c r="BJ424" s="152"/>
      <c r="BK424" s="152"/>
      <c r="BL424" s="152"/>
      <c r="BM424" s="152"/>
      <c r="BN424" s="152"/>
      <c r="BO424" s="152"/>
      <c r="BP424" s="152"/>
      <c r="BQ424" s="152"/>
      <c r="BR424" s="152"/>
      <c r="BS424" s="152"/>
      <c r="BT424" s="152"/>
      <c r="BU424" s="152"/>
      <c r="BV424" s="152"/>
      <c r="BW424" s="152"/>
      <c r="BX424" s="152"/>
      <c r="BY424" s="152"/>
      <c r="BZ424" s="152"/>
      <c r="CA424" s="152"/>
      <c r="CB424" s="152"/>
      <c r="CC424" s="152"/>
      <c r="CD424" s="152"/>
      <c r="CE424" s="152"/>
      <c r="CF424" s="152"/>
      <c r="CG424" s="252"/>
    </row>
    <row r="425" spans="1:85" s="145" customFormat="1" ht="12.75" customHeight="1" x14ac:dyDescent="0.2">
      <c r="A425" s="251" t="s">
        <v>126</v>
      </c>
      <c r="B425" s="147">
        <v>13</v>
      </c>
      <c r="C425" s="244" t="s">
        <v>129</v>
      </c>
      <c r="D425" s="154" t="s">
        <v>50</v>
      </c>
      <c r="E425" s="155"/>
      <c r="F425" s="155">
        <v>15000000</v>
      </c>
      <c r="G425" s="155"/>
      <c r="H425" s="154" t="s">
        <v>51</v>
      </c>
      <c r="I425" s="244" t="s">
        <v>468</v>
      </c>
      <c r="J425" s="147">
        <v>4</v>
      </c>
      <c r="K425" s="147">
        <v>6</v>
      </c>
      <c r="L425" s="147">
        <v>1</v>
      </c>
      <c r="M425" s="132">
        <f t="shared" si="74"/>
        <v>1</v>
      </c>
      <c r="N425" s="140" t="s">
        <v>43</v>
      </c>
      <c r="O425" s="141" t="str">
        <f>IF(ISBLANK(N425),"",VLOOKUP(N425,[2]Parámetros!$G$2:$H$23,2,FALSE))</f>
        <v>Selección abreviada subasta inversa</v>
      </c>
      <c r="P425" s="245">
        <f t="shared" si="72"/>
        <v>1</v>
      </c>
      <c r="Q425" s="143">
        <f t="shared" si="75"/>
        <v>15000000</v>
      </c>
      <c r="R425" s="143">
        <f t="shared" si="76"/>
        <v>15000000</v>
      </c>
      <c r="S425" s="246" t="s">
        <v>222</v>
      </c>
      <c r="T425" s="245">
        <f t="shared" si="73"/>
        <v>0</v>
      </c>
      <c r="U425" s="145" t="str">
        <f t="shared" si="77"/>
        <v>SUBDIRECCION DE GESTION CONTRACTUAL</v>
      </c>
      <c r="V425" s="245" t="str">
        <f t="shared" si="70"/>
        <v>CO-DC</v>
      </c>
      <c r="W425" s="245" t="str">
        <f t="shared" si="71"/>
        <v>Distrito Capital de Bogotá</v>
      </c>
      <c r="X425" s="154" t="s">
        <v>73</v>
      </c>
      <c r="Y425" s="147">
        <v>2427400</v>
      </c>
      <c r="Z425" s="157" t="s">
        <v>74</v>
      </c>
      <c r="AA425" s="248"/>
      <c r="AB425" s="248"/>
      <c r="AC425" s="248"/>
      <c r="AD425" s="248"/>
      <c r="AE425" s="248"/>
      <c r="AF425" s="248"/>
      <c r="AG425" s="248"/>
      <c r="AH425" s="248"/>
      <c r="AI425" s="248"/>
      <c r="AJ425" s="248"/>
      <c r="AK425" s="248"/>
      <c r="AL425" s="248"/>
      <c r="AM425" s="248"/>
      <c r="AN425" s="248"/>
      <c r="AO425" s="248"/>
      <c r="AP425" s="248"/>
      <c r="AQ425" s="248"/>
      <c r="AR425" s="248"/>
      <c r="AS425" s="248"/>
      <c r="AT425" s="248"/>
      <c r="AU425" s="152"/>
      <c r="AV425" s="152"/>
      <c r="AW425" s="152"/>
      <c r="AX425" s="152"/>
      <c r="AY425" s="152"/>
      <c r="AZ425" s="152"/>
      <c r="BA425" s="152"/>
      <c r="BB425" s="152"/>
      <c r="BC425" s="152"/>
      <c r="BD425" s="152"/>
      <c r="BE425" s="152"/>
      <c r="BF425" s="152"/>
      <c r="BG425" s="152"/>
      <c r="BH425" s="152"/>
      <c r="BI425" s="152"/>
      <c r="BJ425" s="152"/>
      <c r="BK425" s="152"/>
      <c r="BL425" s="152"/>
      <c r="BM425" s="152"/>
      <c r="BN425" s="152"/>
      <c r="BO425" s="152"/>
      <c r="BP425" s="152"/>
      <c r="BQ425" s="152"/>
      <c r="BR425" s="152"/>
      <c r="BS425" s="152"/>
      <c r="BT425" s="152"/>
      <c r="BU425" s="152"/>
      <c r="BV425" s="152"/>
      <c r="BW425" s="152"/>
      <c r="BX425" s="152"/>
      <c r="BY425" s="152"/>
      <c r="BZ425" s="152"/>
      <c r="CA425" s="152"/>
      <c r="CB425" s="152"/>
      <c r="CC425" s="152"/>
      <c r="CD425" s="152"/>
      <c r="CE425" s="152"/>
      <c r="CF425" s="152"/>
      <c r="CG425" s="252"/>
    </row>
    <row r="426" spans="1:85" s="250" customFormat="1" ht="13.9" customHeight="1" x14ac:dyDescent="0.2">
      <c r="A426" s="251" t="s">
        <v>126</v>
      </c>
      <c r="B426" s="147">
        <v>14</v>
      </c>
      <c r="C426" s="244" t="s">
        <v>129</v>
      </c>
      <c r="D426" s="154" t="s">
        <v>52</v>
      </c>
      <c r="E426" s="155">
        <v>35200000</v>
      </c>
      <c r="F426" s="155">
        <f>188571850+52198070</f>
        <v>240769920</v>
      </c>
      <c r="G426" s="155"/>
      <c r="H426" s="154" t="s">
        <v>132</v>
      </c>
      <c r="I426" s="244" t="s">
        <v>469</v>
      </c>
      <c r="J426" s="147">
        <v>1</v>
      </c>
      <c r="K426" s="147">
        <v>1</v>
      </c>
      <c r="L426" s="147">
        <v>10</v>
      </c>
      <c r="M426" s="132">
        <f t="shared" si="74"/>
        <v>1</v>
      </c>
      <c r="N426" s="140" t="s">
        <v>53</v>
      </c>
      <c r="O426" s="141" t="str">
        <f>IF(ISBLANK(N426),"",VLOOKUP(N426,[2]Parámetros!$G$2:$H$23,2,FALSE))</f>
        <v>Seléccion abreviada - acuerdo marco</v>
      </c>
      <c r="P426" s="245">
        <f t="shared" si="72"/>
        <v>1</v>
      </c>
      <c r="Q426" s="143">
        <f t="shared" si="75"/>
        <v>275969920</v>
      </c>
      <c r="R426" s="143">
        <f t="shared" si="76"/>
        <v>240769920</v>
      </c>
      <c r="S426" s="246">
        <v>0</v>
      </c>
      <c r="T426" s="245">
        <f t="shared" si="73"/>
        <v>0</v>
      </c>
      <c r="U426" s="145" t="str">
        <f t="shared" si="77"/>
        <v>SUBDIRECCION DE GESTION CONTRACTUAL</v>
      </c>
      <c r="V426" s="245" t="str">
        <f t="shared" si="70"/>
        <v>CO-DC</v>
      </c>
      <c r="W426" s="245" t="str">
        <f t="shared" si="71"/>
        <v>Distrito Capital de Bogotá</v>
      </c>
      <c r="X426" s="154" t="s">
        <v>467</v>
      </c>
      <c r="Y426" s="147">
        <v>2427400</v>
      </c>
      <c r="Z426" s="157" t="s">
        <v>131</v>
      </c>
      <c r="AA426" s="248"/>
      <c r="AB426" s="248"/>
      <c r="AC426" s="248"/>
      <c r="AD426" s="248"/>
      <c r="AE426" s="248"/>
      <c r="AF426" s="248"/>
      <c r="AG426" s="248"/>
      <c r="AH426" s="248"/>
      <c r="AI426" s="248"/>
      <c r="AJ426" s="248"/>
      <c r="AK426" s="248"/>
      <c r="AL426" s="248"/>
      <c r="AM426" s="248"/>
      <c r="AN426" s="248"/>
      <c r="AO426" s="248"/>
      <c r="AP426" s="248"/>
      <c r="AQ426" s="248"/>
      <c r="AR426" s="248"/>
      <c r="AS426" s="248"/>
      <c r="AT426" s="248"/>
      <c r="AU426" s="152"/>
      <c r="AV426" s="152"/>
      <c r="AW426" s="152"/>
      <c r="AX426" s="152"/>
      <c r="AY426" s="152"/>
      <c r="AZ426" s="152"/>
      <c r="BA426" s="152"/>
      <c r="BB426" s="152"/>
      <c r="BC426" s="152"/>
      <c r="BD426" s="152"/>
      <c r="BE426" s="152"/>
      <c r="BF426" s="152"/>
      <c r="BG426" s="152"/>
      <c r="BH426" s="152"/>
      <c r="BI426" s="152"/>
      <c r="BJ426" s="152"/>
      <c r="BK426" s="152"/>
      <c r="BL426" s="152"/>
      <c r="BM426" s="152"/>
      <c r="BN426" s="152"/>
      <c r="BO426" s="152"/>
      <c r="BP426" s="152"/>
      <c r="BQ426" s="152"/>
      <c r="BR426" s="152"/>
      <c r="BS426" s="152"/>
      <c r="BT426" s="152"/>
      <c r="BU426" s="152"/>
      <c r="BV426" s="152"/>
      <c r="BW426" s="152"/>
      <c r="BX426" s="152"/>
      <c r="BY426" s="152"/>
      <c r="BZ426" s="152"/>
      <c r="CA426" s="152"/>
      <c r="CB426" s="152"/>
      <c r="CC426" s="152"/>
      <c r="CD426" s="152"/>
      <c r="CE426" s="152"/>
      <c r="CF426" s="152"/>
      <c r="CG426" s="252"/>
    </row>
    <row r="427" spans="1:85" s="250" customFormat="1" ht="13.9" customHeight="1" x14ac:dyDescent="0.2">
      <c r="A427" s="251" t="s">
        <v>126</v>
      </c>
      <c r="B427" s="147">
        <v>15</v>
      </c>
      <c r="C427" s="244" t="s">
        <v>129</v>
      </c>
      <c r="D427" s="154" t="s">
        <v>52</v>
      </c>
      <c r="E427" s="155"/>
      <c r="F427" s="155">
        <v>40000000</v>
      </c>
      <c r="G427" s="155"/>
      <c r="H427" s="154" t="s">
        <v>132</v>
      </c>
      <c r="I427" s="244" t="s">
        <v>470</v>
      </c>
      <c r="J427" s="147">
        <v>10</v>
      </c>
      <c r="K427" s="147">
        <v>10</v>
      </c>
      <c r="L427" s="147">
        <v>12</v>
      </c>
      <c r="M427" s="132">
        <f t="shared" si="74"/>
        <v>1</v>
      </c>
      <c r="N427" s="140" t="s">
        <v>53</v>
      </c>
      <c r="O427" s="141" t="str">
        <f>IF(ISBLANK(N427),"",VLOOKUP(N427,[2]Parámetros!$G$2:$H$23,2,FALSE))</f>
        <v>Seléccion abreviada - acuerdo marco</v>
      </c>
      <c r="P427" s="245">
        <f t="shared" si="72"/>
        <v>1</v>
      </c>
      <c r="Q427" s="143">
        <f t="shared" si="75"/>
        <v>40000000</v>
      </c>
      <c r="R427" s="143">
        <f t="shared" si="76"/>
        <v>40000000</v>
      </c>
      <c r="S427" s="246" t="s">
        <v>222</v>
      </c>
      <c r="T427" s="245">
        <f t="shared" si="73"/>
        <v>0</v>
      </c>
      <c r="U427" s="145" t="str">
        <f t="shared" si="77"/>
        <v>SUBDIRECCION DE GESTION CONTRACTUAL</v>
      </c>
      <c r="V427" s="245" t="str">
        <f t="shared" si="70"/>
        <v>CO-DC</v>
      </c>
      <c r="W427" s="245" t="str">
        <f t="shared" si="71"/>
        <v>Distrito Capital de Bogotá</v>
      </c>
      <c r="X427" s="154" t="s">
        <v>467</v>
      </c>
      <c r="Y427" s="147">
        <v>2427400</v>
      </c>
      <c r="Z427" s="157" t="s">
        <v>131</v>
      </c>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152"/>
      <c r="AV427" s="152"/>
      <c r="AW427" s="152"/>
      <c r="AX427" s="152"/>
      <c r="AY427" s="152"/>
      <c r="AZ427" s="152"/>
      <c r="BA427" s="152"/>
      <c r="BB427" s="152"/>
      <c r="BC427" s="152"/>
      <c r="BD427" s="152"/>
      <c r="BE427" s="152"/>
      <c r="BF427" s="152"/>
      <c r="BG427" s="152"/>
      <c r="BH427" s="152"/>
      <c r="BI427" s="152"/>
      <c r="BJ427" s="152"/>
      <c r="BK427" s="152"/>
      <c r="BL427" s="152"/>
      <c r="BM427" s="152"/>
      <c r="BN427" s="152"/>
      <c r="BO427" s="152"/>
      <c r="BP427" s="152"/>
      <c r="BQ427" s="152"/>
      <c r="BR427" s="152"/>
      <c r="BS427" s="152"/>
      <c r="BT427" s="152"/>
      <c r="BU427" s="152"/>
      <c r="BV427" s="152"/>
      <c r="BW427" s="152"/>
      <c r="BX427" s="152"/>
      <c r="BY427" s="152"/>
      <c r="BZ427" s="152"/>
      <c r="CA427" s="152"/>
      <c r="CB427" s="152"/>
      <c r="CC427" s="152"/>
      <c r="CD427" s="152"/>
      <c r="CE427" s="152"/>
      <c r="CF427" s="152"/>
      <c r="CG427" s="252"/>
    </row>
    <row r="428" spans="1:85" s="250" customFormat="1" ht="13.9" customHeight="1" x14ac:dyDescent="0.2">
      <c r="A428" s="251" t="s">
        <v>126</v>
      </c>
      <c r="B428" s="147">
        <v>16</v>
      </c>
      <c r="C428" s="244" t="s">
        <v>129</v>
      </c>
      <c r="D428" s="154" t="s">
        <v>52</v>
      </c>
      <c r="E428" s="155"/>
      <c r="F428" s="155">
        <v>54545000</v>
      </c>
      <c r="G428" s="155"/>
      <c r="H428" s="154" t="s">
        <v>130</v>
      </c>
      <c r="I428" s="244" t="s">
        <v>471</v>
      </c>
      <c r="J428" s="147">
        <v>3</v>
      </c>
      <c r="K428" s="147">
        <v>3</v>
      </c>
      <c r="L428" s="147">
        <v>9</v>
      </c>
      <c r="M428" s="132">
        <f t="shared" si="74"/>
        <v>1</v>
      </c>
      <c r="N428" s="140" t="s">
        <v>53</v>
      </c>
      <c r="O428" s="141" t="str">
        <f>IF(ISBLANK(N428),"",VLOOKUP(N428,[2]Parámetros!$G$2:$H$23,2,FALSE))</f>
        <v>Seléccion abreviada - acuerdo marco</v>
      </c>
      <c r="P428" s="245">
        <f t="shared" ref="P428:P459" si="78">IF(ISBLANK(N428),"",1)</f>
        <v>1</v>
      </c>
      <c r="Q428" s="143">
        <f t="shared" si="75"/>
        <v>54545000</v>
      </c>
      <c r="R428" s="143">
        <f t="shared" si="76"/>
        <v>54545000</v>
      </c>
      <c r="S428" s="246" t="s">
        <v>222</v>
      </c>
      <c r="T428" s="245">
        <f t="shared" ref="T428:T459" si="79">IF(ISBLANK(S428),"",IF(VALUE(S428)=0,0,IF(VALUE(S428)=1,3,"")))</f>
        <v>0</v>
      </c>
      <c r="U428" s="145" t="str">
        <f t="shared" si="77"/>
        <v>SUBDIRECCION DE GESTION CONTRACTUAL</v>
      </c>
      <c r="V428" s="245" t="str">
        <f t="shared" si="70"/>
        <v>CO-DC</v>
      </c>
      <c r="W428" s="245" t="str">
        <f t="shared" si="71"/>
        <v>Distrito Capital de Bogotá</v>
      </c>
      <c r="X428" s="154" t="s">
        <v>467</v>
      </c>
      <c r="Y428" s="147">
        <v>2427400</v>
      </c>
      <c r="Z428" s="157" t="s">
        <v>131</v>
      </c>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152"/>
      <c r="AV428" s="152"/>
      <c r="AW428" s="152"/>
      <c r="AX428" s="152"/>
      <c r="AY428" s="152"/>
      <c r="AZ428" s="152"/>
      <c r="BA428" s="152"/>
      <c r="BB428" s="152"/>
      <c r="BC428" s="152"/>
      <c r="BD428" s="152"/>
      <c r="BE428" s="152"/>
      <c r="BF428" s="152"/>
      <c r="BG428" s="152"/>
      <c r="BH428" s="152"/>
      <c r="BI428" s="152"/>
      <c r="BJ428" s="152"/>
      <c r="BK428" s="152"/>
      <c r="BL428" s="152"/>
      <c r="BM428" s="152"/>
      <c r="BN428" s="152"/>
      <c r="BO428" s="152"/>
      <c r="BP428" s="152"/>
      <c r="BQ428" s="152"/>
      <c r="BR428" s="152"/>
      <c r="BS428" s="152"/>
      <c r="BT428" s="152"/>
      <c r="BU428" s="152"/>
      <c r="BV428" s="152"/>
      <c r="BW428" s="152"/>
      <c r="BX428" s="152"/>
      <c r="BY428" s="152"/>
      <c r="BZ428" s="152"/>
      <c r="CA428" s="152"/>
      <c r="CB428" s="152"/>
      <c r="CC428" s="152"/>
      <c r="CD428" s="152"/>
      <c r="CE428" s="152"/>
      <c r="CF428" s="152"/>
      <c r="CG428" s="252"/>
    </row>
    <row r="429" spans="1:85" s="250" customFormat="1" ht="13.9" customHeight="1" x14ac:dyDescent="0.2">
      <c r="A429" s="251" t="s">
        <v>126</v>
      </c>
      <c r="B429" s="147">
        <v>17</v>
      </c>
      <c r="C429" s="244" t="s">
        <v>129</v>
      </c>
      <c r="D429" s="154" t="s">
        <v>133</v>
      </c>
      <c r="E429" s="155"/>
      <c r="F429" s="155">
        <v>6576887</v>
      </c>
      <c r="G429" s="155"/>
      <c r="H429" s="154" t="s">
        <v>134</v>
      </c>
      <c r="I429" s="244" t="s">
        <v>472</v>
      </c>
      <c r="J429" s="147">
        <v>4</v>
      </c>
      <c r="K429" s="147">
        <v>5</v>
      </c>
      <c r="L429" s="147">
        <v>2</v>
      </c>
      <c r="M429" s="132">
        <f t="shared" si="74"/>
        <v>1</v>
      </c>
      <c r="N429" s="140" t="s">
        <v>53</v>
      </c>
      <c r="O429" s="141" t="str">
        <f>IF(ISBLANK(N429),"",VLOOKUP(N429,[2]Parámetros!$G$2:$H$23,2,FALSE))</f>
        <v>Seléccion abreviada - acuerdo marco</v>
      </c>
      <c r="P429" s="245">
        <f t="shared" si="78"/>
        <v>1</v>
      </c>
      <c r="Q429" s="143">
        <f t="shared" si="75"/>
        <v>6576887</v>
      </c>
      <c r="R429" s="143">
        <f t="shared" si="76"/>
        <v>6576887</v>
      </c>
      <c r="S429" s="246" t="s">
        <v>222</v>
      </c>
      <c r="T429" s="245">
        <f t="shared" si="79"/>
        <v>0</v>
      </c>
      <c r="U429" s="145" t="str">
        <f t="shared" si="77"/>
        <v>SUBDIRECCION DE GESTION CONTRACTUAL</v>
      </c>
      <c r="V429" s="245" t="str">
        <f t="shared" si="70"/>
        <v>CO-DC</v>
      </c>
      <c r="W429" s="245" t="str">
        <f t="shared" si="71"/>
        <v>Distrito Capital de Bogotá</v>
      </c>
      <c r="X429" s="154" t="s">
        <v>467</v>
      </c>
      <c r="Y429" s="147">
        <v>2427400</v>
      </c>
      <c r="Z429" s="157" t="s">
        <v>131</v>
      </c>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152"/>
      <c r="AV429" s="152"/>
      <c r="AW429" s="152"/>
      <c r="AX429" s="152"/>
      <c r="AY429" s="152"/>
      <c r="AZ429" s="152"/>
      <c r="BA429" s="152"/>
      <c r="BB429" s="152"/>
      <c r="BC429" s="152"/>
      <c r="BD429" s="152"/>
      <c r="BE429" s="152"/>
      <c r="BF429" s="152"/>
      <c r="BG429" s="152"/>
      <c r="BH429" s="152"/>
      <c r="BI429" s="152"/>
      <c r="BJ429" s="152"/>
      <c r="BK429" s="152"/>
      <c r="BL429" s="152"/>
      <c r="BM429" s="152"/>
      <c r="BN429" s="152"/>
      <c r="BO429" s="152"/>
      <c r="BP429" s="152"/>
      <c r="BQ429" s="152"/>
      <c r="BR429" s="152"/>
      <c r="BS429" s="152"/>
      <c r="BT429" s="152"/>
      <c r="BU429" s="152"/>
      <c r="BV429" s="152"/>
      <c r="BW429" s="152"/>
      <c r="BX429" s="152"/>
      <c r="BY429" s="152"/>
      <c r="BZ429" s="152"/>
      <c r="CA429" s="152"/>
      <c r="CB429" s="152"/>
      <c r="CC429" s="152"/>
      <c r="CD429" s="152"/>
      <c r="CE429" s="152"/>
      <c r="CF429" s="152"/>
      <c r="CG429" s="252"/>
    </row>
    <row r="430" spans="1:85" s="250" customFormat="1" ht="13.9" customHeight="1" x14ac:dyDescent="0.2">
      <c r="A430" s="251" t="s">
        <v>126</v>
      </c>
      <c r="B430" s="147">
        <v>18</v>
      </c>
      <c r="C430" s="244" t="s">
        <v>129</v>
      </c>
      <c r="D430" s="154" t="s">
        <v>135</v>
      </c>
      <c r="E430" s="155"/>
      <c r="F430" s="155">
        <v>3138188</v>
      </c>
      <c r="G430" s="155"/>
      <c r="H430" s="154" t="s">
        <v>134</v>
      </c>
      <c r="I430" s="244" t="s">
        <v>472</v>
      </c>
      <c r="J430" s="147">
        <v>4</v>
      </c>
      <c r="K430" s="147">
        <v>5</v>
      </c>
      <c r="L430" s="147">
        <v>2</v>
      </c>
      <c r="M430" s="132">
        <f t="shared" si="74"/>
        <v>1</v>
      </c>
      <c r="N430" s="140" t="s">
        <v>53</v>
      </c>
      <c r="O430" s="141" t="str">
        <f>IF(ISBLANK(N430),"",VLOOKUP(N430,[2]Parámetros!$G$2:$H$23,2,FALSE))</f>
        <v>Seléccion abreviada - acuerdo marco</v>
      </c>
      <c r="P430" s="245">
        <f t="shared" si="78"/>
        <v>1</v>
      </c>
      <c r="Q430" s="143">
        <f t="shared" si="75"/>
        <v>3138188</v>
      </c>
      <c r="R430" s="143">
        <f t="shared" si="76"/>
        <v>3138188</v>
      </c>
      <c r="S430" s="246" t="s">
        <v>222</v>
      </c>
      <c r="T430" s="245">
        <f t="shared" si="79"/>
        <v>0</v>
      </c>
      <c r="U430" s="145" t="str">
        <f t="shared" si="77"/>
        <v>SUBDIRECCION DE GESTION CONTRACTUAL</v>
      </c>
      <c r="V430" s="245" t="str">
        <f t="shared" si="70"/>
        <v>CO-DC</v>
      </c>
      <c r="W430" s="245" t="str">
        <f t="shared" si="71"/>
        <v>Distrito Capital de Bogotá</v>
      </c>
      <c r="X430" s="154" t="s">
        <v>467</v>
      </c>
      <c r="Y430" s="147">
        <v>2427400</v>
      </c>
      <c r="Z430" s="157" t="s">
        <v>131</v>
      </c>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152"/>
      <c r="AV430" s="152"/>
      <c r="AW430" s="152"/>
      <c r="AX430" s="152"/>
      <c r="AY430" s="152"/>
      <c r="AZ430" s="152"/>
      <c r="BA430" s="152"/>
      <c r="BB430" s="152"/>
      <c r="BC430" s="152"/>
      <c r="BD430" s="152"/>
      <c r="BE430" s="152"/>
      <c r="BF430" s="152"/>
      <c r="BG430" s="152"/>
      <c r="BH430" s="152"/>
      <c r="BI430" s="152"/>
      <c r="BJ430" s="152"/>
      <c r="BK430" s="152"/>
      <c r="BL430" s="152"/>
      <c r="BM430" s="152"/>
      <c r="BN430" s="152"/>
      <c r="BO430" s="152"/>
      <c r="BP430" s="152"/>
      <c r="BQ430" s="152"/>
      <c r="BR430" s="152"/>
      <c r="BS430" s="152"/>
      <c r="BT430" s="152"/>
      <c r="BU430" s="152"/>
      <c r="BV430" s="152"/>
      <c r="BW430" s="152"/>
      <c r="BX430" s="152"/>
      <c r="BY430" s="152"/>
      <c r="BZ430" s="152"/>
      <c r="CA430" s="152"/>
      <c r="CB430" s="152"/>
      <c r="CC430" s="152"/>
      <c r="CD430" s="152"/>
      <c r="CE430" s="152"/>
      <c r="CF430" s="152"/>
      <c r="CG430" s="252"/>
    </row>
    <row r="431" spans="1:85" s="145" customFormat="1" ht="12.75" customHeight="1" x14ac:dyDescent="0.2">
      <c r="A431" s="251" t="s">
        <v>126</v>
      </c>
      <c r="B431" s="147">
        <v>19</v>
      </c>
      <c r="C431" s="244" t="s">
        <v>129</v>
      </c>
      <c r="D431" s="154" t="s">
        <v>125</v>
      </c>
      <c r="E431" s="155"/>
      <c r="F431" s="155">
        <v>12495000</v>
      </c>
      <c r="G431" s="155"/>
      <c r="H431" s="154" t="s">
        <v>737</v>
      </c>
      <c r="I431" s="244" t="s">
        <v>473</v>
      </c>
      <c r="J431" s="147">
        <v>3</v>
      </c>
      <c r="K431" s="147">
        <v>5</v>
      </c>
      <c r="L431" s="147">
        <v>6</v>
      </c>
      <c r="M431" s="132">
        <f t="shared" si="74"/>
        <v>1</v>
      </c>
      <c r="N431" s="140" t="s">
        <v>304</v>
      </c>
      <c r="O431" s="141" t="str">
        <f>IF(ISBLANK(N431),"",VLOOKUP(N431,[2]Parámetros!$G$2:$H$23,2,FALSE))</f>
        <v>Selección abreviada menor cuantía</v>
      </c>
      <c r="P431" s="245">
        <f t="shared" si="78"/>
        <v>1</v>
      </c>
      <c r="Q431" s="143">
        <f t="shared" si="75"/>
        <v>12495000</v>
      </c>
      <c r="R431" s="143">
        <f t="shared" si="76"/>
        <v>12495000</v>
      </c>
      <c r="S431" s="246" t="s">
        <v>222</v>
      </c>
      <c r="T431" s="245">
        <f t="shared" si="79"/>
        <v>0</v>
      </c>
      <c r="U431" s="145" t="str">
        <f t="shared" si="77"/>
        <v>SUBDIRECCION DE GESTION CONTRACTUAL</v>
      </c>
      <c r="V431" s="245" t="str">
        <f t="shared" si="70"/>
        <v>CO-DC</v>
      </c>
      <c r="W431" s="245" t="str">
        <f t="shared" si="71"/>
        <v>Distrito Capital de Bogotá</v>
      </c>
      <c r="X431" s="154" t="s">
        <v>73</v>
      </c>
      <c r="Y431" s="147">
        <v>2427400</v>
      </c>
      <c r="Z431" s="157" t="s">
        <v>74</v>
      </c>
      <c r="AA431" s="248"/>
      <c r="AB431" s="248"/>
      <c r="AC431" s="248"/>
      <c r="AD431" s="248"/>
      <c r="AE431" s="248"/>
      <c r="AF431" s="248"/>
      <c r="AG431" s="248"/>
      <c r="AH431" s="248"/>
      <c r="AI431" s="248"/>
      <c r="AJ431" s="248"/>
      <c r="AK431" s="248"/>
      <c r="AL431" s="248"/>
      <c r="AM431" s="248"/>
      <c r="AN431" s="248"/>
      <c r="AO431" s="248"/>
      <c r="AP431" s="248"/>
      <c r="AQ431" s="248"/>
      <c r="AR431" s="248"/>
      <c r="AS431" s="248"/>
      <c r="AT431" s="248"/>
      <c r="AU431" s="152"/>
      <c r="AV431" s="152"/>
      <c r="AW431" s="152"/>
      <c r="AX431" s="152"/>
      <c r="AY431" s="152"/>
      <c r="AZ431" s="152"/>
      <c r="BA431" s="152"/>
      <c r="BB431" s="152"/>
      <c r="BC431" s="152"/>
      <c r="BD431" s="152"/>
      <c r="BE431" s="152"/>
      <c r="BF431" s="152"/>
      <c r="BG431" s="152"/>
      <c r="BH431" s="152"/>
      <c r="BI431" s="152"/>
      <c r="BJ431" s="152"/>
      <c r="BK431" s="152"/>
      <c r="BL431" s="152"/>
      <c r="BM431" s="152"/>
      <c r="BN431" s="152"/>
      <c r="BO431" s="152"/>
      <c r="BP431" s="152"/>
      <c r="BQ431" s="152"/>
      <c r="BR431" s="152"/>
      <c r="BS431" s="152"/>
      <c r="BT431" s="152"/>
      <c r="BU431" s="152"/>
      <c r="BV431" s="152"/>
      <c r="BW431" s="152"/>
      <c r="BX431" s="152"/>
      <c r="BY431" s="152"/>
      <c r="BZ431" s="152"/>
      <c r="CA431" s="152"/>
      <c r="CB431" s="152"/>
      <c r="CC431" s="152"/>
      <c r="CD431" s="152"/>
      <c r="CE431" s="152"/>
      <c r="CF431" s="152"/>
      <c r="CG431" s="252"/>
    </row>
    <row r="432" spans="1:85" s="250" customFormat="1" ht="13.9" customHeight="1" x14ac:dyDescent="0.2">
      <c r="A432" s="251" t="s">
        <v>126</v>
      </c>
      <c r="B432" s="147">
        <v>20</v>
      </c>
      <c r="C432" s="244" t="s">
        <v>129</v>
      </c>
      <c r="D432" s="154" t="s">
        <v>142</v>
      </c>
      <c r="E432" s="155">
        <v>5158324</v>
      </c>
      <c r="F432" s="155">
        <v>4961995</v>
      </c>
      <c r="G432" s="155"/>
      <c r="H432" s="154">
        <v>78102203</v>
      </c>
      <c r="I432" s="244" t="s">
        <v>474</v>
      </c>
      <c r="J432" s="147">
        <v>1</v>
      </c>
      <c r="K432" s="147">
        <v>1</v>
      </c>
      <c r="L432" s="147">
        <v>9</v>
      </c>
      <c r="M432" s="132">
        <f t="shared" si="74"/>
        <v>1</v>
      </c>
      <c r="N432" s="140" t="s">
        <v>36</v>
      </c>
      <c r="O432" s="141" t="str">
        <f>IF(ISBLANK(N432),"",VLOOKUP(N432,[2]Parámetros!$G$2:$H$23,2,FALSE))</f>
        <v xml:space="preserve">Contratación directa (con ofertas) </v>
      </c>
      <c r="P432" s="245">
        <f t="shared" si="78"/>
        <v>1</v>
      </c>
      <c r="Q432" s="143">
        <f t="shared" si="75"/>
        <v>10120319</v>
      </c>
      <c r="R432" s="143">
        <f t="shared" si="76"/>
        <v>4961995</v>
      </c>
      <c r="S432" s="246" t="s">
        <v>222</v>
      </c>
      <c r="T432" s="245">
        <f t="shared" si="79"/>
        <v>0</v>
      </c>
      <c r="U432" s="145" t="str">
        <f t="shared" si="77"/>
        <v>SUBDIRECCION DE GESTION CONTRACTUAL</v>
      </c>
      <c r="V432" s="245" t="str">
        <f t="shared" si="70"/>
        <v>CO-DC</v>
      </c>
      <c r="W432" s="245" t="str">
        <f t="shared" si="71"/>
        <v>Distrito Capital de Bogotá</v>
      </c>
      <c r="X432" s="154" t="s">
        <v>475</v>
      </c>
      <c r="Y432" s="147">
        <v>2427400</v>
      </c>
      <c r="Z432" s="157" t="s">
        <v>143</v>
      </c>
      <c r="AA432" s="248"/>
      <c r="AB432" s="248"/>
      <c r="AC432" s="248"/>
      <c r="AD432" s="248"/>
      <c r="AE432" s="248"/>
      <c r="AF432" s="248"/>
      <c r="AG432" s="248"/>
      <c r="AH432" s="248"/>
      <c r="AI432" s="248"/>
      <c r="AJ432" s="248"/>
      <c r="AK432" s="248"/>
      <c r="AL432" s="248"/>
      <c r="AM432" s="248"/>
      <c r="AN432" s="248"/>
      <c r="AO432" s="248"/>
      <c r="AP432" s="248"/>
      <c r="AQ432" s="248"/>
      <c r="AR432" s="248"/>
      <c r="AS432" s="248"/>
      <c r="AT432" s="248"/>
      <c r="AU432" s="152"/>
      <c r="AV432" s="152"/>
      <c r="AW432" s="152"/>
      <c r="AX432" s="152"/>
      <c r="AY432" s="152"/>
      <c r="AZ432" s="152"/>
      <c r="BA432" s="152"/>
      <c r="BB432" s="152"/>
      <c r="BC432" s="152"/>
      <c r="BD432" s="152"/>
      <c r="BE432" s="152"/>
      <c r="BF432" s="152"/>
      <c r="BG432" s="152"/>
      <c r="BH432" s="152"/>
      <c r="BI432" s="152"/>
      <c r="BJ432" s="152"/>
      <c r="BK432" s="152"/>
      <c r="BL432" s="152"/>
      <c r="BM432" s="152"/>
      <c r="BN432" s="152"/>
      <c r="BO432" s="152"/>
      <c r="BP432" s="152"/>
      <c r="BQ432" s="152"/>
      <c r="BR432" s="152"/>
      <c r="BS432" s="152"/>
      <c r="BT432" s="152"/>
      <c r="BU432" s="152"/>
      <c r="BV432" s="152"/>
      <c r="BW432" s="152"/>
      <c r="BX432" s="152"/>
      <c r="BY432" s="152"/>
      <c r="BZ432" s="152"/>
      <c r="CA432" s="152"/>
      <c r="CB432" s="152"/>
      <c r="CC432" s="152"/>
      <c r="CD432" s="152"/>
      <c r="CE432" s="152"/>
      <c r="CF432" s="152"/>
      <c r="CG432" s="252"/>
    </row>
    <row r="433" spans="1:85" s="250" customFormat="1" ht="13.9" customHeight="1" x14ac:dyDescent="0.2">
      <c r="A433" s="251" t="s">
        <v>126</v>
      </c>
      <c r="B433" s="147">
        <v>21</v>
      </c>
      <c r="C433" s="244" t="s">
        <v>129</v>
      </c>
      <c r="D433" s="154" t="s">
        <v>142</v>
      </c>
      <c r="E433" s="155"/>
      <c r="F433" s="155">
        <v>3000000</v>
      </c>
      <c r="G433" s="155"/>
      <c r="H433" s="154">
        <v>78102203</v>
      </c>
      <c r="I433" s="244" t="s">
        <v>476</v>
      </c>
      <c r="J433" s="147">
        <v>8</v>
      </c>
      <c r="K433" s="147">
        <v>9</v>
      </c>
      <c r="L433" s="147">
        <v>12</v>
      </c>
      <c r="M433" s="132">
        <f t="shared" si="74"/>
        <v>1</v>
      </c>
      <c r="N433" s="140" t="s">
        <v>36</v>
      </c>
      <c r="O433" s="141" t="str">
        <f>IF(ISBLANK(N433),"",VLOOKUP(N433,[2]Parámetros!$G$2:$H$23,2,FALSE))</f>
        <v xml:space="preserve">Contratación directa (con ofertas) </v>
      </c>
      <c r="P433" s="245">
        <f t="shared" si="78"/>
        <v>1</v>
      </c>
      <c r="Q433" s="143">
        <f t="shared" si="75"/>
        <v>3000000</v>
      </c>
      <c r="R433" s="143">
        <f t="shared" si="76"/>
        <v>3000000</v>
      </c>
      <c r="S433" s="246" t="s">
        <v>224</v>
      </c>
      <c r="T433" s="245">
        <f t="shared" si="79"/>
        <v>3</v>
      </c>
      <c r="U433" s="145" t="str">
        <f t="shared" si="77"/>
        <v>SUBDIRECCION DE GESTION CONTRACTUAL</v>
      </c>
      <c r="V433" s="245" t="str">
        <f t="shared" si="70"/>
        <v>CO-DC</v>
      </c>
      <c r="W433" s="245" t="str">
        <f t="shared" si="71"/>
        <v>Distrito Capital de Bogotá</v>
      </c>
      <c r="X433" s="154" t="s">
        <v>475</v>
      </c>
      <c r="Y433" s="147">
        <v>2427400</v>
      </c>
      <c r="Z433" s="157" t="s">
        <v>143</v>
      </c>
      <c r="AA433" s="248"/>
      <c r="AB433" s="248"/>
      <c r="AC433" s="248"/>
      <c r="AD433" s="248"/>
      <c r="AE433" s="248"/>
      <c r="AF433" s="248"/>
      <c r="AG433" s="248"/>
      <c r="AH433" s="248"/>
      <c r="AI433" s="248"/>
      <c r="AJ433" s="248"/>
      <c r="AK433" s="248"/>
      <c r="AL433" s="248"/>
      <c r="AM433" s="248"/>
      <c r="AN433" s="248"/>
      <c r="AO433" s="248"/>
      <c r="AP433" s="248"/>
      <c r="AQ433" s="248"/>
      <c r="AR433" s="248"/>
      <c r="AS433" s="248"/>
      <c r="AT433" s="248"/>
      <c r="AU433" s="152"/>
      <c r="AV433" s="152"/>
      <c r="AW433" s="152"/>
      <c r="AX433" s="152"/>
      <c r="AY433" s="152"/>
      <c r="AZ433" s="152"/>
      <c r="BA433" s="152"/>
      <c r="BB433" s="152"/>
      <c r="BC433" s="152"/>
      <c r="BD433" s="152"/>
      <c r="BE433" s="152"/>
      <c r="BF433" s="152"/>
      <c r="BG433" s="152"/>
      <c r="BH433" s="152"/>
      <c r="BI433" s="152"/>
      <c r="BJ433" s="152"/>
      <c r="BK433" s="152"/>
      <c r="BL433" s="152"/>
      <c r="BM433" s="152"/>
      <c r="BN433" s="152"/>
      <c r="BO433" s="152"/>
      <c r="BP433" s="152"/>
      <c r="BQ433" s="152"/>
      <c r="BR433" s="152"/>
      <c r="BS433" s="152"/>
      <c r="BT433" s="152"/>
      <c r="BU433" s="152"/>
      <c r="BV433" s="152"/>
      <c r="BW433" s="152"/>
      <c r="BX433" s="152"/>
      <c r="BY433" s="152"/>
      <c r="BZ433" s="152"/>
      <c r="CA433" s="152"/>
      <c r="CB433" s="152"/>
      <c r="CC433" s="152"/>
      <c r="CD433" s="152"/>
      <c r="CE433" s="152"/>
      <c r="CF433" s="152"/>
      <c r="CG433" s="252"/>
    </row>
    <row r="434" spans="1:85" s="250" customFormat="1" ht="13.9" customHeight="1" x14ac:dyDescent="0.2">
      <c r="A434" s="251" t="s">
        <v>126</v>
      </c>
      <c r="B434" s="147">
        <v>22</v>
      </c>
      <c r="C434" s="244" t="s">
        <v>129</v>
      </c>
      <c r="D434" s="154" t="s">
        <v>56</v>
      </c>
      <c r="E434" s="155"/>
      <c r="F434" s="155">
        <v>0</v>
      </c>
      <c r="G434" s="155"/>
      <c r="H434" s="154" t="s">
        <v>232</v>
      </c>
      <c r="I434" s="244" t="s">
        <v>477</v>
      </c>
      <c r="J434" s="147">
        <v>2</v>
      </c>
      <c r="K434" s="147">
        <v>3</v>
      </c>
      <c r="L434" s="147">
        <v>24</v>
      </c>
      <c r="M434" s="132">
        <f t="shared" si="74"/>
        <v>1</v>
      </c>
      <c r="N434" s="140" t="s">
        <v>444</v>
      </c>
      <c r="O434" s="141" t="str">
        <f>IF(ISBLANK(N434),"",VLOOKUP(N434,[2]Parámetros!$G$2:$H$23,2,FALSE))</f>
        <v>Concurso de méritos abierto</v>
      </c>
      <c r="P434" s="245">
        <f t="shared" si="78"/>
        <v>1</v>
      </c>
      <c r="Q434" s="143">
        <f t="shared" si="75"/>
        <v>0</v>
      </c>
      <c r="R434" s="143">
        <f t="shared" si="76"/>
        <v>0</v>
      </c>
      <c r="S434" s="246" t="s">
        <v>222</v>
      </c>
      <c r="T434" s="245">
        <f t="shared" si="79"/>
        <v>0</v>
      </c>
      <c r="U434" s="145" t="str">
        <f t="shared" si="77"/>
        <v>SUBDIRECCION DE GESTION CONTRACTUAL</v>
      </c>
      <c r="V434" s="245" t="str">
        <f t="shared" si="70"/>
        <v>CO-DC</v>
      </c>
      <c r="W434" s="245" t="str">
        <f t="shared" si="71"/>
        <v>Distrito Capital de Bogotá</v>
      </c>
      <c r="X434" s="154" t="s">
        <v>478</v>
      </c>
      <c r="Y434" s="147">
        <v>2427400</v>
      </c>
      <c r="Z434" s="157" t="s">
        <v>479</v>
      </c>
      <c r="AA434" s="248"/>
      <c r="AB434" s="248"/>
      <c r="AC434" s="248"/>
      <c r="AD434" s="248"/>
      <c r="AE434" s="248"/>
      <c r="AF434" s="248"/>
      <c r="AG434" s="248"/>
      <c r="AH434" s="248"/>
      <c r="AI434" s="248"/>
      <c r="AJ434" s="248"/>
      <c r="AK434" s="248"/>
      <c r="AL434" s="248"/>
      <c r="AM434" s="248"/>
      <c r="AN434" s="248"/>
      <c r="AO434" s="248"/>
      <c r="AP434" s="248"/>
      <c r="AQ434" s="248"/>
      <c r="AR434" s="248"/>
      <c r="AS434" s="248"/>
      <c r="AT434" s="248"/>
      <c r="AU434" s="152"/>
      <c r="AV434" s="152"/>
      <c r="AW434" s="152"/>
      <c r="AX434" s="152"/>
      <c r="AY434" s="152"/>
      <c r="AZ434" s="152"/>
      <c r="BA434" s="152"/>
      <c r="BB434" s="152"/>
      <c r="BC434" s="152"/>
      <c r="BD434" s="152"/>
      <c r="BE434" s="152"/>
      <c r="BF434" s="152"/>
      <c r="BG434" s="152"/>
      <c r="BH434" s="152"/>
      <c r="BI434" s="152"/>
      <c r="BJ434" s="152"/>
      <c r="BK434" s="152"/>
      <c r="BL434" s="152"/>
      <c r="BM434" s="152"/>
      <c r="BN434" s="152"/>
      <c r="BO434" s="152"/>
      <c r="BP434" s="152"/>
      <c r="BQ434" s="152"/>
      <c r="BR434" s="152"/>
      <c r="BS434" s="152"/>
      <c r="BT434" s="152"/>
      <c r="BU434" s="152"/>
      <c r="BV434" s="152"/>
      <c r="BW434" s="152"/>
      <c r="BX434" s="152"/>
      <c r="BY434" s="152"/>
      <c r="BZ434" s="152"/>
      <c r="CA434" s="152"/>
      <c r="CB434" s="152"/>
      <c r="CC434" s="152"/>
      <c r="CD434" s="152"/>
      <c r="CE434" s="152"/>
      <c r="CF434" s="152"/>
      <c r="CG434" s="252"/>
    </row>
    <row r="435" spans="1:85" s="250" customFormat="1" ht="13.9" customHeight="1" x14ac:dyDescent="0.2">
      <c r="A435" s="251" t="s">
        <v>126</v>
      </c>
      <c r="B435" s="147">
        <v>23</v>
      </c>
      <c r="C435" s="244" t="s">
        <v>129</v>
      </c>
      <c r="D435" s="154" t="s">
        <v>56</v>
      </c>
      <c r="E435" s="155"/>
      <c r="F435" s="155">
        <f>327270000+100000000</f>
        <v>427270000</v>
      </c>
      <c r="G435" s="155"/>
      <c r="H435" s="154" t="s">
        <v>232</v>
      </c>
      <c r="I435" s="244" t="s">
        <v>480</v>
      </c>
      <c r="J435" s="147">
        <v>4</v>
      </c>
      <c r="K435" s="147">
        <v>5</v>
      </c>
      <c r="L435" s="147">
        <v>12</v>
      </c>
      <c r="M435" s="132">
        <f t="shared" si="74"/>
        <v>1</v>
      </c>
      <c r="N435" s="140" t="s">
        <v>304</v>
      </c>
      <c r="O435" s="141" t="str">
        <f>IF(ISBLANK(N435),"",VLOOKUP(N435,[2]Parámetros!$G$2:$H$23,2,FALSE))</f>
        <v>Selección abreviada menor cuantía</v>
      </c>
      <c r="P435" s="245">
        <f t="shared" si="78"/>
        <v>1</v>
      </c>
      <c r="Q435" s="143">
        <f t="shared" si="75"/>
        <v>427270000</v>
      </c>
      <c r="R435" s="143">
        <f t="shared" si="76"/>
        <v>427270000</v>
      </c>
      <c r="S435" s="246" t="s">
        <v>224</v>
      </c>
      <c r="T435" s="245">
        <f t="shared" si="79"/>
        <v>3</v>
      </c>
      <c r="U435" s="145" t="str">
        <f t="shared" si="77"/>
        <v>SUBDIRECCION DE GESTION CONTRACTUAL</v>
      </c>
      <c r="V435" s="245" t="str">
        <f t="shared" si="70"/>
        <v>CO-DC</v>
      </c>
      <c r="W435" s="245" t="str">
        <f t="shared" si="71"/>
        <v>Distrito Capital de Bogotá</v>
      </c>
      <c r="X435" s="154" t="s">
        <v>478</v>
      </c>
      <c r="Y435" s="147">
        <v>2427400</v>
      </c>
      <c r="Z435" s="157" t="s">
        <v>479</v>
      </c>
      <c r="AA435" s="248"/>
      <c r="AB435" s="248"/>
      <c r="AC435" s="248"/>
      <c r="AD435" s="248"/>
      <c r="AE435" s="248"/>
      <c r="AF435" s="248"/>
      <c r="AG435" s="248"/>
      <c r="AH435" s="248"/>
      <c r="AI435" s="248"/>
      <c r="AJ435" s="248"/>
      <c r="AK435" s="248"/>
      <c r="AL435" s="248"/>
      <c r="AM435" s="248"/>
      <c r="AN435" s="248"/>
      <c r="AO435" s="248"/>
      <c r="AP435" s="248"/>
      <c r="AQ435" s="248"/>
      <c r="AR435" s="248"/>
      <c r="AS435" s="248"/>
      <c r="AT435" s="248"/>
      <c r="AU435" s="152"/>
      <c r="AV435" s="152"/>
      <c r="AW435" s="152"/>
      <c r="AX435" s="152"/>
      <c r="AY435" s="152"/>
      <c r="AZ435" s="152"/>
      <c r="BA435" s="152"/>
      <c r="BB435" s="152"/>
      <c r="BC435" s="152"/>
      <c r="BD435" s="152"/>
      <c r="BE435" s="152"/>
      <c r="BF435" s="152"/>
      <c r="BG435" s="152"/>
      <c r="BH435" s="152"/>
      <c r="BI435" s="152"/>
      <c r="BJ435" s="152"/>
      <c r="BK435" s="152"/>
      <c r="BL435" s="152"/>
      <c r="BM435" s="152"/>
      <c r="BN435" s="152"/>
      <c r="BO435" s="152"/>
      <c r="BP435" s="152"/>
      <c r="BQ435" s="152"/>
      <c r="BR435" s="152"/>
      <c r="BS435" s="152"/>
      <c r="BT435" s="152"/>
      <c r="BU435" s="152"/>
      <c r="BV435" s="152"/>
      <c r="BW435" s="152"/>
      <c r="BX435" s="152"/>
      <c r="BY435" s="152"/>
      <c r="BZ435" s="152"/>
      <c r="CA435" s="152"/>
      <c r="CB435" s="152"/>
      <c r="CC435" s="152"/>
      <c r="CD435" s="152"/>
      <c r="CE435" s="152"/>
      <c r="CF435" s="152"/>
      <c r="CG435" s="252"/>
    </row>
    <row r="436" spans="1:85" s="250" customFormat="1" ht="13.9" customHeight="1" x14ac:dyDescent="0.2">
      <c r="A436" s="251" t="s">
        <v>126</v>
      </c>
      <c r="B436" s="147">
        <v>24</v>
      </c>
      <c r="C436" s="244" t="s">
        <v>129</v>
      </c>
      <c r="D436" s="154" t="s">
        <v>59</v>
      </c>
      <c r="E436" s="155"/>
      <c r="F436" s="155">
        <v>17180273</v>
      </c>
      <c r="G436" s="155"/>
      <c r="H436" s="154" t="s">
        <v>734</v>
      </c>
      <c r="I436" s="244" t="s">
        <v>481</v>
      </c>
      <c r="J436" s="147">
        <v>11</v>
      </c>
      <c r="K436" s="147">
        <v>11</v>
      </c>
      <c r="L436" s="147">
        <v>1</v>
      </c>
      <c r="M436" s="132">
        <f t="shared" si="74"/>
        <v>1</v>
      </c>
      <c r="N436" s="140" t="s">
        <v>48</v>
      </c>
      <c r="O436" s="141" t="str">
        <f>IF(ISBLANK(N436),"",VLOOKUP(N436,[2]Parámetros!$G$2:$H$23,2,FALSE))</f>
        <v>Mínima cuantía</v>
      </c>
      <c r="P436" s="245">
        <f t="shared" si="78"/>
        <v>1</v>
      </c>
      <c r="Q436" s="143">
        <f t="shared" si="75"/>
        <v>17180273</v>
      </c>
      <c r="R436" s="143">
        <f t="shared" si="76"/>
        <v>17180273</v>
      </c>
      <c r="S436" s="246" t="s">
        <v>222</v>
      </c>
      <c r="T436" s="245">
        <f t="shared" si="79"/>
        <v>0</v>
      </c>
      <c r="U436" s="145" t="str">
        <f t="shared" si="77"/>
        <v>SUBDIRECCION DE GESTION CONTRACTUAL</v>
      </c>
      <c r="V436" s="245" t="str">
        <f t="shared" ref="V436:V482" si="80">IF(ISBLANK(N436),"","CO-DC")</f>
        <v>CO-DC</v>
      </c>
      <c r="W436" s="245" t="str">
        <f t="shared" ref="W436:W482" si="81">IF(ISBLANK(N436),"","Distrito Capital de Bogotá")</f>
        <v>Distrito Capital de Bogotá</v>
      </c>
      <c r="X436" s="154" t="s">
        <v>482</v>
      </c>
      <c r="Y436" s="147">
        <v>2427400</v>
      </c>
      <c r="Z436" s="157" t="s">
        <v>145</v>
      </c>
      <c r="AA436" s="248"/>
      <c r="AB436" s="248"/>
      <c r="AC436" s="248"/>
      <c r="AD436" s="248"/>
      <c r="AE436" s="248"/>
      <c r="AF436" s="248"/>
      <c r="AG436" s="248"/>
      <c r="AH436" s="248"/>
      <c r="AI436" s="248"/>
      <c r="AJ436" s="248"/>
      <c r="AK436" s="248"/>
      <c r="AL436" s="248"/>
      <c r="AM436" s="248"/>
      <c r="AN436" s="248"/>
      <c r="AO436" s="248"/>
      <c r="AP436" s="248"/>
      <c r="AQ436" s="248"/>
      <c r="AR436" s="248"/>
      <c r="AS436" s="248"/>
      <c r="AT436" s="248"/>
      <c r="AU436" s="152"/>
      <c r="AV436" s="152"/>
      <c r="AW436" s="152"/>
      <c r="AX436" s="152"/>
      <c r="AY436" s="152"/>
      <c r="AZ436" s="152"/>
      <c r="BA436" s="152"/>
      <c r="BB436" s="152"/>
      <c r="BC436" s="152"/>
      <c r="BD436" s="152"/>
      <c r="BE436" s="152"/>
      <c r="BF436" s="152"/>
      <c r="BG436" s="152"/>
      <c r="BH436" s="152"/>
      <c r="BI436" s="152"/>
      <c r="BJ436" s="152"/>
      <c r="BK436" s="152"/>
      <c r="BL436" s="152"/>
      <c r="BM436" s="152"/>
      <c r="BN436" s="152"/>
      <c r="BO436" s="152"/>
      <c r="BP436" s="152"/>
      <c r="BQ436" s="152"/>
      <c r="BR436" s="152"/>
      <c r="BS436" s="152"/>
      <c r="BT436" s="152"/>
      <c r="BU436" s="152"/>
      <c r="BV436" s="152"/>
      <c r="BW436" s="152"/>
      <c r="BX436" s="152"/>
      <c r="BY436" s="152"/>
      <c r="BZ436" s="152"/>
      <c r="CA436" s="152"/>
      <c r="CB436" s="152"/>
      <c r="CC436" s="152"/>
      <c r="CD436" s="152"/>
      <c r="CE436" s="152"/>
      <c r="CF436" s="152"/>
      <c r="CG436" s="252"/>
    </row>
    <row r="437" spans="1:85" s="145" customFormat="1" ht="12.75" customHeight="1" x14ac:dyDescent="0.2">
      <c r="A437" s="251" t="s">
        <v>126</v>
      </c>
      <c r="B437" s="147">
        <v>25</v>
      </c>
      <c r="C437" s="244" t="s">
        <v>129</v>
      </c>
      <c r="D437" s="154" t="s">
        <v>59</v>
      </c>
      <c r="E437" s="155">
        <v>835380</v>
      </c>
      <c r="F437" s="155">
        <v>7518420</v>
      </c>
      <c r="G437" s="155"/>
      <c r="H437" s="154">
        <v>83111903</v>
      </c>
      <c r="I437" s="244" t="s">
        <v>483</v>
      </c>
      <c r="J437" s="147">
        <v>1</v>
      </c>
      <c r="K437" s="147">
        <v>1</v>
      </c>
      <c r="L437" s="147">
        <v>11</v>
      </c>
      <c r="M437" s="132">
        <f t="shared" si="74"/>
        <v>1</v>
      </c>
      <c r="N437" s="140" t="s">
        <v>48</v>
      </c>
      <c r="O437" s="141" t="str">
        <f>IF(ISBLANK(N437),"",VLOOKUP(N437,[2]Parámetros!$G$2:$H$23,2,FALSE))</f>
        <v>Mínima cuantía</v>
      </c>
      <c r="P437" s="245">
        <f t="shared" si="78"/>
        <v>1</v>
      </c>
      <c r="Q437" s="143">
        <f t="shared" si="75"/>
        <v>8353800</v>
      </c>
      <c r="R437" s="143">
        <f t="shared" si="76"/>
        <v>7518420</v>
      </c>
      <c r="S437" s="246" t="s">
        <v>222</v>
      </c>
      <c r="T437" s="245">
        <f t="shared" si="79"/>
        <v>0</v>
      </c>
      <c r="U437" s="145" t="str">
        <f t="shared" si="77"/>
        <v>SUBDIRECCION DE GESTION CONTRACTUAL</v>
      </c>
      <c r="V437" s="245" t="str">
        <f t="shared" si="80"/>
        <v>CO-DC</v>
      </c>
      <c r="W437" s="245" t="str">
        <f t="shared" si="81"/>
        <v>Distrito Capital de Bogotá</v>
      </c>
      <c r="X437" s="154" t="s">
        <v>467</v>
      </c>
      <c r="Y437" s="147">
        <v>2427400</v>
      </c>
      <c r="Z437" s="157" t="s">
        <v>131</v>
      </c>
      <c r="AA437" s="248"/>
      <c r="AB437" s="248"/>
      <c r="AC437" s="248"/>
      <c r="AD437" s="248"/>
      <c r="AE437" s="248"/>
      <c r="AF437" s="248"/>
      <c r="AG437" s="248"/>
      <c r="AH437" s="248"/>
      <c r="AI437" s="248"/>
      <c r="AJ437" s="248"/>
      <c r="AK437" s="248"/>
      <c r="AL437" s="248"/>
      <c r="AM437" s="248"/>
      <c r="AN437" s="248"/>
      <c r="AO437" s="248"/>
      <c r="AP437" s="248"/>
      <c r="AQ437" s="248"/>
      <c r="AR437" s="248"/>
      <c r="AS437" s="248"/>
      <c r="AT437" s="248"/>
      <c r="AU437" s="152"/>
      <c r="AV437" s="152"/>
      <c r="AW437" s="152"/>
      <c r="AX437" s="152"/>
      <c r="AY437" s="152"/>
      <c r="AZ437" s="152"/>
      <c r="BA437" s="152"/>
      <c r="BB437" s="152"/>
      <c r="BC437" s="152"/>
      <c r="BD437" s="152"/>
      <c r="BE437" s="152"/>
      <c r="BF437" s="152"/>
      <c r="BG437" s="152"/>
      <c r="BH437" s="152"/>
      <c r="BI437" s="152"/>
      <c r="BJ437" s="152"/>
      <c r="BK437" s="152"/>
      <c r="BL437" s="152"/>
      <c r="BM437" s="152"/>
      <c r="BN437" s="152"/>
      <c r="BO437" s="152"/>
      <c r="BP437" s="152"/>
      <c r="BQ437" s="152"/>
      <c r="BR437" s="152"/>
      <c r="BS437" s="152"/>
      <c r="BT437" s="152"/>
      <c r="BU437" s="152"/>
      <c r="BV437" s="152"/>
      <c r="BW437" s="152"/>
      <c r="BX437" s="152"/>
      <c r="BY437" s="152"/>
      <c r="BZ437" s="152"/>
      <c r="CA437" s="152"/>
      <c r="CB437" s="152"/>
      <c r="CC437" s="152"/>
      <c r="CD437" s="152"/>
      <c r="CE437" s="152"/>
      <c r="CF437" s="152"/>
      <c r="CG437" s="252"/>
    </row>
    <row r="438" spans="1:85" s="250" customFormat="1" ht="13.9" customHeight="1" x14ac:dyDescent="0.2">
      <c r="A438" s="251" t="s">
        <v>126</v>
      </c>
      <c r="B438" s="147">
        <v>26</v>
      </c>
      <c r="C438" s="244" t="s">
        <v>129</v>
      </c>
      <c r="D438" s="154" t="s">
        <v>59</v>
      </c>
      <c r="E438" s="155"/>
      <c r="F438" s="155">
        <v>2000000</v>
      </c>
      <c r="G438" s="155"/>
      <c r="H438" s="154">
        <v>83111903</v>
      </c>
      <c r="I438" s="244" t="s">
        <v>484</v>
      </c>
      <c r="J438" s="147">
        <v>10</v>
      </c>
      <c r="K438" s="147">
        <v>12</v>
      </c>
      <c r="L438" s="147">
        <v>12</v>
      </c>
      <c r="M438" s="132">
        <f t="shared" si="74"/>
        <v>1</v>
      </c>
      <c r="N438" s="140" t="s">
        <v>48</v>
      </c>
      <c r="O438" s="141" t="str">
        <f>IF(ISBLANK(N438),"",VLOOKUP(N438,[2]Parámetros!$G$2:$H$23,2,FALSE))</f>
        <v>Mínima cuantía</v>
      </c>
      <c r="P438" s="245">
        <f t="shared" si="78"/>
        <v>1</v>
      </c>
      <c r="Q438" s="143">
        <f t="shared" si="75"/>
        <v>2000000</v>
      </c>
      <c r="R438" s="143">
        <f t="shared" si="76"/>
        <v>2000000</v>
      </c>
      <c r="S438" s="246" t="s">
        <v>224</v>
      </c>
      <c r="T438" s="245">
        <f t="shared" si="79"/>
        <v>3</v>
      </c>
      <c r="U438" s="145" t="str">
        <f t="shared" si="77"/>
        <v>SUBDIRECCION DE GESTION CONTRACTUAL</v>
      </c>
      <c r="V438" s="245" t="str">
        <f t="shared" si="80"/>
        <v>CO-DC</v>
      </c>
      <c r="W438" s="245" t="str">
        <f t="shared" si="81"/>
        <v>Distrito Capital de Bogotá</v>
      </c>
      <c r="X438" s="154" t="s">
        <v>467</v>
      </c>
      <c r="Y438" s="147">
        <v>2427400</v>
      </c>
      <c r="Z438" s="157" t="s">
        <v>131</v>
      </c>
      <c r="AA438" s="248"/>
      <c r="AB438" s="248"/>
      <c r="AC438" s="248"/>
      <c r="AD438" s="248"/>
      <c r="AE438" s="248"/>
      <c r="AF438" s="248"/>
      <c r="AG438" s="248"/>
      <c r="AH438" s="248"/>
      <c r="AI438" s="248"/>
      <c r="AJ438" s="248"/>
      <c r="AK438" s="248"/>
      <c r="AL438" s="248"/>
      <c r="AM438" s="248"/>
      <c r="AN438" s="248"/>
      <c r="AO438" s="248"/>
      <c r="AP438" s="248"/>
      <c r="AQ438" s="248"/>
      <c r="AR438" s="248"/>
      <c r="AS438" s="248"/>
      <c r="AT438" s="248"/>
      <c r="AU438" s="152"/>
      <c r="AV438" s="152"/>
      <c r="AW438" s="152"/>
      <c r="AX438" s="152"/>
      <c r="AY438" s="152"/>
      <c r="AZ438" s="152"/>
      <c r="BA438" s="152"/>
      <c r="BB438" s="152"/>
      <c r="BC438" s="152"/>
      <c r="BD438" s="152"/>
      <c r="BE438" s="152"/>
      <c r="BF438" s="152"/>
      <c r="BG438" s="152"/>
      <c r="BH438" s="152"/>
      <c r="BI438" s="152"/>
      <c r="BJ438" s="152"/>
      <c r="BK438" s="152"/>
      <c r="BL438" s="152"/>
      <c r="BM438" s="152"/>
      <c r="BN438" s="152"/>
      <c r="BO438" s="152"/>
      <c r="BP438" s="152"/>
      <c r="BQ438" s="152"/>
      <c r="BR438" s="152"/>
      <c r="BS438" s="152"/>
      <c r="BT438" s="152"/>
      <c r="BU438" s="152"/>
      <c r="BV438" s="152"/>
      <c r="BW438" s="152"/>
      <c r="BX438" s="152"/>
      <c r="BY438" s="152"/>
      <c r="BZ438" s="152"/>
      <c r="CA438" s="152"/>
      <c r="CB438" s="152"/>
      <c r="CC438" s="152"/>
      <c r="CD438" s="152"/>
      <c r="CE438" s="152"/>
      <c r="CF438" s="152"/>
      <c r="CG438" s="252"/>
    </row>
    <row r="439" spans="1:85" s="250" customFormat="1" ht="13.9" customHeight="1" x14ac:dyDescent="0.2">
      <c r="A439" s="251" t="s">
        <v>126</v>
      </c>
      <c r="B439" s="147">
        <v>27</v>
      </c>
      <c r="C439" s="244" t="s">
        <v>129</v>
      </c>
      <c r="D439" s="154" t="s">
        <v>60</v>
      </c>
      <c r="E439" s="155">
        <v>1325020663</v>
      </c>
      <c r="F439" s="155">
        <v>1368255649</v>
      </c>
      <c r="G439" s="155"/>
      <c r="H439" s="154">
        <v>92121500</v>
      </c>
      <c r="I439" s="244" t="s">
        <v>485</v>
      </c>
      <c r="J439" s="147">
        <v>1</v>
      </c>
      <c r="K439" s="147">
        <v>1</v>
      </c>
      <c r="L439" s="147">
        <v>11</v>
      </c>
      <c r="M439" s="132">
        <f t="shared" si="74"/>
        <v>1</v>
      </c>
      <c r="N439" s="140" t="s">
        <v>43</v>
      </c>
      <c r="O439" s="141" t="str">
        <f>IF(ISBLANK(N439),"",VLOOKUP(N439,[2]Parámetros!$G$2:$H$23,2,FALSE))</f>
        <v>Selección abreviada subasta inversa</v>
      </c>
      <c r="P439" s="245">
        <f t="shared" si="78"/>
        <v>1</v>
      </c>
      <c r="Q439" s="143">
        <f t="shared" si="75"/>
        <v>2693276312</v>
      </c>
      <c r="R439" s="143">
        <f t="shared" si="76"/>
        <v>1368255649</v>
      </c>
      <c r="S439" s="246" t="s">
        <v>222</v>
      </c>
      <c r="T439" s="245">
        <f t="shared" si="79"/>
        <v>0</v>
      </c>
      <c r="U439" s="145" t="str">
        <f t="shared" si="77"/>
        <v>SUBDIRECCION DE GESTION CONTRACTUAL</v>
      </c>
      <c r="V439" s="245" t="str">
        <f t="shared" si="80"/>
        <v>CO-DC</v>
      </c>
      <c r="W439" s="245" t="str">
        <f t="shared" si="81"/>
        <v>Distrito Capital de Bogotá</v>
      </c>
      <c r="X439" s="154" t="s">
        <v>467</v>
      </c>
      <c r="Y439" s="147">
        <v>2427400</v>
      </c>
      <c r="Z439" s="157" t="s">
        <v>131</v>
      </c>
      <c r="AA439" s="248"/>
      <c r="AB439" s="248"/>
      <c r="AC439" s="248"/>
      <c r="AD439" s="248"/>
      <c r="AE439" s="248"/>
      <c r="AF439" s="248"/>
      <c r="AG439" s="248"/>
      <c r="AH439" s="248"/>
      <c r="AI439" s="248"/>
      <c r="AJ439" s="248"/>
      <c r="AK439" s="248"/>
      <c r="AL439" s="248"/>
      <c r="AM439" s="248"/>
      <c r="AN439" s="248"/>
      <c r="AO439" s="248"/>
      <c r="AP439" s="248"/>
      <c r="AQ439" s="248"/>
      <c r="AR439" s="248"/>
      <c r="AS439" s="248"/>
      <c r="AT439" s="248"/>
      <c r="AU439" s="152"/>
      <c r="AV439" s="152"/>
      <c r="AW439" s="152"/>
      <c r="AX439" s="152"/>
      <c r="AY439" s="152"/>
      <c r="AZ439" s="152"/>
      <c r="BA439" s="152"/>
      <c r="BB439" s="152"/>
      <c r="BC439" s="152"/>
      <c r="BD439" s="152"/>
      <c r="BE439" s="152"/>
      <c r="BF439" s="152"/>
      <c r="BG439" s="152"/>
      <c r="BH439" s="152"/>
      <c r="BI439" s="152"/>
      <c r="BJ439" s="152"/>
      <c r="BK439" s="152"/>
      <c r="BL439" s="152"/>
      <c r="BM439" s="152"/>
      <c r="BN439" s="152"/>
      <c r="BO439" s="152"/>
      <c r="BP439" s="152"/>
      <c r="BQ439" s="152"/>
      <c r="BR439" s="152"/>
      <c r="BS439" s="152"/>
      <c r="BT439" s="152"/>
      <c r="BU439" s="152"/>
      <c r="BV439" s="152"/>
      <c r="BW439" s="152"/>
      <c r="BX439" s="152"/>
      <c r="BY439" s="152"/>
      <c r="BZ439" s="152"/>
      <c r="CA439" s="152"/>
      <c r="CB439" s="152"/>
      <c r="CC439" s="152"/>
      <c r="CD439" s="152"/>
      <c r="CE439" s="152"/>
      <c r="CF439" s="152"/>
      <c r="CG439" s="252"/>
    </row>
    <row r="440" spans="1:85" s="250" customFormat="1" ht="13.9" customHeight="1" x14ac:dyDescent="0.2">
      <c r="A440" s="251" t="s">
        <v>126</v>
      </c>
      <c r="B440" s="147">
        <v>28</v>
      </c>
      <c r="C440" s="244" t="s">
        <v>129</v>
      </c>
      <c r="D440" s="154" t="s">
        <v>60</v>
      </c>
      <c r="E440" s="155"/>
      <c r="F440" s="155">
        <v>125715891</v>
      </c>
      <c r="G440" s="155"/>
      <c r="H440" s="154">
        <v>92121500</v>
      </c>
      <c r="I440" s="244" t="s">
        <v>486</v>
      </c>
      <c r="J440" s="147">
        <v>7</v>
      </c>
      <c r="K440" s="147">
        <v>10</v>
      </c>
      <c r="L440" s="147">
        <v>24</v>
      </c>
      <c r="M440" s="132">
        <f t="shared" si="74"/>
        <v>1</v>
      </c>
      <c r="N440" s="140" t="s">
        <v>43</v>
      </c>
      <c r="O440" s="141" t="str">
        <f>IF(ISBLANK(N440),"",VLOOKUP(N440,[2]Parámetros!$G$2:$H$23,2,FALSE))</f>
        <v>Selección abreviada subasta inversa</v>
      </c>
      <c r="P440" s="245">
        <f t="shared" si="78"/>
        <v>1</v>
      </c>
      <c r="Q440" s="143">
        <f t="shared" si="75"/>
        <v>125715891</v>
      </c>
      <c r="R440" s="143">
        <f t="shared" si="76"/>
        <v>125715891</v>
      </c>
      <c r="S440" s="246">
        <v>0</v>
      </c>
      <c r="T440" s="245">
        <f t="shared" si="79"/>
        <v>0</v>
      </c>
      <c r="U440" s="145" t="str">
        <f t="shared" si="77"/>
        <v>SUBDIRECCION DE GESTION CONTRACTUAL</v>
      </c>
      <c r="V440" s="245" t="str">
        <f t="shared" si="80"/>
        <v>CO-DC</v>
      </c>
      <c r="W440" s="245" t="str">
        <f t="shared" si="81"/>
        <v>Distrito Capital de Bogotá</v>
      </c>
      <c r="X440" s="154" t="s">
        <v>467</v>
      </c>
      <c r="Y440" s="147">
        <v>2427400</v>
      </c>
      <c r="Z440" s="157" t="s">
        <v>131</v>
      </c>
      <c r="AA440" s="248"/>
      <c r="AB440" s="248"/>
      <c r="AC440" s="248"/>
      <c r="AD440" s="248"/>
      <c r="AE440" s="248"/>
      <c r="AF440" s="248"/>
      <c r="AG440" s="248"/>
      <c r="AH440" s="248"/>
      <c r="AI440" s="248"/>
      <c r="AJ440" s="248"/>
      <c r="AK440" s="248"/>
      <c r="AL440" s="248"/>
      <c r="AM440" s="248"/>
      <c r="AN440" s="248"/>
      <c r="AO440" s="248"/>
      <c r="AP440" s="248"/>
      <c r="AQ440" s="248"/>
      <c r="AR440" s="248"/>
      <c r="AS440" s="248"/>
      <c r="AT440" s="248"/>
      <c r="AU440" s="152"/>
      <c r="AV440" s="152"/>
      <c r="AW440" s="152"/>
      <c r="AX440" s="152"/>
      <c r="AY440" s="152"/>
      <c r="AZ440" s="152"/>
      <c r="BA440" s="152"/>
      <c r="BB440" s="152"/>
      <c r="BC440" s="152"/>
      <c r="BD440" s="152"/>
      <c r="BE440" s="152"/>
      <c r="BF440" s="152"/>
      <c r="BG440" s="152"/>
      <c r="BH440" s="152"/>
      <c r="BI440" s="152"/>
      <c r="BJ440" s="152"/>
      <c r="BK440" s="152"/>
      <c r="BL440" s="152"/>
      <c r="BM440" s="152"/>
      <c r="BN440" s="152"/>
      <c r="BO440" s="152"/>
      <c r="BP440" s="152"/>
      <c r="BQ440" s="152"/>
      <c r="BR440" s="152"/>
      <c r="BS440" s="152"/>
      <c r="BT440" s="152"/>
      <c r="BU440" s="152"/>
      <c r="BV440" s="152"/>
      <c r="BW440" s="152"/>
      <c r="BX440" s="152"/>
      <c r="BY440" s="152"/>
      <c r="BZ440" s="152"/>
      <c r="CA440" s="152"/>
      <c r="CB440" s="152"/>
      <c r="CC440" s="152"/>
      <c r="CD440" s="152"/>
      <c r="CE440" s="152"/>
      <c r="CF440" s="152"/>
      <c r="CG440" s="252"/>
    </row>
    <row r="441" spans="1:85" s="250" customFormat="1" ht="13.9" customHeight="1" x14ac:dyDescent="0.2">
      <c r="A441" s="251" t="s">
        <v>126</v>
      </c>
      <c r="B441" s="147">
        <v>29</v>
      </c>
      <c r="C441" s="244" t="s">
        <v>129</v>
      </c>
      <c r="D441" s="154" t="s">
        <v>60</v>
      </c>
      <c r="E441" s="155">
        <v>616611423</v>
      </c>
      <c r="F441" s="155">
        <f>699806076.4+100000000.6</f>
        <v>799806077</v>
      </c>
      <c r="G441" s="155"/>
      <c r="H441" s="135" t="s">
        <v>234</v>
      </c>
      <c r="I441" s="244" t="s">
        <v>487</v>
      </c>
      <c r="J441" s="147">
        <v>1</v>
      </c>
      <c r="K441" s="147">
        <v>1</v>
      </c>
      <c r="L441" s="147">
        <v>7</v>
      </c>
      <c r="M441" s="132">
        <f t="shared" si="74"/>
        <v>1</v>
      </c>
      <c r="N441" s="140" t="s">
        <v>53</v>
      </c>
      <c r="O441" s="141" t="str">
        <f>IF(ISBLANK(N441),"",VLOOKUP(N441,[2]Parámetros!$G$2:$H$23,2,FALSE))</f>
        <v>Seléccion abreviada - acuerdo marco</v>
      </c>
      <c r="P441" s="245">
        <f t="shared" si="78"/>
        <v>1</v>
      </c>
      <c r="Q441" s="143">
        <f t="shared" si="75"/>
        <v>1416417500</v>
      </c>
      <c r="R441" s="143">
        <f t="shared" si="76"/>
        <v>799806077</v>
      </c>
      <c r="S441" s="246" t="s">
        <v>222</v>
      </c>
      <c r="T441" s="245">
        <f t="shared" si="79"/>
        <v>0</v>
      </c>
      <c r="U441" s="145" t="str">
        <f t="shared" si="77"/>
        <v>SUBDIRECCION DE GESTION CONTRACTUAL</v>
      </c>
      <c r="V441" s="132" t="str">
        <f t="shared" si="80"/>
        <v>CO-DC</v>
      </c>
      <c r="W441" s="145" t="str">
        <f t="shared" si="81"/>
        <v>Distrito Capital de Bogotá</v>
      </c>
      <c r="X441" s="154" t="s">
        <v>467</v>
      </c>
      <c r="Y441" s="147">
        <v>2427400</v>
      </c>
      <c r="Z441" s="157" t="s">
        <v>131</v>
      </c>
      <c r="AA441" s="248"/>
      <c r="AB441" s="248"/>
      <c r="AC441" s="248"/>
      <c r="AD441" s="248"/>
      <c r="AE441" s="248"/>
      <c r="AF441" s="248"/>
      <c r="AG441" s="248"/>
      <c r="AH441" s="248"/>
      <c r="AI441" s="248"/>
      <c r="AJ441" s="248"/>
      <c r="AK441" s="248"/>
      <c r="AL441" s="248"/>
      <c r="AM441" s="248"/>
      <c r="AN441" s="248"/>
      <c r="AO441" s="248"/>
      <c r="AP441" s="248"/>
      <c r="AQ441" s="248"/>
      <c r="AR441" s="248"/>
      <c r="AS441" s="248"/>
      <c r="AT441" s="248"/>
      <c r="AU441" s="152"/>
      <c r="AV441" s="152"/>
      <c r="AW441" s="152"/>
      <c r="AX441" s="152"/>
      <c r="AY441" s="152"/>
      <c r="AZ441" s="152"/>
      <c r="BA441" s="152"/>
      <c r="BB441" s="152"/>
      <c r="BC441" s="152"/>
      <c r="BD441" s="152"/>
      <c r="BE441" s="152"/>
      <c r="BF441" s="152"/>
      <c r="BG441" s="152"/>
      <c r="BH441" s="152"/>
      <c r="BI441" s="152"/>
      <c r="BJ441" s="152"/>
      <c r="BK441" s="152"/>
      <c r="BL441" s="152"/>
      <c r="BM441" s="152"/>
      <c r="BN441" s="152"/>
      <c r="BO441" s="152"/>
      <c r="BP441" s="152"/>
      <c r="BQ441" s="152"/>
      <c r="BR441" s="152"/>
      <c r="BS441" s="152"/>
      <c r="BT441" s="152"/>
      <c r="BU441" s="152"/>
      <c r="BV441" s="152"/>
      <c r="BW441" s="152"/>
      <c r="BX441" s="152"/>
      <c r="BY441" s="152"/>
      <c r="BZ441" s="152"/>
      <c r="CA441" s="152"/>
      <c r="CB441" s="152"/>
      <c r="CC441" s="152"/>
      <c r="CD441" s="152"/>
      <c r="CE441" s="152"/>
      <c r="CF441" s="152"/>
      <c r="CG441" s="252"/>
    </row>
    <row r="442" spans="1:85" s="250" customFormat="1" ht="13.9" customHeight="1" x14ac:dyDescent="0.2">
      <c r="A442" s="251" t="s">
        <v>126</v>
      </c>
      <c r="B442" s="147">
        <v>30</v>
      </c>
      <c r="C442" s="244" t="s">
        <v>129</v>
      </c>
      <c r="D442" s="154" t="s">
        <v>60</v>
      </c>
      <c r="E442" s="155"/>
      <c r="F442" s="155">
        <f>284774390+148042037+485258</f>
        <v>433301685</v>
      </c>
      <c r="G442" s="155"/>
      <c r="H442" s="135" t="s">
        <v>234</v>
      </c>
      <c r="I442" s="244" t="s">
        <v>488</v>
      </c>
      <c r="J442" s="147">
        <v>7</v>
      </c>
      <c r="K442" s="147">
        <v>7</v>
      </c>
      <c r="L442" s="147">
        <v>12</v>
      </c>
      <c r="M442" s="132">
        <f t="shared" si="74"/>
        <v>1</v>
      </c>
      <c r="N442" s="140" t="s">
        <v>53</v>
      </c>
      <c r="O442" s="141" t="str">
        <f>IF(ISBLANK(N442),"",VLOOKUP(N442,[2]Parámetros!$G$2:$H$23,2,FALSE))</f>
        <v>Seléccion abreviada - acuerdo marco</v>
      </c>
      <c r="P442" s="245">
        <f t="shared" si="78"/>
        <v>1</v>
      </c>
      <c r="Q442" s="143">
        <f t="shared" si="75"/>
        <v>433301685</v>
      </c>
      <c r="R442" s="143">
        <f t="shared" si="76"/>
        <v>433301685</v>
      </c>
      <c r="S442" s="246" t="s">
        <v>224</v>
      </c>
      <c r="T442" s="245">
        <f t="shared" si="79"/>
        <v>3</v>
      </c>
      <c r="U442" s="145" t="str">
        <f t="shared" si="77"/>
        <v>SUBDIRECCION DE GESTION CONTRACTUAL</v>
      </c>
      <c r="V442" s="132" t="str">
        <f t="shared" si="80"/>
        <v>CO-DC</v>
      </c>
      <c r="W442" s="145" t="str">
        <f t="shared" si="81"/>
        <v>Distrito Capital de Bogotá</v>
      </c>
      <c r="X442" s="154" t="s">
        <v>467</v>
      </c>
      <c r="Y442" s="147">
        <v>2427400</v>
      </c>
      <c r="Z442" s="157" t="s">
        <v>131</v>
      </c>
      <c r="AA442" s="248"/>
      <c r="AB442" s="248"/>
      <c r="AC442" s="248"/>
      <c r="AD442" s="248"/>
      <c r="AE442" s="248"/>
      <c r="AF442" s="248"/>
      <c r="AG442" s="248"/>
      <c r="AH442" s="248"/>
      <c r="AI442" s="248"/>
      <c r="AJ442" s="248"/>
      <c r="AK442" s="248"/>
      <c r="AL442" s="248"/>
      <c r="AM442" s="248"/>
      <c r="AN442" s="248"/>
      <c r="AO442" s="248"/>
      <c r="AP442" s="248"/>
      <c r="AQ442" s="248"/>
      <c r="AR442" s="248"/>
      <c r="AS442" s="248"/>
      <c r="AT442" s="248"/>
      <c r="AU442" s="152"/>
      <c r="AV442" s="152"/>
      <c r="AW442" s="152"/>
      <c r="AX442" s="152"/>
      <c r="AY442" s="152"/>
      <c r="AZ442" s="152"/>
      <c r="BA442" s="152"/>
      <c r="BB442" s="152"/>
      <c r="BC442" s="152"/>
      <c r="BD442" s="152"/>
      <c r="BE442" s="152"/>
      <c r="BF442" s="152"/>
      <c r="BG442" s="152"/>
      <c r="BH442" s="152"/>
      <c r="BI442" s="152"/>
      <c r="BJ442" s="152"/>
      <c r="BK442" s="152"/>
      <c r="BL442" s="152"/>
      <c r="BM442" s="152"/>
      <c r="BN442" s="152"/>
      <c r="BO442" s="152"/>
      <c r="BP442" s="152"/>
      <c r="BQ442" s="152"/>
      <c r="BR442" s="152"/>
      <c r="BS442" s="152"/>
      <c r="BT442" s="152"/>
      <c r="BU442" s="152"/>
      <c r="BV442" s="152"/>
      <c r="BW442" s="152"/>
      <c r="BX442" s="152"/>
      <c r="BY442" s="152"/>
      <c r="BZ442" s="152"/>
      <c r="CA442" s="152"/>
      <c r="CB442" s="152"/>
      <c r="CC442" s="152"/>
      <c r="CD442" s="152"/>
      <c r="CE442" s="152"/>
      <c r="CF442" s="152"/>
      <c r="CG442" s="252"/>
    </row>
    <row r="443" spans="1:85" s="145" customFormat="1" ht="12.75" customHeight="1" x14ac:dyDescent="0.2">
      <c r="A443" s="251" t="s">
        <v>126</v>
      </c>
      <c r="B443" s="147">
        <v>31</v>
      </c>
      <c r="C443" s="244" t="s">
        <v>129</v>
      </c>
      <c r="D443" s="154" t="s">
        <v>63</v>
      </c>
      <c r="E443" s="155">
        <v>1721666</v>
      </c>
      <c r="F443" s="155">
        <v>20251978</v>
      </c>
      <c r="G443" s="155"/>
      <c r="H443" s="154" t="s">
        <v>740</v>
      </c>
      <c r="I443" s="244" t="s">
        <v>489</v>
      </c>
      <c r="J443" s="147">
        <v>1</v>
      </c>
      <c r="K443" s="147">
        <v>1</v>
      </c>
      <c r="L443" s="147">
        <v>11</v>
      </c>
      <c r="M443" s="132">
        <f t="shared" si="74"/>
        <v>1</v>
      </c>
      <c r="N443" s="140" t="s">
        <v>48</v>
      </c>
      <c r="O443" s="141" t="str">
        <f>IF(ISBLANK(N443),"",VLOOKUP(N443,[2]Parámetros!$G$2:$H$23,2,FALSE))</f>
        <v>Mínima cuantía</v>
      </c>
      <c r="P443" s="245">
        <f t="shared" si="78"/>
        <v>1</v>
      </c>
      <c r="Q443" s="143">
        <f t="shared" si="75"/>
        <v>21973644</v>
      </c>
      <c r="R443" s="143">
        <f t="shared" si="76"/>
        <v>20251978</v>
      </c>
      <c r="S443" s="246" t="s">
        <v>222</v>
      </c>
      <c r="T443" s="245">
        <f t="shared" si="79"/>
        <v>0</v>
      </c>
      <c r="U443" s="145" t="str">
        <f t="shared" si="77"/>
        <v>SUBDIRECCION DE GESTION CONTRACTUAL</v>
      </c>
      <c r="V443" s="245" t="str">
        <f t="shared" si="80"/>
        <v>CO-DC</v>
      </c>
      <c r="W443" s="245" t="str">
        <f t="shared" si="81"/>
        <v>Distrito Capital de Bogotá</v>
      </c>
      <c r="X443" s="154" t="s">
        <v>467</v>
      </c>
      <c r="Y443" s="147">
        <v>2427400</v>
      </c>
      <c r="Z443" s="157" t="s">
        <v>131</v>
      </c>
      <c r="AA443" s="248"/>
      <c r="AB443" s="248"/>
      <c r="AC443" s="248"/>
      <c r="AD443" s="248"/>
      <c r="AE443" s="248"/>
      <c r="AF443" s="248"/>
      <c r="AG443" s="248"/>
      <c r="AH443" s="248"/>
      <c r="AI443" s="248"/>
      <c r="AJ443" s="248"/>
      <c r="AK443" s="248"/>
      <c r="AL443" s="248"/>
      <c r="AM443" s="248"/>
      <c r="AN443" s="248"/>
      <c r="AO443" s="248"/>
      <c r="AP443" s="248"/>
      <c r="AQ443" s="248"/>
      <c r="AR443" s="248"/>
      <c r="AS443" s="248"/>
      <c r="AT443" s="248"/>
      <c r="AU443" s="152"/>
      <c r="AV443" s="152"/>
      <c r="AW443" s="152"/>
      <c r="AX443" s="152"/>
      <c r="AY443" s="152"/>
      <c r="AZ443" s="152"/>
      <c r="BA443" s="152"/>
      <c r="BB443" s="152"/>
      <c r="BC443" s="152"/>
      <c r="BD443" s="152"/>
      <c r="BE443" s="152"/>
      <c r="BF443" s="152"/>
      <c r="BG443" s="152"/>
      <c r="BH443" s="152"/>
      <c r="BI443" s="152"/>
      <c r="BJ443" s="152"/>
      <c r="BK443" s="152"/>
      <c r="BL443" s="152"/>
      <c r="BM443" s="152"/>
      <c r="BN443" s="152"/>
      <c r="BO443" s="152"/>
      <c r="BP443" s="152"/>
      <c r="BQ443" s="152"/>
      <c r="BR443" s="152"/>
      <c r="BS443" s="152"/>
      <c r="BT443" s="152"/>
      <c r="BU443" s="152"/>
      <c r="BV443" s="152"/>
      <c r="BW443" s="152"/>
      <c r="BX443" s="152"/>
      <c r="BY443" s="152"/>
      <c r="BZ443" s="152"/>
      <c r="CA443" s="152"/>
      <c r="CB443" s="152"/>
      <c r="CC443" s="152"/>
      <c r="CD443" s="152"/>
      <c r="CE443" s="152"/>
      <c r="CF443" s="152"/>
      <c r="CG443" s="252"/>
    </row>
    <row r="444" spans="1:85" s="250" customFormat="1" ht="13.9" customHeight="1" x14ac:dyDescent="0.2">
      <c r="A444" s="251" t="s">
        <v>126</v>
      </c>
      <c r="B444" s="147">
        <v>32</v>
      </c>
      <c r="C444" s="244" t="s">
        <v>129</v>
      </c>
      <c r="D444" s="154" t="s">
        <v>63</v>
      </c>
      <c r="E444" s="155"/>
      <c r="F444" s="155">
        <v>5328198</v>
      </c>
      <c r="G444" s="155"/>
      <c r="H444" s="154" t="s">
        <v>740</v>
      </c>
      <c r="I444" s="244" t="s">
        <v>490</v>
      </c>
      <c r="J444" s="147">
        <v>10</v>
      </c>
      <c r="K444" s="147">
        <v>11</v>
      </c>
      <c r="L444" s="147">
        <v>12</v>
      </c>
      <c r="M444" s="132">
        <f t="shared" si="74"/>
        <v>1</v>
      </c>
      <c r="N444" s="140" t="s">
        <v>48</v>
      </c>
      <c r="O444" s="141" t="str">
        <f>IF(ISBLANK(N444),"",VLOOKUP(N444,[2]Parámetros!$G$2:$H$23,2,FALSE))</f>
        <v>Mínima cuantía</v>
      </c>
      <c r="P444" s="245">
        <f t="shared" si="78"/>
        <v>1</v>
      </c>
      <c r="Q444" s="143">
        <f t="shared" si="75"/>
        <v>5328198</v>
      </c>
      <c r="R444" s="143">
        <f t="shared" si="76"/>
        <v>5328198</v>
      </c>
      <c r="S444" s="246">
        <v>0</v>
      </c>
      <c r="T444" s="245">
        <f t="shared" si="79"/>
        <v>0</v>
      </c>
      <c r="U444" s="145" t="str">
        <f t="shared" si="77"/>
        <v>SUBDIRECCION DE GESTION CONTRACTUAL</v>
      </c>
      <c r="V444" s="245" t="str">
        <f t="shared" si="80"/>
        <v>CO-DC</v>
      </c>
      <c r="W444" s="245" t="str">
        <f t="shared" si="81"/>
        <v>Distrito Capital de Bogotá</v>
      </c>
      <c r="X444" s="154" t="s">
        <v>467</v>
      </c>
      <c r="Y444" s="147">
        <v>2427400</v>
      </c>
      <c r="Z444" s="157" t="s">
        <v>131</v>
      </c>
      <c r="AA444" s="248"/>
      <c r="AB444" s="248"/>
      <c r="AC444" s="248"/>
      <c r="AD444" s="248"/>
      <c r="AE444" s="248"/>
      <c r="AF444" s="248"/>
      <c r="AG444" s="248"/>
      <c r="AH444" s="248"/>
      <c r="AI444" s="248"/>
      <c r="AJ444" s="248"/>
      <c r="AK444" s="248"/>
      <c r="AL444" s="248"/>
      <c r="AM444" s="248"/>
      <c r="AN444" s="248"/>
      <c r="AO444" s="248"/>
      <c r="AP444" s="248"/>
      <c r="AQ444" s="248"/>
      <c r="AR444" s="248"/>
      <c r="AS444" s="248"/>
      <c r="AT444" s="248"/>
      <c r="AU444" s="152"/>
      <c r="AV444" s="152"/>
      <c r="AW444" s="152"/>
      <c r="AX444" s="152"/>
      <c r="AY444" s="152"/>
      <c r="AZ444" s="152"/>
      <c r="BA444" s="152"/>
      <c r="BB444" s="152"/>
      <c r="BC444" s="152"/>
      <c r="BD444" s="152"/>
      <c r="BE444" s="152"/>
      <c r="BF444" s="152"/>
      <c r="BG444" s="152"/>
      <c r="BH444" s="152"/>
      <c r="BI444" s="152"/>
      <c r="BJ444" s="152"/>
      <c r="BK444" s="152"/>
      <c r="BL444" s="152"/>
      <c r="BM444" s="152"/>
      <c r="BN444" s="152"/>
      <c r="BO444" s="152"/>
      <c r="BP444" s="152"/>
      <c r="BQ444" s="152"/>
      <c r="BR444" s="152"/>
      <c r="BS444" s="152"/>
      <c r="BT444" s="152"/>
      <c r="BU444" s="152"/>
      <c r="BV444" s="152"/>
      <c r="BW444" s="152"/>
      <c r="BX444" s="152"/>
      <c r="BY444" s="152"/>
      <c r="BZ444" s="152"/>
      <c r="CA444" s="152"/>
      <c r="CB444" s="152"/>
      <c r="CC444" s="152"/>
      <c r="CD444" s="152"/>
      <c r="CE444" s="152"/>
      <c r="CF444" s="152"/>
      <c r="CG444" s="252"/>
    </row>
    <row r="445" spans="1:85" s="250" customFormat="1" ht="13.9" customHeight="1" x14ac:dyDescent="0.2">
      <c r="A445" s="251" t="s">
        <v>126</v>
      </c>
      <c r="B445" s="147">
        <v>33</v>
      </c>
      <c r="C445" s="244" t="s">
        <v>129</v>
      </c>
      <c r="D445" s="154" t="s">
        <v>63</v>
      </c>
      <c r="E445" s="155"/>
      <c r="F445" s="155">
        <f>91879901+10000000</f>
        <v>101879901</v>
      </c>
      <c r="G445" s="155"/>
      <c r="H445" s="154" t="s">
        <v>738</v>
      </c>
      <c r="I445" s="244" t="s">
        <v>815</v>
      </c>
      <c r="J445" s="147">
        <v>2</v>
      </c>
      <c r="K445" s="147">
        <v>3</v>
      </c>
      <c r="L445" s="147">
        <v>9</v>
      </c>
      <c r="M445" s="132">
        <f t="shared" si="74"/>
        <v>1</v>
      </c>
      <c r="N445" s="140" t="s">
        <v>36</v>
      </c>
      <c r="O445" s="141" t="str">
        <f>IF(ISBLANK(N445),"",VLOOKUP(N445,[2]Parámetros!$G$2:$H$23,2,FALSE))</f>
        <v xml:space="preserve">Contratación directa (con ofertas) </v>
      </c>
      <c r="P445" s="245">
        <f t="shared" si="78"/>
        <v>1</v>
      </c>
      <c r="Q445" s="143">
        <f t="shared" si="75"/>
        <v>101879901</v>
      </c>
      <c r="R445" s="143">
        <f t="shared" si="76"/>
        <v>101879901</v>
      </c>
      <c r="S445" s="246" t="s">
        <v>222</v>
      </c>
      <c r="T445" s="245">
        <f t="shared" si="79"/>
        <v>0</v>
      </c>
      <c r="U445" s="145" t="str">
        <f t="shared" si="77"/>
        <v>SUBDIRECCION DE GESTION CONTRACTUAL</v>
      </c>
      <c r="V445" s="245" t="str">
        <f t="shared" si="80"/>
        <v>CO-DC</v>
      </c>
      <c r="W445" s="245" t="str">
        <f t="shared" si="81"/>
        <v>Distrito Capital de Bogotá</v>
      </c>
      <c r="X445" s="154" t="s">
        <v>467</v>
      </c>
      <c r="Y445" s="147">
        <v>2427400</v>
      </c>
      <c r="Z445" s="157" t="s">
        <v>131</v>
      </c>
      <c r="AA445" s="248"/>
      <c r="AB445" s="248"/>
      <c r="AC445" s="248"/>
      <c r="AD445" s="248"/>
      <c r="AE445" s="248"/>
      <c r="AF445" s="248"/>
      <c r="AG445" s="248"/>
      <c r="AH445" s="248"/>
      <c r="AI445" s="248"/>
      <c r="AJ445" s="248"/>
      <c r="AK445" s="248"/>
      <c r="AL445" s="248"/>
      <c r="AM445" s="248"/>
      <c r="AN445" s="248"/>
      <c r="AO445" s="248"/>
      <c r="AP445" s="248"/>
      <c r="AQ445" s="248"/>
      <c r="AR445" s="248"/>
      <c r="AS445" s="248"/>
      <c r="AT445" s="248"/>
      <c r="AU445" s="152"/>
      <c r="AV445" s="152"/>
      <c r="AW445" s="152"/>
      <c r="AX445" s="152"/>
      <c r="AY445" s="152"/>
      <c r="AZ445" s="152"/>
      <c r="BA445" s="152"/>
      <c r="BB445" s="152"/>
      <c r="BC445" s="152"/>
      <c r="BD445" s="152"/>
      <c r="BE445" s="152"/>
      <c r="BF445" s="152"/>
      <c r="BG445" s="152"/>
      <c r="BH445" s="152"/>
      <c r="BI445" s="152"/>
      <c r="BJ445" s="152"/>
      <c r="BK445" s="152"/>
      <c r="BL445" s="152"/>
      <c r="BM445" s="152"/>
      <c r="BN445" s="152"/>
      <c r="BO445" s="152"/>
      <c r="BP445" s="152"/>
      <c r="BQ445" s="152"/>
      <c r="BR445" s="152"/>
      <c r="BS445" s="152"/>
      <c r="BT445" s="152"/>
      <c r="BU445" s="152"/>
      <c r="BV445" s="152"/>
      <c r="BW445" s="152"/>
      <c r="BX445" s="152"/>
      <c r="BY445" s="152"/>
      <c r="BZ445" s="152"/>
      <c r="CA445" s="152"/>
      <c r="CB445" s="152"/>
      <c r="CC445" s="152"/>
      <c r="CD445" s="152"/>
      <c r="CE445" s="152"/>
      <c r="CF445" s="152"/>
      <c r="CG445" s="252"/>
    </row>
    <row r="446" spans="1:85" s="250" customFormat="1" ht="13.9" customHeight="1" x14ac:dyDescent="0.2">
      <c r="A446" s="251" t="s">
        <v>126</v>
      </c>
      <c r="B446" s="147">
        <v>34</v>
      </c>
      <c r="C446" s="244" t="s">
        <v>129</v>
      </c>
      <c r="D446" s="154" t="s">
        <v>63</v>
      </c>
      <c r="E446" s="155"/>
      <c r="F446" s="155">
        <f>2289210*11</f>
        <v>25181310</v>
      </c>
      <c r="G446" s="155"/>
      <c r="H446" s="154">
        <v>72101506</v>
      </c>
      <c r="I446" s="244" t="s">
        <v>491</v>
      </c>
      <c r="J446" s="147">
        <v>2</v>
      </c>
      <c r="K446" s="147">
        <v>2</v>
      </c>
      <c r="L446" s="147">
        <v>11</v>
      </c>
      <c r="M446" s="132">
        <f t="shared" si="74"/>
        <v>1</v>
      </c>
      <c r="N446" s="140" t="s">
        <v>36</v>
      </c>
      <c r="O446" s="141" t="str">
        <f>IF(ISBLANK(N446),"",VLOOKUP(N446,[2]Parámetros!$G$2:$H$23,2,FALSE))</f>
        <v xml:space="preserve">Contratación directa (con ofertas) </v>
      </c>
      <c r="P446" s="245">
        <f t="shared" si="78"/>
        <v>1</v>
      </c>
      <c r="Q446" s="143">
        <f t="shared" si="75"/>
        <v>25181310</v>
      </c>
      <c r="R446" s="143">
        <f t="shared" si="76"/>
        <v>25181310</v>
      </c>
      <c r="S446" s="246" t="s">
        <v>222</v>
      </c>
      <c r="T446" s="245">
        <f t="shared" si="79"/>
        <v>0</v>
      </c>
      <c r="U446" s="145" t="str">
        <f t="shared" si="77"/>
        <v>SUBDIRECCION DE GESTION CONTRACTUAL</v>
      </c>
      <c r="V446" s="245" t="str">
        <f t="shared" si="80"/>
        <v>CO-DC</v>
      </c>
      <c r="W446" s="245" t="str">
        <f t="shared" si="81"/>
        <v>Distrito Capital de Bogotá</v>
      </c>
      <c r="X446" s="154" t="s">
        <v>467</v>
      </c>
      <c r="Y446" s="147">
        <v>2427400</v>
      </c>
      <c r="Z446" s="157" t="s">
        <v>131</v>
      </c>
      <c r="AA446" s="248"/>
      <c r="AB446" s="248"/>
      <c r="AC446" s="248"/>
      <c r="AD446" s="248"/>
      <c r="AE446" s="248"/>
      <c r="AF446" s="248"/>
      <c r="AG446" s="248"/>
      <c r="AH446" s="248"/>
      <c r="AI446" s="248"/>
      <c r="AJ446" s="248"/>
      <c r="AK446" s="248"/>
      <c r="AL446" s="248"/>
      <c r="AM446" s="248"/>
      <c r="AN446" s="248"/>
      <c r="AO446" s="248"/>
      <c r="AP446" s="248"/>
      <c r="AQ446" s="248"/>
      <c r="AR446" s="248"/>
      <c r="AS446" s="248"/>
      <c r="AT446" s="248"/>
      <c r="AU446" s="152"/>
      <c r="AV446" s="152"/>
      <c r="AW446" s="152"/>
      <c r="AX446" s="152"/>
      <c r="AY446" s="152"/>
      <c r="AZ446" s="152"/>
      <c r="BA446" s="152"/>
      <c r="BB446" s="152"/>
      <c r="BC446" s="152"/>
      <c r="BD446" s="152"/>
      <c r="BE446" s="152"/>
      <c r="BF446" s="152"/>
      <c r="BG446" s="152"/>
      <c r="BH446" s="152"/>
      <c r="BI446" s="152"/>
      <c r="BJ446" s="152"/>
      <c r="BK446" s="152"/>
      <c r="BL446" s="152"/>
      <c r="BM446" s="152"/>
      <c r="BN446" s="152"/>
      <c r="BO446" s="152"/>
      <c r="BP446" s="152"/>
      <c r="BQ446" s="152"/>
      <c r="BR446" s="152"/>
      <c r="BS446" s="152"/>
      <c r="BT446" s="152"/>
      <c r="BU446" s="152"/>
      <c r="BV446" s="152"/>
      <c r="BW446" s="152"/>
      <c r="BX446" s="152"/>
      <c r="BY446" s="152"/>
      <c r="BZ446" s="152"/>
      <c r="CA446" s="152"/>
      <c r="CB446" s="152"/>
      <c r="CC446" s="152"/>
      <c r="CD446" s="152"/>
      <c r="CE446" s="152"/>
      <c r="CF446" s="152"/>
      <c r="CG446" s="252"/>
    </row>
    <row r="447" spans="1:85" s="250" customFormat="1" ht="13.9" customHeight="1" x14ac:dyDescent="0.2">
      <c r="A447" s="251" t="s">
        <v>126</v>
      </c>
      <c r="B447" s="147">
        <v>35</v>
      </c>
      <c r="C447" s="244" t="s">
        <v>129</v>
      </c>
      <c r="D447" s="154" t="s">
        <v>63</v>
      </c>
      <c r="E447" s="155">
        <v>5564669</v>
      </c>
      <c r="F447" s="155">
        <v>55646690</v>
      </c>
      <c r="G447" s="155"/>
      <c r="H447" s="154" t="s">
        <v>235</v>
      </c>
      <c r="I447" s="244" t="s">
        <v>492</v>
      </c>
      <c r="J447" s="147">
        <v>1</v>
      </c>
      <c r="K447" s="147">
        <v>1</v>
      </c>
      <c r="L447" s="147">
        <v>11</v>
      </c>
      <c r="M447" s="132">
        <f t="shared" si="74"/>
        <v>1</v>
      </c>
      <c r="N447" s="140" t="s">
        <v>48</v>
      </c>
      <c r="O447" s="141" t="str">
        <f>IF(ISBLANK(N447),"",VLOOKUP(N447,[2]Parámetros!$G$2:$H$23,2,FALSE))</f>
        <v>Mínima cuantía</v>
      </c>
      <c r="P447" s="245">
        <f t="shared" si="78"/>
        <v>1</v>
      </c>
      <c r="Q447" s="143">
        <f t="shared" si="75"/>
        <v>61211359</v>
      </c>
      <c r="R447" s="143">
        <f t="shared" si="76"/>
        <v>55646690</v>
      </c>
      <c r="S447" s="246" t="s">
        <v>222</v>
      </c>
      <c r="T447" s="245">
        <f t="shared" si="79"/>
        <v>0</v>
      </c>
      <c r="U447" s="145" t="str">
        <f t="shared" si="77"/>
        <v>SUBDIRECCION DE GESTION CONTRACTUAL</v>
      </c>
      <c r="V447" s="245" t="str">
        <f t="shared" si="80"/>
        <v>CO-DC</v>
      </c>
      <c r="W447" s="245" t="str">
        <f t="shared" si="81"/>
        <v>Distrito Capital de Bogotá</v>
      </c>
      <c r="X447" s="154" t="s">
        <v>478</v>
      </c>
      <c r="Y447" s="147">
        <v>2427400</v>
      </c>
      <c r="Z447" s="157" t="s">
        <v>479</v>
      </c>
      <c r="AA447" s="248"/>
      <c r="AB447" s="248"/>
      <c r="AC447" s="248"/>
      <c r="AD447" s="248"/>
      <c r="AE447" s="248"/>
      <c r="AF447" s="248"/>
      <c r="AG447" s="248"/>
      <c r="AH447" s="248"/>
      <c r="AI447" s="248"/>
      <c r="AJ447" s="248"/>
      <c r="AK447" s="248"/>
      <c r="AL447" s="248"/>
      <c r="AM447" s="248"/>
      <c r="AN447" s="248"/>
      <c r="AO447" s="248"/>
      <c r="AP447" s="248"/>
      <c r="AQ447" s="248"/>
      <c r="AR447" s="248"/>
      <c r="AS447" s="248"/>
      <c r="AT447" s="248"/>
      <c r="AU447" s="152"/>
      <c r="AV447" s="152"/>
      <c r="AW447" s="152"/>
      <c r="AX447" s="152"/>
      <c r="AY447" s="152"/>
      <c r="AZ447" s="152"/>
      <c r="BA447" s="152"/>
      <c r="BB447" s="152"/>
      <c r="BC447" s="152"/>
      <c r="BD447" s="152"/>
      <c r="BE447" s="152"/>
      <c r="BF447" s="152"/>
      <c r="BG447" s="152"/>
      <c r="BH447" s="152"/>
      <c r="BI447" s="152"/>
      <c r="BJ447" s="152"/>
      <c r="BK447" s="152"/>
      <c r="BL447" s="152"/>
      <c r="BM447" s="152"/>
      <c r="BN447" s="152"/>
      <c r="BO447" s="152"/>
      <c r="BP447" s="152"/>
      <c r="BQ447" s="152"/>
      <c r="BR447" s="152"/>
      <c r="BS447" s="152"/>
      <c r="BT447" s="152"/>
      <c r="BU447" s="152"/>
      <c r="BV447" s="152"/>
      <c r="BW447" s="152"/>
      <c r="BX447" s="152"/>
      <c r="BY447" s="152"/>
      <c r="BZ447" s="152"/>
      <c r="CA447" s="152"/>
      <c r="CB447" s="152"/>
      <c r="CC447" s="152"/>
      <c r="CD447" s="152"/>
      <c r="CE447" s="152"/>
      <c r="CF447" s="152"/>
      <c r="CG447" s="252"/>
    </row>
    <row r="448" spans="1:85" s="250" customFormat="1" ht="13.9" customHeight="1" x14ac:dyDescent="0.2">
      <c r="A448" s="251" t="s">
        <v>126</v>
      </c>
      <c r="B448" s="147">
        <v>36</v>
      </c>
      <c r="C448" s="244" t="s">
        <v>129</v>
      </c>
      <c r="D448" s="154" t="s">
        <v>63</v>
      </c>
      <c r="E448" s="155"/>
      <c r="F448" s="155">
        <v>12700000</v>
      </c>
      <c r="G448" s="155"/>
      <c r="H448" s="154" t="s">
        <v>235</v>
      </c>
      <c r="I448" s="244" t="s">
        <v>493</v>
      </c>
      <c r="J448" s="147">
        <v>11</v>
      </c>
      <c r="K448" s="147">
        <v>11</v>
      </c>
      <c r="L448" s="147">
        <v>12</v>
      </c>
      <c r="M448" s="132">
        <f t="shared" si="74"/>
        <v>1</v>
      </c>
      <c r="N448" s="140" t="s">
        <v>53</v>
      </c>
      <c r="O448" s="141" t="str">
        <f>IF(ISBLANK(N448),"",VLOOKUP(N448,[2]Parámetros!$G$2:$H$23,2,FALSE))</f>
        <v>Seléccion abreviada - acuerdo marco</v>
      </c>
      <c r="P448" s="245">
        <f t="shared" si="78"/>
        <v>1</v>
      </c>
      <c r="Q448" s="143">
        <f t="shared" si="75"/>
        <v>12700000</v>
      </c>
      <c r="R448" s="143">
        <f t="shared" si="76"/>
        <v>12700000</v>
      </c>
      <c r="S448" s="246">
        <v>0</v>
      </c>
      <c r="T448" s="245">
        <f t="shared" si="79"/>
        <v>0</v>
      </c>
      <c r="U448" s="145" t="str">
        <f t="shared" si="77"/>
        <v>SUBDIRECCION DE GESTION CONTRACTUAL</v>
      </c>
      <c r="V448" s="245" t="str">
        <f t="shared" si="80"/>
        <v>CO-DC</v>
      </c>
      <c r="W448" s="245" t="str">
        <f t="shared" si="81"/>
        <v>Distrito Capital de Bogotá</v>
      </c>
      <c r="X448" s="154" t="s">
        <v>478</v>
      </c>
      <c r="Y448" s="147">
        <v>2427400</v>
      </c>
      <c r="Z448" s="157" t="s">
        <v>479</v>
      </c>
      <c r="AA448" s="248"/>
      <c r="AB448" s="248"/>
      <c r="AC448" s="248"/>
      <c r="AD448" s="248"/>
      <c r="AE448" s="248"/>
      <c r="AF448" s="248"/>
      <c r="AG448" s="248"/>
      <c r="AH448" s="248"/>
      <c r="AI448" s="248"/>
      <c r="AJ448" s="248"/>
      <c r="AK448" s="248"/>
      <c r="AL448" s="248"/>
      <c r="AM448" s="248"/>
      <c r="AN448" s="248"/>
      <c r="AO448" s="248"/>
      <c r="AP448" s="248"/>
      <c r="AQ448" s="248"/>
      <c r="AR448" s="248"/>
      <c r="AS448" s="248"/>
      <c r="AT448" s="248"/>
      <c r="AU448" s="152"/>
      <c r="AV448" s="152"/>
      <c r="AW448" s="152"/>
      <c r="AX448" s="152"/>
      <c r="AY448" s="152"/>
      <c r="AZ448" s="152"/>
      <c r="BA448" s="152"/>
      <c r="BB448" s="152"/>
      <c r="BC448" s="152"/>
      <c r="BD448" s="152"/>
      <c r="BE448" s="152"/>
      <c r="BF448" s="152"/>
      <c r="BG448" s="152"/>
      <c r="BH448" s="152"/>
      <c r="BI448" s="152"/>
      <c r="BJ448" s="152"/>
      <c r="BK448" s="152"/>
      <c r="BL448" s="152"/>
      <c r="BM448" s="152"/>
      <c r="BN448" s="152"/>
      <c r="BO448" s="152"/>
      <c r="BP448" s="152"/>
      <c r="BQ448" s="152"/>
      <c r="BR448" s="152"/>
      <c r="BS448" s="152"/>
      <c r="BT448" s="152"/>
      <c r="BU448" s="152"/>
      <c r="BV448" s="152"/>
      <c r="BW448" s="152"/>
      <c r="BX448" s="152"/>
      <c r="BY448" s="152"/>
      <c r="BZ448" s="152"/>
      <c r="CA448" s="152"/>
      <c r="CB448" s="152"/>
      <c r="CC448" s="152"/>
      <c r="CD448" s="152"/>
      <c r="CE448" s="152"/>
      <c r="CF448" s="152"/>
      <c r="CG448" s="252"/>
    </row>
    <row r="449" spans="1:85" s="145" customFormat="1" ht="12.75" customHeight="1" x14ac:dyDescent="0.2">
      <c r="A449" s="251" t="s">
        <v>126</v>
      </c>
      <c r="B449" s="147">
        <v>37</v>
      </c>
      <c r="C449" s="244" t="s">
        <v>129</v>
      </c>
      <c r="D449" s="154" t="s">
        <v>63</v>
      </c>
      <c r="E449" s="155">
        <v>8550524</v>
      </c>
      <c r="F449" s="155">
        <v>85505239</v>
      </c>
      <c r="G449" s="155"/>
      <c r="H449" s="154" t="s">
        <v>235</v>
      </c>
      <c r="I449" s="244" t="s">
        <v>494</v>
      </c>
      <c r="J449" s="147">
        <v>1</v>
      </c>
      <c r="K449" s="147">
        <v>1</v>
      </c>
      <c r="L449" s="147">
        <v>11</v>
      </c>
      <c r="M449" s="132">
        <f t="shared" si="74"/>
        <v>1</v>
      </c>
      <c r="N449" s="140" t="s">
        <v>53</v>
      </c>
      <c r="O449" s="141" t="str">
        <f>IF(ISBLANK(N449),"",VLOOKUP(N449,[2]Parámetros!$G$2:$H$23,2,FALSE))</f>
        <v>Seléccion abreviada - acuerdo marco</v>
      </c>
      <c r="P449" s="245">
        <f t="shared" si="78"/>
        <v>1</v>
      </c>
      <c r="Q449" s="143">
        <f t="shared" si="75"/>
        <v>94055763</v>
      </c>
      <c r="R449" s="143">
        <f t="shared" si="76"/>
        <v>85505239</v>
      </c>
      <c r="S449" s="246" t="s">
        <v>222</v>
      </c>
      <c r="T449" s="245">
        <f t="shared" si="79"/>
        <v>0</v>
      </c>
      <c r="U449" s="145" t="str">
        <f t="shared" si="77"/>
        <v>SUBDIRECCION DE GESTION CONTRACTUAL</v>
      </c>
      <c r="V449" s="245" t="str">
        <f t="shared" si="80"/>
        <v>CO-DC</v>
      </c>
      <c r="W449" s="245" t="str">
        <f t="shared" si="81"/>
        <v>Distrito Capital de Bogotá</v>
      </c>
      <c r="X449" s="154" t="s">
        <v>478</v>
      </c>
      <c r="Y449" s="147">
        <v>2427400</v>
      </c>
      <c r="Z449" s="157" t="s">
        <v>479</v>
      </c>
      <c r="AA449" s="248"/>
      <c r="AB449" s="248"/>
      <c r="AC449" s="248"/>
      <c r="AD449" s="248"/>
      <c r="AE449" s="248"/>
      <c r="AF449" s="248"/>
      <c r="AG449" s="248"/>
      <c r="AH449" s="248"/>
      <c r="AI449" s="248"/>
      <c r="AJ449" s="248"/>
      <c r="AK449" s="248"/>
      <c r="AL449" s="248"/>
      <c r="AM449" s="248"/>
      <c r="AN449" s="248"/>
      <c r="AO449" s="248"/>
      <c r="AP449" s="248"/>
      <c r="AQ449" s="248"/>
      <c r="AR449" s="248"/>
      <c r="AS449" s="248"/>
      <c r="AT449" s="248"/>
      <c r="AU449" s="152"/>
      <c r="AV449" s="152"/>
      <c r="AW449" s="152"/>
      <c r="AX449" s="152"/>
      <c r="AY449" s="152"/>
      <c r="AZ449" s="152"/>
      <c r="BA449" s="152"/>
      <c r="BB449" s="152"/>
      <c r="BC449" s="152"/>
      <c r="BD449" s="152"/>
      <c r="BE449" s="152"/>
      <c r="BF449" s="152"/>
      <c r="BG449" s="152"/>
      <c r="BH449" s="152"/>
      <c r="BI449" s="152"/>
      <c r="BJ449" s="152"/>
      <c r="BK449" s="152"/>
      <c r="BL449" s="152"/>
      <c r="BM449" s="152"/>
      <c r="BN449" s="152"/>
      <c r="BO449" s="152"/>
      <c r="BP449" s="152"/>
      <c r="BQ449" s="152"/>
      <c r="BR449" s="152"/>
      <c r="BS449" s="152"/>
      <c r="BT449" s="152"/>
      <c r="BU449" s="152"/>
      <c r="BV449" s="152"/>
      <c r="BW449" s="152"/>
      <c r="BX449" s="152"/>
      <c r="BY449" s="152"/>
      <c r="BZ449" s="152"/>
      <c r="CA449" s="152"/>
      <c r="CB449" s="152"/>
      <c r="CC449" s="152"/>
      <c r="CD449" s="152"/>
      <c r="CE449" s="152"/>
      <c r="CF449" s="152"/>
      <c r="CG449" s="252"/>
    </row>
    <row r="450" spans="1:85" s="250" customFormat="1" ht="13.9" customHeight="1" x14ac:dyDescent="0.2">
      <c r="A450" s="251" t="s">
        <v>126</v>
      </c>
      <c r="B450" s="147">
        <v>38</v>
      </c>
      <c r="C450" s="244" t="s">
        <v>129</v>
      </c>
      <c r="D450" s="154" t="s">
        <v>63</v>
      </c>
      <c r="E450" s="155">
        <v>1000000</v>
      </c>
      <c r="F450" s="155">
        <v>10000000</v>
      </c>
      <c r="G450" s="155"/>
      <c r="H450" s="154" t="s">
        <v>235</v>
      </c>
      <c r="I450" s="244" t="s">
        <v>495</v>
      </c>
      <c r="J450" s="147">
        <v>1</v>
      </c>
      <c r="K450" s="147">
        <v>1</v>
      </c>
      <c r="L450" s="147">
        <v>11</v>
      </c>
      <c r="M450" s="132">
        <f t="shared" si="74"/>
        <v>1</v>
      </c>
      <c r="N450" s="140" t="s">
        <v>53</v>
      </c>
      <c r="O450" s="141" t="str">
        <f>IF(ISBLANK(N450),"",VLOOKUP(N450,[2]Parámetros!$G$2:$H$23,2,FALSE))</f>
        <v>Seléccion abreviada - acuerdo marco</v>
      </c>
      <c r="P450" s="245">
        <f t="shared" si="78"/>
        <v>1</v>
      </c>
      <c r="Q450" s="143">
        <f t="shared" si="75"/>
        <v>11000000</v>
      </c>
      <c r="R450" s="143">
        <f t="shared" si="76"/>
        <v>10000000</v>
      </c>
      <c r="S450" s="246" t="s">
        <v>222</v>
      </c>
      <c r="T450" s="245">
        <f t="shared" si="79"/>
        <v>0</v>
      </c>
      <c r="U450" s="145" t="str">
        <f t="shared" si="77"/>
        <v>SUBDIRECCION DE GESTION CONTRACTUAL</v>
      </c>
      <c r="V450" s="245" t="str">
        <f t="shared" si="80"/>
        <v>CO-DC</v>
      </c>
      <c r="W450" s="245" t="str">
        <f t="shared" si="81"/>
        <v>Distrito Capital de Bogotá</v>
      </c>
      <c r="X450" s="154" t="s">
        <v>478</v>
      </c>
      <c r="Y450" s="147">
        <v>2427400</v>
      </c>
      <c r="Z450" s="157" t="s">
        <v>479</v>
      </c>
      <c r="AA450" s="248"/>
      <c r="AB450" s="248"/>
      <c r="AC450" s="248"/>
      <c r="AD450" s="248"/>
      <c r="AE450" s="248"/>
      <c r="AF450" s="248"/>
      <c r="AG450" s="248"/>
      <c r="AH450" s="248"/>
      <c r="AI450" s="248"/>
      <c r="AJ450" s="248"/>
      <c r="AK450" s="248"/>
      <c r="AL450" s="248"/>
      <c r="AM450" s="248"/>
      <c r="AN450" s="248"/>
      <c r="AO450" s="248"/>
      <c r="AP450" s="248"/>
      <c r="AQ450" s="248"/>
      <c r="AR450" s="248"/>
      <c r="AS450" s="248"/>
      <c r="AT450" s="248"/>
      <c r="AU450" s="152"/>
      <c r="AV450" s="152"/>
      <c r="AW450" s="152"/>
      <c r="AX450" s="152"/>
      <c r="AY450" s="152"/>
      <c r="AZ450" s="152"/>
      <c r="BA450" s="152"/>
      <c r="BB450" s="152"/>
      <c r="BC450" s="152"/>
      <c r="BD450" s="152"/>
      <c r="BE450" s="152"/>
      <c r="BF450" s="152"/>
      <c r="BG450" s="152"/>
      <c r="BH450" s="152"/>
      <c r="BI450" s="152"/>
      <c r="BJ450" s="152"/>
      <c r="BK450" s="152"/>
      <c r="BL450" s="152"/>
      <c r="BM450" s="152"/>
      <c r="BN450" s="152"/>
      <c r="BO450" s="152"/>
      <c r="BP450" s="152"/>
      <c r="BQ450" s="152"/>
      <c r="BR450" s="152"/>
      <c r="BS450" s="152"/>
      <c r="BT450" s="152"/>
      <c r="BU450" s="152"/>
      <c r="BV450" s="152"/>
      <c r="BW450" s="152"/>
      <c r="BX450" s="152"/>
      <c r="BY450" s="152"/>
      <c r="BZ450" s="152"/>
      <c r="CA450" s="152"/>
      <c r="CB450" s="152"/>
      <c r="CC450" s="152"/>
      <c r="CD450" s="152"/>
      <c r="CE450" s="152"/>
      <c r="CF450" s="152"/>
      <c r="CG450" s="252"/>
    </row>
    <row r="451" spans="1:85" s="250" customFormat="1" ht="13.9" customHeight="1" x14ac:dyDescent="0.2">
      <c r="A451" s="251" t="s">
        <v>126</v>
      </c>
      <c r="B451" s="147">
        <v>39</v>
      </c>
      <c r="C451" s="244" t="s">
        <v>129</v>
      </c>
      <c r="D451" s="154" t="s">
        <v>63</v>
      </c>
      <c r="E451" s="155">
        <v>1000000</v>
      </c>
      <c r="F451" s="155">
        <v>10000000</v>
      </c>
      <c r="G451" s="155"/>
      <c r="H451" s="154" t="s">
        <v>235</v>
      </c>
      <c r="I451" s="244" t="s">
        <v>496</v>
      </c>
      <c r="J451" s="147">
        <v>1</v>
      </c>
      <c r="K451" s="147">
        <v>1</v>
      </c>
      <c r="L451" s="147">
        <v>11</v>
      </c>
      <c r="M451" s="132">
        <f t="shared" si="74"/>
        <v>1</v>
      </c>
      <c r="N451" s="140" t="s">
        <v>53</v>
      </c>
      <c r="O451" s="141" t="str">
        <f>IF(ISBLANK(N451),"",VLOOKUP(N451,[2]Parámetros!$G$2:$H$23,2,FALSE))</f>
        <v>Seléccion abreviada - acuerdo marco</v>
      </c>
      <c r="P451" s="245">
        <f t="shared" si="78"/>
        <v>1</v>
      </c>
      <c r="Q451" s="143">
        <f t="shared" si="75"/>
        <v>11000000</v>
      </c>
      <c r="R451" s="143">
        <f t="shared" si="76"/>
        <v>10000000</v>
      </c>
      <c r="S451" s="246" t="s">
        <v>222</v>
      </c>
      <c r="T451" s="245">
        <f t="shared" si="79"/>
        <v>0</v>
      </c>
      <c r="U451" s="145" t="str">
        <f t="shared" si="77"/>
        <v>SUBDIRECCION DE GESTION CONTRACTUAL</v>
      </c>
      <c r="V451" s="245" t="str">
        <f t="shared" si="80"/>
        <v>CO-DC</v>
      </c>
      <c r="W451" s="245" t="str">
        <f t="shared" si="81"/>
        <v>Distrito Capital de Bogotá</v>
      </c>
      <c r="X451" s="154" t="s">
        <v>478</v>
      </c>
      <c r="Y451" s="147">
        <v>2427400</v>
      </c>
      <c r="Z451" s="157" t="s">
        <v>479</v>
      </c>
      <c r="AA451" s="248"/>
      <c r="AB451" s="248"/>
      <c r="AC451" s="248"/>
      <c r="AD451" s="248"/>
      <c r="AE451" s="248"/>
      <c r="AF451" s="248"/>
      <c r="AG451" s="248"/>
      <c r="AH451" s="248"/>
      <c r="AI451" s="248"/>
      <c r="AJ451" s="248"/>
      <c r="AK451" s="248"/>
      <c r="AL451" s="248"/>
      <c r="AM451" s="248"/>
      <c r="AN451" s="248"/>
      <c r="AO451" s="248"/>
      <c r="AP451" s="248"/>
      <c r="AQ451" s="248"/>
      <c r="AR451" s="248"/>
      <c r="AS451" s="248"/>
      <c r="AT451" s="248"/>
      <c r="AU451" s="152"/>
      <c r="AV451" s="152"/>
      <c r="AW451" s="152"/>
      <c r="AX451" s="152"/>
      <c r="AY451" s="152"/>
      <c r="AZ451" s="152"/>
      <c r="BA451" s="152"/>
      <c r="BB451" s="152"/>
      <c r="BC451" s="152"/>
      <c r="BD451" s="152"/>
      <c r="BE451" s="152"/>
      <c r="BF451" s="152"/>
      <c r="BG451" s="152"/>
      <c r="BH451" s="152"/>
      <c r="BI451" s="152"/>
      <c r="BJ451" s="152"/>
      <c r="BK451" s="152"/>
      <c r="BL451" s="152"/>
      <c r="BM451" s="152"/>
      <c r="BN451" s="152"/>
      <c r="BO451" s="152"/>
      <c r="BP451" s="152"/>
      <c r="BQ451" s="152"/>
      <c r="BR451" s="152"/>
      <c r="BS451" s="152"/>
      <c r="BT451" s="152"/>
      <c r="BU451" s="152"/>
      <c r="BV451" s="152"/>
      <c r="BW451" s="152"/>
      <c r="BX451" s="152"/>
      <c r="BY451" s="152"/>
      <c r="BZ451" s="152"/>
      <c r="CA451" s="152"/>
      <c r="CB451" s="152"/>
      <c r="CC451" s="152"/>
      <c r="CD451" s="152"/>
      <c r="CE451" s="152"/>
      <c r="CF451" s="152"/>
      <c r="CG451" s="252"/>
    </row>
    <row r="452" spans="1:85" s="250" customFormat="1" ht="13.9" customHeight="1" x14ac:dyDescent="0.2">
      <c r="A452" s="251" t="s">
        <v>126</v>
      </c>
      <c r="B452" s="147">
        <v>40</v>
      </c>
      <c r="C452" s="244" t="s">
        <v>129</v>
      </c>
      <c r="D452" s="154" t="s">
        <v>63</v>
      </c>
      <c r="E452" s="155">
        <v>1200000</v>
      </c>
      <c r="F452" s="155">
        <v>12000000</v>
      </c>
      <c r="G452" s="155"/>
      <c r="H452" s="154" t="s">
        <v>235</v>
      </c>
      <c r="I452" s="244" t="s">
        <v>497</v>
      </c>
      <c r="J452" s="147">
        <v>1</v>
      </c>
      <c r="K452" s="147">
        <v>1</v>
      </c>
      <c r="L452" s="147">
        <v>11</v>
      </c>
      <c r="M452" s="132">
        <f t="shared" si="74"/>
        <v>1</v>
      </c>
      <c r="N452" s="140" t="s">
        <v>53</v>
      </c>
      <c r="O452" s="141" t="str">
        <f>IF(ISBLANK(N452),"",VLOOKUP(N452,[2]Parámetros!$G$2:$H$23,2,FALSE))</f>
        <v>Seléccion abreviada - acuerdo marco</v>
      </c>
      <c r="P452" s="245">
        <f t="shared" si="78"/>
        <v>1</v>
      </c>
      <c r="Q452" s="143">
        <f t="shared" si="75"/>
        <v>13200000</v>
      </c>
      <c r="R452" s="143">
        <f t="shared" si="76"/>
        <v>12000000</v>
      </c>
      <c r="S452" s="246" t="s">
        <v>222</v>
      </c>
      <c r="T452" s="245">
        <f t="shared" si="79"/>
        <v>0</v>
      </c>
      <c r="U452" s="145" t="str">
        <f t="shared" si="77"/>
        <v>SUBDIRECCION DE GESTION CONTRACTUAL</v>
      </c>
      <c r="V452" s="245" t="str">
        <f t="shared" si="80"/>
        <v>CO-DC</v>
      </c>
      <c r="W452" s="245" t="str">
        <f t="shared" si="81"/>
        <v>Distrito Capital de Bogotá</v>
      </c>
      <c r="X452" s="154" t="s">
        <v>478</v>
      </c>
      <c r="Y452" s="147">
        <v>2427400</v>
      </c>
      <c r="Z452" s="157" t="s">
        <v>479</v>
      </c>
      <c r="AA452" s="248"/>
      <c r="AB452" s="248"/>
      <c r="AC452" s="248"/>
      <c r="AD452" s="248"/>
      <c r="AE452" s="248"/>
      <c r="AF452" s="248"/>
      <c r="AG452" s="248"/>
      <c r="AH452" s="248"/>
      <c r="AI452" s="248"/>
      <c r="AJ452" s="248"/>
      <c r="AK452" s="248"/>
      <c r="AL452" s="248"/>
      <c r="AM452" s="248"/>
      <c r="AN452" s="248"/>
      <c r="AO452" s="248"/>
      <c r="AP452" s="248"/>
      <c r="AQ452" s="248"/>
      <c r="AR452" s="248"/>
      <c r="AS452" s="248"/>
      <c r="AT452" s="248"/>
      <c r="AU452" s="152"/>
      <c r="AV452" s="152"/>
      <c r="AW452" s="152"/>
      <c r="AX452" s="152"/>
      <c r="AY452" s="152"/>
      <c r="AZ452" s="152"/>
      <c r="BA452" s="152"/>
      <c r="BB452" s="152"/>
      <c r="BC452" s="152"/>
      <c r="BD452" s="152"/>
      <c r="BE452" s="152"/>
      <c r="BF452" s="152"/>
      <c r="BG452" s="152"/>
      <c r="BH452" s="152"/>
      <c r="BI452" s="152"/>
      <c r="BJ452" s="152"/>
      <c r="BK452" s="152"/>
      <c r="BL452" s="152"/>
      <c r="BM452" s="152"/>
      <c r="BN452" s="152"/>
      <c r="BO452" s="152"/>
      <c r="BP452" s="152"/>
      <c r="BQ452" s="152"/>
      <c r="BR452" s="152"/>
      <c r="BS452" s="152"/>
      <c r="BT452" s="152"/>
      <c r="BU452" s="152"/>
      <c r="BV452" s="152"/>
      <c r="BW452" s="152"/>
      <c r="BX452" s="152"/>
      <c r="BY452" s="152"/>
      <c r="BZ452" s="152"/>
      <c r="CA452" s="152"/>
      <c r="CB452" s="152"/>
      <c r="CC452" s="152"/>
      <c r="CD452" s="152"/>
      <c r="CE452" s="152"/>
      <c r="CF452" s="152"/>
      <c r="CG452" s="252"/>
    </row>
    <row r="453" spans="1:85" s="250" customFormat="1" ht="13.9" customHeight="1" x14ac:dyDescent="0.2">
      <c r="A453" s="251" t="s">
        <v>126</v>
      </c>
      <c r="B453" s="147">
        <v>41</v>
      </c>
      <c r="C453" s="244" t="s">
        <v>129</v>
      </c>
      <c r="D453" s="154" t="s">
        <v>63</v>
      </c>
      <c r="E453" s="155">
        <v>1145296</v>
      </c>
      <c r="F453" s="155">
        <v>11452963</v>
      </c>
      <c r="G453" s="155"/>
      <c r="H453" s="154" t="s">
        <v>235</v>
      </c>
      <c r="I453" s="244" t="s">
        <v>498</v>
      </c>
      <c r="J453" s="147">
        <v>1</v>
      </c>
      <c r="K453" s="147">
        <v>1</v>
      </c>
      <c r="L453" s="147">
        <v>11</v>
      </c>
      <c r="M453" s="132">
        <f t="shared" si="74"/>
        <v>1</v>
      </c>
      <c r="N453" s="140" t="s">
        <v>53</v>
      </c>
      <c r="O453" s="141" t="str">
        <f>IF(ISBLANK(N453),"",VLOOKUP(N453,[2]Parámetros!$G$2:$H$23,2,FALSE))</f>
        <v>Seléccion abreviada - acuerdo marco</v>
      </c>
      <c r="P453" s="245">
        <f t="shared" si="78"/>
        <v>1</v>
      </c>
      <c r="Q453" s="143">
        <f t="shared" si="75"/>
        <v>12598259</v>
      </c>
      <c r="R453" s="143">
        <f t="shared" si="76"/>
        <v>11452963</v>
      </c>
      <c r="S453" s="246" t="s">
        <v>222</v>
      </c>
      <c r="T453" s="245">
        <f t="shared" si="79"/>
        <v>0</v>
      </c>
      <c r="U453" s="145" t="str">
        <f t="shared" si="77"/>
        <v>SUBDIRECCION DE GESTION CONTRACTUAL</v>
      </c>
      <c r="V453" s="245" t="str">
        <f t="shared" si="80"/>
        <v>CO-DC</v>
      </c>
      <c r="W453" s="245" t="str">
        <f t="shared" si="81"/>
        <v>Distrito Capital de Bogotá</v>
      </c>
      <c r="X453" s="154" t="s">
        <v>478</v>
      </c>
      <c r="Y453" s="147">
        <v>2427400</v>
      </c>
      <c r="Z453" s="157" t="s">
        <v>479</v>
      </c>
      <c r="AA453" s="248"/>
      <c r="AB453" s="248"/>
      <c r="AC453" s="248"/>
      <c r="AD453" s="248"/>
      <c r="AE453" s="248"/>
      <c r="AF453" s="248"/>
      <c r="AG453" s="248"/>
      <c r="AH453" s="248"/>
      <c r="AI453" s="248"/>
      <c r="AJ453" s="248"/>
      <c r="AK453" s="248"/>
      <c r="AL453" s="248"/>
      <c r="AM453" s="248"/>
      <c r="AN453" s="248"/>
      <c r="AO453" s="248"/>
      <c r="AP453" s="248"/>
      <c r="AQ453" s="248"/>
      <c r="AR453" s="248"/>
      <c r="AS453" s="248"/>
      <c r="AT453" s="248"/>
      <c r="AU453" s="152"/>
      <c r="AV453" s="152"/>
      <c r="AW453" s="152"/>
      <c r="AX453" s="152"/>
      <c r="AY453" s="152"/>
      <c r="AZ453" s="152"/>
      <c r="BA453" s="152"/>
      <c r="BB453" s="152"/>
      <c r="BC453" s="152"/>
      <c r="BD453" s="152"/>
      <c r="BE453" s="152"/>
      <c r="BF453" s="152"/>
      <c r="BG453" s="152"/>
      <c r="BH453" s="152"/>
      <c r="BI453" s="152"/>
      <c r="BJ453" s="152"/>
      <c r="BK453" s="152"/>
      <c r="BL453" s="152"/>
      <c r="BM453" s="152"/>
      <c r="BN453" s="152"/>
      <c r="BO453" s="152"/>
      <c r="BP453" s="152"/>
      <c r="BQ453" s="152"/>
      <c r="BR453" s="152"/>
      <c r="BS453" s="152"/>
      <c r="BT453" s="152"/>
      <c r="BU453" s="152"/>
      <c r="BV453" s="152"/>
      <c r="BW453" s="152"/>
      <c r="BX453" s="152"/>
      <c r="BY453" s="152"/>
      <c r="BZ453" s="152"/>
      <c r="CA453" s="152"/>
      <c r="CB453" s="152"/>
      <c r="CC453" s="152"/>
      <c r="CD453" s="152"/>
      <c r="CE453" s="152"/>
      <c r="CF453" s="152"/>
      <c r="CG453" s="252"/>
    </row>
    <row r="454" spans="1:85" s="250" customFormat="1" ht="13.9" customHeight="1" x14ac:dyDescent="0.2">
      <c r="A454" s="251" t="s">
        <v>126</v>
      </c>
      <c r="B454" s="147">
        <v>42</v>
      </c>
      <c r="C454" s="244" t="s">
        <v>129</v>
      </c>
      <c r="D454" s="154" t="s">
        <v>63</v>
      </c>
      <c r="E454" s="155">
        <v>3000000</v>
      </c>
      <c r="F454" s="155">
        <v>30000000</v>
      </c>
      <c r="G454" s="155"/>
      <c r="H454" s="154" t="s">
        <v>235</v>
      </c>
      <c r="I454" s="244" t="s">
        <v>499</v>
      </c>
      <c r="J454" s="147">
        <v>1</v>
      </c>
      <c r="K454" s="147">
        <v>1</v>
      </c>
      <c r="L454" s="147">
        <v>11</v>
      </c>
      <c r="M454" s="132">
        <f t="shared" si="74"/>
        <v>1</v>
      </c>
      <c r="N454" s="140" t="s">
        <v>53</v>
      </c>
      <c r="O454" s="141" t="str">
        <f>IF(ISBLANK(N454),"",VLOOKUP(N454,[2]Parámetros!$G$2:$H$23,2,FALSE))</f>
        <v>Seléccion abreviada - acuerdo marco</v>
      </c>
      <c r="P454" s="245">
        <f t="shared" si="78"/>
        <v>1</v>
      </c>
      <c r="Q454" s="143">
        <f t="shared" si="75"/>
        <v>33000000</v>
      </c>
      <c r="R454" s="143">
        <f t="shared" si="76"/>
        <v>30000000</v>
      </c>
      <c r="S454" s="246" t="s">
        <v>222</v>
      </c>
      <c r="T454" s="245">
        <f t="shared" si="79"/>
        <v>0</v>
      </c>
      <c r="U454" s="145" t="str">
        <f t="shared" si="77"/>
        <v>SUBDIRECCION DE GESTION CONTRACTUAL</v>
      </c>
      <c r="V454" s="245" t="str">
        <f t="shared" si="80"/>
        <v>CO-DC</v>
      </c>
      <c r="W454" s="245" t="str">
        <f t="shared" si="81"/>
        <v>Distrito Capital de Bogotá</v>
      </c>
      <c r="X454" s="154" t="s">
        <v>478</v>
      </c>
      <c r="Y454" s="147">
        <v>2427400</v>
      </c>
      <c r="Z454" s="157" t="s">
        <v>479</v>
      </c>
      <c r="AA454" s="248"/>
      <c r="AB454" s="248"/>
      <c r="AC454" s="248"/>
      <c r="AD454" s="248"/>
      <c r="AE454" s="248"/>
      <c r="AF454" s="248"/>
      <c r="AG454" s="248"/>
      <c r="AH454" s="248"/>
      <c r="AI454" s="248"/>
      <c r="AJ454" s="248"/>
      <c r="AK454" s="248"/>
      <c r="AL454" s="248"/>
      <c r="AM454" s="248"/>
      <c r="AN454" s="248"/>
      <c r="AO454" s="248"/>
      <c r="AP454" s="248"/>
      <c r="AQ454" s="248"/>
      <c r="AR454" s="248"/>
      <c r="AS454" s="248"/>
      <c r="AT454" s="248"/>
      <c r="AU454" s="152"/>
      <c r="AV454" s="152"/>
      <c r="AW454" s="152"/>
      <c r="AX454" s="152"/>
      <c r="AY454" s="152"/>
      <c r="AZ454" s="152"/>
      <c r="BA454" s="152"/>
      <c r="BB454" s="152"/>
      <c r="BC454" s="152"/>
      <c r="BD454" s="152"/>
      <c r="BE454" s="152"/>
      <c r="BF454" s="152"/>
      <c r="BG454" s="152"/>
      <c r="BH454" s="152"/>
      <c r="BI454" s="152"/>
      <c r="BJ454" s="152"/>
      <c r="BK454" s="152"/>
      <c r="BL454" s="152"/>
      <c r="BM454" s="152"/>
      <c r="BN454" s="152"/>
      <c r="BO454" s="152"/>
      <c r="BP454" s="152"/>
      <c r="BQ454" s="152"/>
      <c r="BR454" s="152"/>
      <c r="BS454" s="152"/>
      <c r="BT454" s="152"/>
      <c r="BU454" s="152"/>
      <c r="BV454" s="152"/>
      <c r="BW454" s="152"/>
      <c r="BX454" s="152"/>
      <c r="BY454" s="152"/>
      <c r="BZ454" s="152"/>
      <c r="CA454" s="152"/>
      <c r="CB454" s="152"/>
      <c r="CC454" s="152"/>
      <c r="CD454" s="152"/>
      <c r="CE454" s="152"/>
      <c r="CF454" s="152"/>
      <c r="CG454" s="252"/>
    </row>
    <row r="455" spans="1:85" s="145" customFormat="1" ht="12.75" customHeight="1" x14ac:dyDescent="0.2">
      <c r="A455" s="251" t="s">
        <v>126</v>
      </c>
      <c r="B455" s="147">
        <v>43</v>
      </c>
      <c r="C455" s="244" t="s">
        <v>129</v>
      </c>
      <c r="D455" s="154" t="s">
        <v>63</v>
      </c>
      <c r="E455" s="155">
        <f>7672731+1200000</f>
        <v>8872731</v>
      </c>
      <c r="F455" s="155">
        <v>88727312</v>
      </c>
      <c r="G455" s="155"/>
      <c r="H455" s="154" t="s">
        <v>235</v>
      </c>
      <c r="I455" s="244" t="s">
        <v>500</v>
      </c>
      <c r="J455" s="147">
        <v>1</v>
      </c>
      <c r="K455" s="147">
        <v>1</v>
      </c>
      <c r="L455" s="147">
        <v>11</v>
      </c>
      <c r="M455" s="132">
        <f t="shared" si="74"/>
        <v>1</v>
      </c>
      <c r="N455" s="140" t="s">
        <v>53</v>
      </c>
      <c r="O455" s="141" t="str">
        <f>IF(ISBLANK(N455),"",VLOOKUP(N455,[2]Parámetros!$G$2:$H$23,2,FALSE))</f>
        <v>Seléccion abreviada - acuerdo marco</v>
      </c>
      <c r="P455" s="245">
        <f t="shared" si="78"/>
        <v>1</v>
      </c>
      <c r="Q455" s="143">
        <f t="shared" si="75"/>
        <v>97600043</v>
      </c>
      <c r="R455" s="143">
        <f t="shared" si="76"/>
        <v>88727312</v>
      </c>
      <c r="S455" s="246" t="s">
        <v>222</v>
      </c>
      <c r="T455" s="245">
        <f t="shared" si="79"/>
        <v>0</v>
      </c>
      <c r="U455" s="145" t="str">
        <f t="shared" si="77"/>
        <v>SUBDIRECCION DE GESTION CONTRACTUAL</v>
      </c>
      <c r="V455" s="245" t="str">
        <f t="shared" si="80"/>
        <v>CO-DC</v>
      </c>
      <c r="W455" s="245" t="str">
        <f t="shared" si="81"/>
        <v>Distrito Capital de Bogotá</v>
      </c>
      <c r="X455" s="154" t="s">
        <v>478</v>
      </c>
      <c r="Y455" s="147">
        <v>2427400</v>
      </c>
      <c r="Z455" s="157" t="s">
        <v>479</v>
      </c>
      <c r="AA455" s="248"/>
      <c r="AB455" s="248"/>
      <c r="AC455" s="248"/>
      <c r="AD455" s="248"/>
      <c r="AE455" s="248"/>
      <c r="AF455" s="248"/>
      <c r="AG455" s="248"/>
      <c r="AH455" s="248"/>
      <c r="AI455" s="248"/>
      <c r="AJ455" s="248"/>
      <c r="AK455" s="248"/>
      <c r="AL455" s="248"/>
      <c r="AM455" s="248"/>
      <c r="AN455" s="248"/>
      <c r="AO455" s="248"/>
      <c r="AP455" s="248"/>
      <c r="AQ455" s="248"/>
      <c r="AR455" s="248"/>
      <c r="AS455" s="248"/>
      <c r="AT455" s="248"/>
      <c r="AU455" s="152"/>
      <c r="AV455" s="152"/>
      <c r="AW455" s="152"/>
      <c r="AX455" s="152"/>
      <c r="AY455" s="152"/>
      <c r="AZ455" s="152"/>
      <c r="BA455" s="152"/>
      <c r="BB455" s="152"/>
      <c r="BC455" s="152"/>
      <c r="BD455" s="152"/>
      <c r="BE455" s="152"/>
      <c r="BF455" s="152"/>
      <c r="BG455" s="152"/>
      <c r="BH455" s="152"/>
      <c r="BI455" s="152"/>
      <c r="BJ455" s="152"/>
      <c r="BK455" s="152"/>
      <c r="BL455" s="152"/>
      <c r="BM455" s="152"/>
      <c r="BN455" s="152"/>
      <c r="BO455" s="152"/>
      <c r="BP455" s="152"/>
      <c r="BQ455" s="152"/>
      <c r="BR455" s="152"/>
      <c r="BS455" s="152"/>
      <c r="BT455" s="152"/>
      <c r="BU455" s="152"/>
      <c r="BV455" s="152"/>
      <c r="BW455" s="152"/>
      <c r="BX455" s="152"/>
      <c r="BY455" s="152"/>
      <c r="BZ455" s="152"/>
      <c r="CA455" s="152"/>
      <c r="CB455" s="152"/>
      <c r="CC455" s="152"/>
      <c r="CD455" s="152"/>
      <c r="CE455" s="152"/>
      <c r="CF455" s="152"/>
      <c r="CG455" s="252"/>
    </row>
    <row r="456" spans="1:85" s="250" customFormat="1" ht="13.9" customHeight="1" x14ac:dyDescent="0.2">
      <c r="A456" s="251" t="s">
        <v>126</v>
      </c>
      <c r="B456" s="147">
        <v>44</v>
      </c>
      <c r="C456" s="244" t="s">
        <v>129</v>
      </c>
      <c r="D456" s="154" t="s">
        <v>63</v>
      </c>
      <c r="E456" s="155">
        <f>1100000*3+1400000</f>
        <v>4700000</v>
      </c>
      <c r="F456" s="155">
        <v>47000000</v>
      </c>
      <c r="G456" s="155"/>
      <c r="H456" s="154" t="s">
        <v>235</v>
      </c>
      <c r="I456" s="244" t="s">
        <v>501</v>
      </c>
      <c r="J456" s="147">
        <v>1</v>
      </c>
      <c r="K456" s="147">
        <v>1</v>
      </c>
      <c r="L456" s="147">
        <v>11</v>
      </c>
      <c r="M456" s="132">
        <f t="shared" si="74"/>
        <v>1</v>
      </c>
      <c r="N456" s="140" t="s">
        <v>53</v>
      </c>
      <c r="O456" s="141" t="str">
        <f>IF(ISBLANK(N456),"",VLOOKUP(N456,[2]Parámetros!$G$2:$H$23,2,FALSE))</f>
        <v>Seléccion abreviada - acuerdo marco</v>
      </c>
      <c r="P456" s="245">
        <f t="shared" si="78"/>
        <v>1</v>
      </c>
      <c r="Q456" s="143">
        <f t="shared" si="75"/>
        <v>51700000</v>
      </c>
      <c r="R456" s="143">
        <f t="shared" si="76"/>
        <v>47000000</v>
      </c>
      <c r="S456" s="246" t="s">
        <v>222</v>
      </c>
      <c r="T456" s="245">
        <f t="shared" si="79"/>
        <v>0</v>
      </c>
      <c r="U456" s="145" t="str">
        <f t="shared" si="77"/>
        <v>SUBDIRECCION DE GESTION CONTRACTUAL</v>
      </c>
      <c r="V456" s="245" t="str">
        <f t="shared" si="80"/>
        <v>CO-DC</v>
      </c>
      <c r="W456" s="245" t="str">
        <f t="shared" si="81"/>
        <v>Distrito Capital de Bogotá</v>
      </c>
      <c r="X456" s="154" t="s">
        <v>478</v>
      </c>
      <c r="Y456" s="147">
        <v>2427400</v>
      </c>
      <c r="Z456" s="157" t="s">
        <v>479</v>
      </c>
      <c r="AA456" s="248"/>
      <c r="AB456" s="248"/>
      <c r="AC456" s="248"/>
      <c r="AD456" s="248"/>
      <c r="AE456" s="248"/>
      <c r="AF456" s="248"/>
      <c r="AG456" s="248"/>
      <c r="AH456" s="248"/>
      <c r="AI456" s="248"/>
      <c r="AJ456" s="248"/>
      <c r="AK456" s="248"/>
      <c r="AL456" s="248"/>
      <c r="AM456" s="248"/>
      <c r="AN456" s="248"/>
      <c r="AO456" s="248"/>
      <c r="AP456" s="248"/>
      <c r="AQ456" s="248"/>
      <c r="AR456" s="248"/>
      <c r="AS456" s="248"/>
      <c r="AT456" s="248"/>
      <c r="AU456" s="152"/>
      <c r="AV456" s="152"/>
      <c r="AW456" s="152"/>
      <c r="AX456" s="152"/>
      <c r="AY456" s="152"/>
      <c r="AZ456" s="152"/>
      <c r="BA456" s="152"/>
      <c r="BB456" s="152"/>
      <c r="BC456" s="152"/>
      <c r="BD456" s="152"/>
      <c r="BE456" s="152"/>
      <c r="BF456" s="152"/>
      <c r="BG456" s="152"/>
      <c r="BH456" s="152"/>
      <c r="BI456" s="152"/>
      <c r="BJ456" s="152"/>
      <c r="BK456" s="152"/>
      <c r="BL456" s="152"/>
      <c r="BM456" s="152"/>
      <c r="BN456" s="152"/>
      <c r="BO456" s="152"/>
      <c r="BP456" s="152"/>
      <c r="BQ456" s="152"/>
      <c r="BR456" s="152"/>
      <c r="BS456" s="152"/>
      <c r="BT456" s="152"/>
      <c r="BU456" s="152"/>
      <c r="BV456" s="152"/>
      <c r="BW456" s="152"/>
      <c r="BX456" s="152"/>
      <c r="BY456" s="152"/>
      <c r="BZ456" s="152"/>
      <c r="CA456" s="152"/>
      <c r="CB456" s="152"/>
      <c r="CC456" s="152"/>
      <c r="CD456" s="152"/>
      <c r="CE456" s="152"/>
      <c r="CF456" s="152"/>
      <c r="CG456" s="252"/>
    </row>
    <row r="457" spans="1:85" s="145" customFormat="1" ht="12.75" customHeight="1" x14ac:dyDescent="0.2">
      <c r="A457" s="251" t="s">
        <v>126</v>
      </c>
      <c r="B457" s="147">
        <v>45</v>
      </c>
      <c r="C457" s="244" t="s">
        <v>129</v>
      </c>
      <c r="D457" s="154" t="s">
        <v>63</v>
      </c>
      <c r="E457" s="155">
        <f>1100000*2</f>
        <v>2200000</v>
      </c>
      <c r="F457" s="155">
        <v>22000000</v>
      </c>
      <c r="G457" s="155"/>
      <c r="H457" s="154" t="s">
        <v>235</v>
      </c>
      <c r="I457" s="244" t="s">
        <v>814</v>
      </c>
      <c r="J457" s="147">
        <v>1</v>
      </c>
      <c r="K457" s="147">
        <v>1</v>
      </c>
      <c r="L457" s="147">
        <v>11</v>
      </c>
      <c r="M457" s="132">
        <f t="shared" si="74"/>
        <v>1</v>
      </c>
      <c r="N457" s="140" t="s">
        <v>53</v>
      </c>
      <c r="O457" s="141" t="str">
        <f>IF(ISBLANK(N457),"",VLOOKUP(N457,[2]Parámetros!$G$2:$H$23,2,FALSE))</f>
        <v>Seléccion abreviada - acuerdo marco</v>
      </c>
      <c r="P457" s="245">
        <f t="shared" si="78"/>
        <v>1</v>
      </c>
      <c r="Q457" s="143">
        <f t="shared" si="75"/>
        <v>24200000</v>
      </c>
      <c r="R457" s="143">
        <f t="shared" si="76"/>
        <v>22000000</v>
      </c>
      <c r="S457" s="246" t="s">
        <v>222</v>
      </c>
      <c r="T457" s="245">
        <f t="shared" si="79"/>
        <v>0</v>
      </c>
      <c r="U457" s="145" t="str">
        <f t="shared" si="77"/>
        <v>SUBDIRECCION DE GESTION CONTRACTUAL</v>
      </c>
      <c r="V457" s="245" t="str">
        <f t="shared" si="80"/>
        <v>CO-DC</v>
      </c>
      <c r="W457" s="245" t="str">
        <f t="shared" si="81"/>
        <v>Distrito Capital de Bogotá</v>
      </c>
      <c r="X457" s="154" t="s">
        <v>478</v>
      </c>
      <c r="Y457" s="147">
        <v>2427400</v>
      </c>
      <c r="Z457" s="157" t="s">
        <v>479</v>
      </c>
      <c r="AA457" s="248"/>
      <c r="AB457" s="248"/>
      <c r="AC457" s="248"/>
      <c r="AD457" s="248"/>
      <c r="AE457" s="248"/>
      <c r="AF457" s="248"/>
      <c r="AG457" s="248"/>
      <c r="AH457" s="248"/>
      <c r="AI457" s="248"/>
      <c r="AJ457" s="248"/>
      <c r="AK457" s="248"/>
      <c r="AL457" s="248"/>
      <c r="AM457" s="248"/>
      <c r="AN457" s="248"/>
      <c r="AO457" s="248"/>
      <c r="AP457" s="248"/>
      <c r="AQ457" s="248"/>
      <c r="AR457" s="248"/>
      <c r="AS457" s="248"/>
      <c r="AT457" s="248"/>
      <c r="AU457" s="152"/>
      <c r="AV457" s="152"/>
      <c r="AW457" s="152"/>
      <c r="AX457" s="152"/>
      <c r="AY457" s="152"/>
      <c r="AZ457" s="152"/>
      <c r="BA457" s="152"/>
      <c r="BB457" s="152"/>
      <c r="BC457" s="152"/>
      <c r="BD457" s="152"/>
      <c r="BE457" s="152"/>
      <c r="BF457" s="152"/>
      <c r="BG457" s="152"/>
      <c r="BH457" s="152"/>
      <c r="BI457" s="152"/>
      <c r="BJ457" s="152"/>
      <c r="BK457" s="152"/>
      <c r="BL457" s="152"/>
      <c r="BM457" s="152"/>
      <c r="BN457" s="152"/>
      <c r="BO457" s="152"/>
      <c r="BP457" s="152"/>
      <c r="BQ457" s="152"/>
      <c r="BR457" s="152"/>
      <c r="BS457" s="152"/>
      <c r="BT457" s="152"/>
      <c r="BU457" s="152"/>
      <c r="BV457" s="152"/>
      <c r="BW457" s="152"/>
      <c r="BX457" s="152"/>
      <c r="BY457" s="152"/>
      <c r="BZ457" s="152"/>
      <c r="CA457" s="152"/>
      <c r="CB457" s="152"/>
      <c r="CC457" s="152"/>
      <c r="CD457" s="152"/>
      <c r="CE457" s="152"/>
      <c r="CF457" s="152"/>
      <c r="CG457" s="252"/>
    </row>
    <row r="458" spans="1:85" s="250" customFormat="1" ht="13.9" customHeight="1" x14ac:dyDescent="0.2">
      <c r="A458" s="251" t="s">
        <v>126</v>
      </c>
      <c r="B458" s="147">
        <v>46</v>
      </c>
      <c r="C458" s="244" t="s">
        <v>129</v>
      </c>
      <c r="D458" s="154" t="s">
        <v>63</v>
      </c>
      <c r="E458" s="155">
        <v>0</v>
      </c>
      <c r="F458" s="155">
        <v>0</v>
      </c>
      <c r="G458" s="155"/>
      <c r="H458" s="154" t="s">
        <v>235</v>
      </c>
      <c r="I458" s="244" t="s">
        <v>825</v>
      </c>
      <c r="J458" s="147">
        <v>1</v>
      </c>
      <c r="K458" s="147">
        <v>1</v>
      </c>
      <c r="L458" s="147">
        <v>11</v>
      </c>
      <c r="M458" s="132">
        <f t="shared" si="74"/>
        <v>1</v>
      </c>
      <c r="N458" s="140" t="s">
        <v>53</v>
      </c>
      <c r="O458" s="141" t="str">
        <f>IF(ISBLANK(N458),"",VLOOKUP(N458,[2]Parámetros!$G$2:$H$23,2,FALSE))</f>
        <v>Seléccion abreviada - acuerdo marco</v>
      </c>
      <c r="P458" s="245">
        <f t="shared" si="78"/>
        <v>1</v>
      </c>
      <c r="Q458" s="143">
        <f t="shared" si="75"/>
        <v>0</v>
      </c>
      <c r="R458" s="143">
        <f t="shared" si="76"/>
        <v>0</v>
      </c>
      <c r="S458" s="246" t="s">
        <v>222</v>
      </c>
      <c r="T458" s="245">
        <f t="shared" si="79"/>
        <v>0</v>
      </c>
      <c r="U458" s="145" t="str">
        <f t="shared" si="77"/>
        <v>SUBDIRECCION DE GESTION CONTRACTUAL</v>
      </c>
      <c r="V458" s="245" t="str">
        <f t="shared" si="80"/>
        <v>CO-DC</v>
      </c>
      <c r="W458" s="245" t="str">
        <f t="shared" si="81"/>
        <v>Distrito Capital de Bogotá</v>
      </c>
      <c r="X458" s="154" t="s">
        <v>478</v>
      </c>
      <c r="Y458" s="147">
        <v>2427400</v>
      </c>
      <c r="Z458" s="157" t="s">
        <v>479</v>
      </c>
      <c r="AA458" s="248"/>
      <c r="AB458" s="248"/>
      <c r="AC458" s="248"/>
      <c r="AD458" s="248"/>
      <c r="AE458" s="248"/>
      <c r="AF458" s="248"/>
      <c r="AG458" s="248"/>
      <c r="AH458" s="248"/>
      <c r="AI458" s="248"/>
      <c r="AJ458" s="248"/>
      <c r="AK458" s="248"/>
      <c r="AL458" s="248"/>
      <c r="AM458" s="248"/>
      <c r="AN458" s="248"/>
      <c r="AO458" s="248"/>
      <c r="AP458" s="248"/>
      <c r="AQ458" s="248"/>
      <c r="AR458" s="248"/>
      <c r="AS458" s="248"/>
      <c r="AT458" s="248"/>
      <c r="AU458" s="152"/>
      <c r="AV458" s="152"/>
      <c r="AW458" s="152"/>
      <c r="AX458" s="152"/>
      <c r="AY458" s="152"/>
      <c r="AZ458" s="152"/>
      <c r="BA458" s="152"/>
      <c r="BB458" s="152"/>
      <c r="BC458" s="152"/>
      <c r="BD458" s="152"/>
      <c r="BE458" s="152"/>
      <c r="BF458" s="152"/>
      <c r="BG458" s="152"/>
      <c r="BH458" s="152"/>
      <c r="BI458" s="152"/>
      <c r="BJ458" s="152"/>
      <c r="BK458" s="152"/>
      <c r="BL458" s="152"/>
      <c r="BM458" s="152"/>
      <c r="BN458" s="152"/>
      <c r="BO458" s="152"/>
      <c r="BP458" s="152"/>
      <c r="BQ458" s="152"/>
      <c r="BR458" s="152"/>
      <c r="BS458" s="152"/>
      <c r="BT458" s="152"/>
      <c r="BU458" s="152"/>
      <c r="BV458" s="152"/>
      <c r="BW458" s="152"/>
      <c r="BX458" s="152"/>
      <c r="BY458" s="152"/>
      <c r="BZ458" s="152"/>
      <c r="CA458" s="152"/>
      <c r="CB458" s="152"/>
      <c r="CC458" s="152"/>
      <c r="CD458" s="152"/>
      <c r="CE458" s="152"/>
      <c r="CF458" s="152"/>
      <c r="CG458" s="252"/>
    </row>
    <row r="459" spans="1:85" s="145" customFormat="1" ht="12.75" customHeight="1" x14ac:dyDescent="0.2">
      <c r="A459" s="251" t="s">
        <v>126</v>
      </c>
      <c r="B459" s="147">
        <v>47</v>
      </c>
      <c r="C459" s="244" t="s">
        <v>129</v>
      </c>
      <c r="D459" s="154" t="s">
        <v>63</v>
      </c>
      <c r="E459" s="155"/>
      <c r="F459" s="155">
        <v>18533351</v>
      </c>
      <c r="G459" s="155"/>
      <c r="H459" s="154" t="s">
        <v>235</v>
      </c>
      <c r="I459" s="244" t="s">
        <v>502</v>
      </c>
      <c r="J459" s="147">
        <v>11</v>
      </c>
      <c r="K459" s="147">
        <v>11</v>
      </c>
      <c r="L459" s="147">
        <v>12</v>
      </c>
      <c r="M459" s="132">
        <f t="shared" si="74"/>
        <v>1</v>
      </c>
      <c r="N459" s="246" t="s">
        <v>53</v>
      </c>
      <c r="O459" s="253" t="str">
        <f>IF(ISBLANK(N459),"",VLOOKUP(N459,[2]Parámetros!$G$2:$H$23,2,FALSE))</f>
        <v>Seléccion abreviada - acuerdo marco</v>
      </c>
      <c r="P459" s="245">
        <f t="shared" si="78"/>
        <v>1</v>
      </c>
      <c r="Q459" s="143">
        <f t="shared" si="75"/>
        <v>18533351</v>
      </c>
      <c r="R459" s="143">
        <f t="shared" si="76"/>
        <v>18533351</v>
      </c>
      <c r="S459" s="246" t="s">
        <v>222</v>
      </c>
      <c r="T459" s="245">
        <f t="shared" si="79"/>
        <v>0</v>
      </c>
      <c r="U459" s="145" t="str">
        <f t="shared" si="77"/>
        <v>SUBDIRECCION DE GESTION CONTRACTUAL</v>
      </c>
      <c r="V459" s="132" t="str">
        <f t="shared" si="80"/>
        <v>CO-DC</v>
      </c>
      <c r="W459" s="245" t="str">
        <f t="shared" si="81"/>
        <v>Distrito Capital de Bogotá</v>
      </c>
      <c r="X459" s="154" t="s">
        <v>478</v>
      </c>
      <c r="Y459" s="147">
        <v>2427400</v>
      </c>
      <c r="Z459" s="157" t="s">
        <v>479</v>
      </c>
      <c r="AA459" s="248"/>
      <c r="AB459" s="248"/>
      <c r="AC459" s="248"/>
      <c r="AD459" s="248"/>
      <c r="AE459" s="248"/>
      <c r="AF459" s="248"/>
      <c r="AG459" s="248"/>
      <c r="AH459" s="248"/>
      <c r="AI459" s="248"/>
      <c r="AJ459" s="248"/>
      <c r="AK459" s="248"/>
      <c r="AL459" s="248"/>
      <c r="AM459" s="248"/>
      <c r="AN459" s="248"/>
      <c r="AO459" s="248"/>
      <c r="AP459" s="248"/>
      <c r="AQ459" s="248"/>
      <c r="AR459" s="248"/>
      <c r="AS459" s="248"/>
      <c r="AT459" s="248"/>
      <c r="AU459" s="152"/>
      <c r="AV459" s="152"/>
      <c r="AW459" s="152"/>
      <c r="AX459" s="152"/>
      <c r="AY459" s="152"/>
      <c r="AZ459" s="152"/>
      <c r="BA459" s="152"/>
      <c r="BB459" s="152"/>
      <c r="BC459" s="152"/>
      <c r="BD459" s="152"/>
      <c r="BE459" s="152"/>
      <c r="BF459" s="152"/>
      <c r="BG459" s="152"/>
      <c r="BH459" s="152"/>
      <c r="BI459" s="152"/>
      <c r="BJ459" s="152"/>
      <c r="BK459" s="152"/>
      <c r="BL459" s="152"/>
      <c r="BM459" s="152"/>
      <c r="BN459" s="152"/>
      <c r="BO459" s="152"/>
      <c r="BP459" s="152"/>
      <c r="BQ459" s="152"/>
      <c r="BR459" s="152"/>
      <c r="BS459" s="152"/>
      <c r="BT459" s="152"/>
      <c r="BU459" s="152"/>
      <c r="BV459" s="152"/>
      <c r="BW459" s="152"/>
      <c r="BX459" s="152"/>
      <c r="BY459" s="152"/>
      <c r="BZ459" s="152"/>
      <c r="CA459" s="152"/>
      <c r="CB459" s="152"/>
      <c r="CC459" s="152"/>
      <c r="CD459" s="152"/>
      <c r="CE459" s="152"/>
      <c r="CF459" s="152"/>
      <c r="CG459" s="252"/>
    </row>
    <row r="460" spans="1:85" s="145" customFormat="1" ht="12.75" customHeight="1" x14ac:dyDescent="0.2">
      <c r="A460" s="251" t="s">
        <v>126</v>
      </c>
      <c r="B460" s="147">
        <v>48</v>
      </c>
      <c r="C460" s="244" t="s">
        <v>129</v>
      </c>
      <c r="D460" s="154" t="s">
        <v>144</v>
      </c>
      <c r="E460" s="155"/>
      <c r="F460" s="155">
        <f>26000000</f>
        <v>26000000</v>
      </c>
      <c r="G460" s="155"/>
      <c r="H460" s="154">
        <v>82121700</v>
      </c>
      <c r="I460" s="244" t="s">
        <v>503</v>
      </c>
      <c r="J460" s="147">
        <v>2</v>
      </c>
      <c r="K460" s="147">
        <v>3</v>
      </c>
      <c r="L460" s="147">
        <v>11</v>
      </c>
      <c r="M460" s="132">
        <f t="shared" si="74"/>
        <v>1</v>
      </c>
      <c r="N460" s="140" t="s">
        <v>48</v>
      </c>
      <c r="O460" s="141" t="str">
        <f>IF(ISBLANK(N460),"",VLOOKUP(N460,[2]Parámetros!$G$2:$H$23,2,FALSE))</f>
        <v>Mínima cuantía</v>
      </c>
      <c r="P460" s="245">
        <f t="shared" ref="P460:P479" si="82">IF(ISBLANK(N460),"",1)</f>
        <v>1</v>
      </c>
      <c r="Q460" s="143">
        <f t="shared" si="75"/>
        <v>26000000</v>
      </c>
      <c r="R460" s="143">
        <f t="shared" si="76"/>
        <v>26000000</v>
      </c>
      <c r="S460" s="246" t="s">
        <v>222</v>
      </c>
      <c r="T460" s="245">
        <f t="shared" ref="T460:T479" si="83">IF(ISBLANK(S460),"",IF(VALUE(S460)=0,0,IF(VALUE(S460)=1,3,"")))</f>
        <v>0</v>
      </c>
      <c r="U460" s="145" t="str">
        <f t="shared" si="77"/>
        <v>SUBDIRECCION DE GESTION CONTRACTUAL</v>
      </c>
      <c r="V460" s="245" t="str">
        <f t="shared" si="80"/>
        <v>CO-DC</v>
      </c>
      <c r="W460" s="245" t="str">
        <f t="shared" si="81"/>
        <v>Distrito Capital de Bogotá</v>
      </c>
      <c r="X460" s="154" t="s">
        <v>467</v>
      </c>
      <c r="Y460" s="147">
        <v>2427400</v>
      </c>
      <c r="Z460" s="157" t="s">
        <v>131</v>
      </c>
      <c r="AA460" s="248"/>
      <c r="AB460" s="248"/>
      <c r="AC460" s="248"/>
      <c r="AD460" s="248"/>
      <c r="AE460" s="248"/>
      <c r="AF460" s="248"/>
      <c r="AG460" s="248"/>
      <c r="AH460" s="248"/>
      <c r="AI460" s="248"/>
      <c r="AJ460" s="248"/>
      <c r="AK460" s="248"/>
      <c r="AL460" s="248"/>
      <c r="AM460" s="248"/>
      <c r="AN460" s="248"/>
      <c r="AO460" s="248"/>
      <c r="AP460" s="248"/>
      <c r="AQ460" s="248"/>
      <c r="AR460" s="248"/>
      <c r="AS460" s="248"/>
      <c r="AT460" s="248"/>
      <c r="AU460" s="152"/>
      <c r="AV460" s="152"/>
      <c r="AW460" s="152"/>
      <c r="AX460" s="152"/>
      <c r="AY460" s="152"/>
      <c r="AZ460" s="152"/>
      <c r="BA460" s="152"/>
      <c r="BB460" s="152"/>
      <c r="BC460" s="152"/>
      <c r="BD460" s="152"/>
      <c r="BE460" s="152"/>
      <c r="BF460" s="152"/>
      <c r="BG460" s="152"/>
      <c r="BH460" s="152"/>
      <c r="BI460" s="152"/>
      <c r="BJ460" s="152"/>
      <c r="BK460" s="152"/>
      <c r="BL460" s="152"/>
      <c r="BM460" s="152"/>
      <c r="BN460" s="152"/>
      <c r="BO460" s="152"/>
      <c r="BP460" s="152"/>
      <c r="BQ460" s="152"/>
      <c r="BR460" s="152"/>
      <c r="BS460" s="152"/>
      <c r="BT460" s="152"/>
      <c r="BU460" s="152"/>
      <c r="BV460" s="152"/>
      <c r="BW460" s="152"/>
      <c r="BX460" s="152"/>
      <c r="BY460" s="152"/>
      <c r="BZ460" s="152"/>
      <c r="CA460" s="152"/>
      <c r="CB460" s="152"/>
      <c r="CC460" s="152"/>
      <c r="CD460" s="152"/>
      <c r="CE460" s="152"/>
      <c r="CF460" s="152"/>
      <c r="CG460" s="252"/>
    </row>
    <row r="461" spans="1:85" s="145" customFormat="1" ht="12.75" customHeight="1" x14ac:dyDescent="0.2">
      <c r="A461" s="251" t="s">
        <v>126</v>
      </c>
      <c r="B461" s="147">
        <v>49</v>
      </c>
      <c r="C461" s="244" t="s">
        <v>129</v>
      </c>
      <c r="D461" s="154" t="s">
        <v>123</v>
      </c>
      <c r="E461" s="155"/>
      <c r="F461" s="155">
        <f>11013429</f>
        <v>11013429</v>
      </c>
      <c r="G461" s="155"/>
      <c r="H461" s="154" t="s">
        <v>262</v>
      </c>
      <c r="I461" s="244" t="s">
        <v>504</v>
      </c>
      <c r="J461" s="147">
        <v>3</v>
      </c>
      <c r="K461" s="147">
        <v>4</v>
      </c>
      <c r="L461" s="147">
        <v>8</v>
      </c>
      <c r="M461" s="132">
        <f t="shared" si="74"/>
        <v>1</v>
      </c>
      <c r="N461" s="140" t="s">
        <v>43</v>
      </c>
      <c r="O461" s="141" t="str">
        <f>IF(ISBLANK(N461),"",VLOOKUP(N461,[2]Parámetros!$G$2:$H$23,2,FALSE))</f>
        <v>Selección abreviada subasta inversa</v>
      </c>
      <c r="P461" s="245">
        <f t="shared" si="82"/>
        <v>1</v>
      </c>
      <c r="Q461" s="143">
        <f t="shared" si="75"/>
        <v>11013429</v>
      </c>
      <c r="R461" s="143">
        <f t="shared" si="76"/>
        <v>11013429</v>
      </c>
      <c r="S461" s="246" t="s">
        <v>222</v>
      </c>
      <c r="T461" s="245">
        <f t="shared" si="83"/>
        <v>0</v>
      </c>
      <c r="U461" s="145" t="str">
        <f t="shared" si="77"/>
        <v>SUBDIRECCION DE GESTION CONTRACTUAL</v>
      </c>
      <c r="V461" s="245" t="str">
        <f t="shared" si="80"/>
        <v>CO-DC</v>
      </c>
      <c r="W461" s="245" t="str">
        <f t="shared" si="81"/>
        <v>Distrito Capital de Bogotá</v>
      </c>
      <c r="X461" s="154" t="s">
        <v>73</v>
      </c>
      <c r="Y461" s="147">
        <v>2427400</v>
      </c>
      <c r="Z461" s="157" t="s">
        <v>74</v>
      </c>
      <c r="AA461" s="248"/>
      <c r="AB461" s="248"/>
      <c r="AC461" s="248"/>
      <c r="AD461" s="248"/>
      <c r="AE461" s="248"/>
      <c r="AF461" s="248"/>
      <c r="AG461" s="248"/>
      <c r="AH461" s="248"/>
      <c r="AI461" s="248"/>
      <c r="AJ461" s="248"/>
      <c r="AK461" s="248"/>
      <c r="AL461" s="248"/>
      <c r="AM461" s="248"/>
      <c r="AN461" s="248"/>
      <c r="AO461" s="248"/>
      <c r="AP461" s="248"/>
      <c r="AQ461" s="248"/>
      <c r="AR461" s="248"/>
      <c r="AS461" s="248"/>
      <c r="AT461" s="248"/>
      <c r="AU461" s="152"/>
      <c r="AV461" s="152"/>
      <c r="AW461" s="152"/>
      <c r="AX461" s="152"/>
      <c r="AY461" s="152"/>
      <c r="AZ461" s="152"/>
      <c r="BA461" s="152"/>
      <c r="BB461" s="152"/>
      <c r="BC461" s="152"/>
      <c r="BD461" s="152"/>
      <c r="BE461" s="152"/>
      <c r="BF461" s="152"/>
      <c r="BG461" s="152"/>
      <c r="BH461" s="152"/>
      <c r="BI461" s="152"/>
      <c r="BJ461" s="152"/>
      <c r="BK461" s="152"/>
      <c r="BL461" s="152"/>
      <c r="BM461" s="152"/>
      <c r="BN461" s="152"/>
      <c r="BO461" s="152"/>
      <c r="BP461" s="152"/>
      <c r="BQ461" s="152"/>
      <c r="BR461" s="152"/>
      <c r="BS461" s="152"/>
      <c r="BT461" s="152"/>
      <c r="BU461" s="152"/>
      <c r="BV461" s="152"/>
      <c r="BW461" s="152"/>
      <c r="BX461" s="152"/>
      <c r="BY461" s="152"/>
      <c r="BZ461" s="152"/>
      <c r="CA461" s="152"/>
      <c r="CB461" s="152"/>
      <c r="CC461" s="152"/>
      <c r="CD461" s="152"/>
      <c r="CE461" s="152"/>
      <c r="CF461" s="152"/>
      <c r="CG461" s="252"/>
    </row>
    <row r="462" spans="1:85" s="145" customFormat="1" ht="12.75" customHeight="1" x14ac:dyDescent="0.2">
      <c r="A462" s="251" t="s">
        <v>126</v>
      </c>
      <c r="B462" s="147">
        <v>50</v>
      </c>
      <c r="C462" s="244" t="s">
        <v>129</v>
      </c>
      <c r="D462" s="154" t="s">
        <v>146</v>
      </c>
      <c r="E462" s="155">
        <v>23218050</v>
      </c>
      <c r="F462" s="155">
        <v>513351091</v>
      </c>
      <c r="G462" s="155"/>
      <c r="H462" s="154" t="s">
        <v>746</v>
      </c>
      <c r="I462" s="244" t="s">
        <v>505</v>
      </c>
      <c r="J462" s="153">
        <v>1</v>
      </c>
      <c r="K462" s="153">
        <v>1</v>
      </c>
      <c r="L462" s="153">
        <v>8</v>
      </c>
      <c r="M462" s="132">
        <f t="shared" si="74"/>
        <v>1</v>
      </c>
      <c r="N462" s="140" t="s">
        <v>36</v>
      </c>
      <c r="O462" s="141" t="str">
        <f>IF(ISBLANK(N462),"",VLOOKUP(N462,[2]Parámetros!$G$2:$H$23,2,FALSE))</f>
        <v xml:space="preserve">Contratación directa (con ofertas) </v>
      </c>
      <c r="P462" s="245">
        <f t="shared" si="82"/>
        <v>1</v>
      </c>
      <c r="Q462" s="143">
        <f t="shared" si="75"/>
        <v>536569141</v>
      </c>
      <c r="R462" s="143">
        <f t="shared" si="76"/>
        <v>513351091</v>
      </c>
      <c r="S462" s="246" t="s">
        <v>222</v>
      </c>
      <c r="T462" s="245">
        <f t="shared" si="83"/>
        <v>0</v>
      </c>
      <c r="U462" s="145" t="str">
        <f t="shared" si="77"/>
        <v>SUBDIRECCION DE GESTION CONTRACTUAL</v>
      </c>
      <c r="V462" s="245" t="str">
        <f t="shared" si="80"/>
        <v>CO-DC</v>
      </c>
      <c r="W462" s="245" t="str">
        <f t="shared" si="81"/>
        <v>Distrito Capital de Bogotá</v>
      </c>
      <c r="X462" s="154" t="s">
        <v>467</v>
      </c>
      <c r="Y462" s="147">
        <v>2427400</v>
      </c>
      <c r="Z462" s="157" t="s">
        <v>131</v>
      </c>
      <c r="AA462" s="248"/>
      <c r="AB462" s="248"/>
      <c r="AC462" s="248"/>
      <c r="AD462" s="248"/>
      <c r="AE462" s="248"/>
      <c r="AF462" s="248"/>
      <c r="AG462" s="248"/>
      <c r="AH462" s="248"/>
      <c r="AI462" s="248"/>
      <c r="AJ462" s="248"/>
      <c r="AK462" s="248"/>
      <c r="AL462" s="248"/>
      <c r="AM462" s="248"/>
      <c r="AN462" s="248"/>
      <c r="AO462" s="248"/>
      <c r="AP462" s="248"/>
      <c r="AQ462" s="248"/>
      <c r="AR462" s="248"/>
      <c r="AS462" s="248"/>
      <c r="AT462" s="248"/>
      <c r="AU462" s="152"/>
      <c r="AV462" s="152"/>
      <c r="AW462" s="152"/>
      <c r="AX462" s="152"/>
      <c r="AY462" s="152"/>
      <c r="AZ462" s="152"/>
      <c r="BA462" s="152"/>
      <c r="BB462" s="152"/>
      <c r="BC462" s="152"/>
      <c r="BD462" s="152"/>
      <c r="BE462" s="152"/>
      <c r="BF462" s="152"/>
      <c r="BG462" s="152"/>
      <c r="BH462" s="152"/>
      <c r="BI462" s="152"/>
      <c r="BJ462" s="152"/>
      <c r="BK462" s="152"/>
      <c r="BL462" s="152"/>
      <c r="BM462" s="152"/>
      <c r="BN462" s="152"/>
      <c r="BO462" s="152"/>
      <c r="BP462" s="152"/>
      <c r="BQ462" s="152"/>
      <c r="BR462" s="152"/>
      <c r="BS462" s="152"/>
      <c r="BT462" s="152"/>
      <c r="BU462" s="152"/>
      <c r="BV462" s="152"/>
      <c r="BW462" s="152"/>
      <c r="BX462" s="152"/>
      <c r="BY462" s="152"/>
      <c r="BZ462" s="152"/>
      <c r="CA462" s="152"/>
      <c r="CB462" s="152"/>
      <c r="CC462" s="152"/>
      <c r="CD462" s="152"/>
      <c r="CE462" s="152"/>
      <c r="CF462" s="152"/>
      <c r="CG462" s="252"/>
    </row>
    <row r="463" spans="1:85" s="7" customFormat="1" ht="12.75" customHeight="1" x14ac:dyDescent="0.2">
      <c r="A463" s="243" t="s">
        <v>126</v>
      </c>
      <c r="B463" s="147">
        <v>51</v>
      </c>
      <c r="C463" s="244" t="s">
        <v>129</v>
      </c>
      <c r="D463" s="154" t="s">
        <v>146</v>
      </c>
      <c r="E463" s="155"/>
      <c r="F463" s="155">
        <v>1255848909</v>
      </c>
      <c r="G463" s="155"/>
      <c r="H463" s="154" t="s">
        <v>746</v>
      </c>
      <c r="I463" s="244" t="s">
        <v>506</v>
      </c>
      <c r="J463" s="147">
        <v>9</v>
      </c>
      <c r="K463" s="147">
        <v>9</v>
      </c>
      <c r="L463" s="147">
        <v>12</v>
      </c>
      <c r="M463" s="132">
        <f t="shared" si="74"/>
        <v>1</v>
      </c>
      <c r="N463" s="140" t="s">
        <v>36</v>
      </c>
      <c r="O463" s="141" t="str">
        <f>IF(ISBLANK(N463),"",VLOOKUP(N463,[2]Parámetros!$G$2:$H$23,2,FALSE))</f>
        <v xml:space="preserve">Contratación directa (con ofertas) </v>
      </c>
      <c r="P463" s="245">
        <f t="shared" si="82"/>
        <v>1</v>
      </c>
      <c r="Q463" s="143">
        <f t="shared" si="75"/>
        <v>1255848909</v>
      </c>
      <c r="R463" s="143">
        <f t="shared" si="76"/>
        <v>1255848909</v>
      </c>
      <c r="S463" s="246" t="s">
        <v>224</v>
      </c>
      <c r="T463" s="245">
        <f t="shared" si="83"/>
        <v>3</v>
      </c>
      <c r="U463" s="145" t="str">
        <f t="shared" si="77"/>
        <v>SUBDIRECCION DE GESTION CONTRACTUAL</v>
      </c>
      <c r="V463" s="245" t="str">
        <f t="shared" si="80"/>
        <v>CO-DC</v>
      </c>
      <c r="W463" s="245" t="str">
        <f t="shared" si="81"/>
        <v>Distrito Capital de Bogotá</v>
      </c>
      <c r="X463" s="154" t="s">
        <v>467</v>
      </c>
      <c r="Y463" s="147">
        <v>2427400</v>
      </c>
      <c r="Z463" s="157" t="s">
        <v>131</v>
      </c>
      <c r="AA463" s="248"/>
      <c r="AB463" s="248"/>
      <c r="AC463" s="248"/>
      <c r="AD463" s="248"/>
      <c r="AE463" s="248"/>
      <c r="AF463" s="248"/>
      <c r="AG463" s="248"/>
      <c r="AH463" s="248"/>
      <c r="AI463" s="248"/>
      <c r="AJ463" s="248"/>
      <c r="AK463" s="248"/>
      <c r="AL463" s="248"/>
      <c r="AM463" s="248"/>
      <c r="AN463" s="248"/>
      <c r="AO463" s="248"/>
      <c r="AP463" s="248"/>
      <c r="AQ463" s="248"/>
      <c r="AR463" s="248"/>
      <c r="AS463" s="248"/>
      <c r="AT463" s="248"/>
      <c r="AU463" s="152"/>
      <c r="AV463" s="152"/>
      <c r="AW463" s="152"/>
      <c r="AX463" s="152"/>
      <c r="AY463" s="152"/>
      <c r="AZ463" s="152"/>
      <c r="BA463" s="152"/>
      <c r="BB463" s="152"/>
      <c r="BC463" s="152"/>
      <c r="BD463" s="152"/>
      <c r="BE463" s="152"/>
      <c r="BF463" s="152"/>
      <c r="BG463" s="152"/>
      <c r="BH463" s="152"/>
      <c r="BI463" s="152"/>
      <c r="BJ463" s="152"/>
      <c r="BK463" s="152"/>
      <c r="BL463" s="152"/>
      <c r="BM463" s="152"/>
      <c r="BN463" s="152"/>
      <c r="BO463" s="152"/>
      <c r="BP463" s="152"/>
      <c r="BQ463" s="152"/>
      <c r="BR463" s="152"/>
      <c r="BS463" s="152"/>
      <c r="BT463" s="152"/>
      <c r="BU463" s="152"/>
      <c r="BV463" s="152"/>
      <c r="BW463" s="152"/>
      <c r="BX463" s="152"/>
      <c r="BY463" s="152"/>
      <c r="BZ463" s="152"/>
      <c r="CA463" s="152"/>
      <c r="CB463" s="152"/>
      <c r="CC463" s="152"/>
      <c r="CD463" s="152"/>
      <c r="CE463" s="152"/>
      <c r="CF463" s="152"/>
      <c r="CG463" s="152"/>
    </row>
    <row r="464" spans="1:85" s="145" customFormat="1" ht="12.75" customHeight="1" x14ac:dyDescent="0.2">
      <c r="A464" s="251" t="s">
        <v>126</v>
      </c>
      <c r="B464" s="147">
        <v>52</v>
      </c>
      <c r="C464" s="244" t="s">
        <v>129</v>
      </c>
      <c r="D464" s="154" t="s">
        <v>147</v>
      </c>
      <c r="E464" s="155">
        <v>0</v>
      </c>
      <c r="F464" s="155">
        <v>0</v>
      </c>
      <c r="G464" s="155"/>
      <c r="H464" s="154" t="s">
        <v>742</v>
      </c>
      <c r="I464" s="244" t="s">
        <v>507</v>
      </c>
      <c r="J464" s="147">
        <v>1</v>
      </c>
      <c r="K464" s="147">
        <v>1</v>
      </c>
      <c r="L464" s="147">
        <v>24</v>
      </c>
      <c r="M464" s="132">
        <f t="shared" si="74"/>
        <v>1</v>
      </c>
      <c r="N464" s="140" t="s">
        <v>148</v>
      </c>
      <c r="O464" s="141" t="str">
        <f>IF(ISBLANK(N464),"",VLOOKUP(N464,[2]Parámetros!$G$2:$H$23,2,FALSE))</f>
        <v>Contratación régimen especial - Régimen especial</v>
      </c>
      <c r="P464" s="245">
        <f t="shared" si="82"/>
        <v>1</v>
      </c>
      <c r="Q464" s="143">
        <f t="shared" si="75"/>
        <v>0</v>
      </c>
      <c r="R464" s="143">
        <f t="shared" si="76"/>
        <v>0</v>
      </c>
      <c r="S464" s="246" t="s">
        <v>222</v>
      </c>
      <c r="T464" s="245">
        <f t="shared" si="83"/>
        <v>0</v>
      </c>
      <c r="U464" s="145" t="str">
        <f t="shared" si="77"/>
        <v>SUBDIRECCION DE GESTION CONTRACTUAL</v>
      </c>
      <c r="V464" s="245" t="str">
        <f t="shared" si="80"/>
        <v>CO-DC</v>
      </c>
      <c r="W464" s="245" t="str">
        <f t="shared" si="81"/>
        <v>Distrito Capital de Bogotá</v>
      </c>
      <c r="X464" s="154" t="s">
        <v>467</v>
      </c>
      <c r="Y464" s="147">
        <v>2427400</v>
      </c>
      <c r="Z464" s="157" t="s">
        <v>131</v>
      </c>
      <c r="AA464" s="248"/>
      <c r="AB464" s="248"/>
      <c r="AC464" s="248"/>
      <c r="AD464" s="248"/>
      <c r="AE464" s="248"/>
      <c r="AF464" s="248"/>
      <c r="AG464" s="248"/>
      <c r="AH464" s="248"/>
      <c r="AI464" s="248"/>
      <c r="AJ464" s="248"/>
      <c r="AK464" s="248"/>
      <c r="AL464" s="248"/>
      <c r="AM464" s="248"/>
      <c r="AN464" s="248"/>
      <c r="AO464" s="248"/>
      <c r="AP464" s="248"/>
      <c r="AQ464" s="248"/>
      <c r="AR464" s="248"/>
      <c r="AS464" s="248"/>
      <c r="AT464" s="248"/>
      <c r="AU464" s="152"/>
      <c r="AV464" s="152"/>
      <c r="AW464" s="152"/>
      <c r="AX464" s="152"/>
      <c r="AY464" s="152"/>
      <c r="AZ464" s="152"/>
      <c r="BA464" s="152"/>
      <c r="BB464" s="152"/>
      <c r="BC464" s="152"/>
      <c r="BD464" s="152"/>
      <c r="BE464" s="152"/>
      <c r="BF464" s="152"/>
      <c r="BG464" s="152"/>
      <c r="BH464" s="152"/>
      <c r="BI464" s="152"/>
      <c r="BJ464" s="152"/>
      <c r="BK464" s="152"/>
      <c r="BL464" s="152"/>
      <c r="BM464" s="152"/>
      <c r="BN464" s="152"/>
      <c r="BO464" s="152"/>
      <c r="BP464" s="152"/>
      <c r="BQ464" s="152"/>
      <c r="BR464" s="152"/>
      <c r="BS464" s="152"/>
      <c r="BT464" s="152"/>
      <c r="BU464" s="152"/>
      <c r="BV464" s="152"/>
      <c r="BW464" s="152"/>
      <c r="BX464" s="152"/>
      <c r="BY464" s="152"/>
      <c r="BZ464" s="152"/>
      <c r="CA464" s="152"/>
      <c r="CB464" s="152"/>
      <c r="CC464" s="152"/>
      <c r="CD464" s="152"/>
      <c r="CE464" s="152"/>
      <c r="CF464" s="152"/>
      <c r="CG464" s="252"/>
    </row>
    <row r="465" spans="1:85" s="250" customFormat="1" ht="13.9" customHeight="1" x14ac:dyDescent="0.2">
      <c r="A465" s="251" t="s">
        <v>180</v>
      </c>
      <c r="B465" s="147">
        <v>1</v>
      </c>
      <c r="C465" s="244" t="s">
        <v>46</v>
      </c>
      <c r="D465" s="154" t="s">
        <v>58</v>
      </c>
      <c r="E465" s="155"/>
      <c r="F465" s="155">
        <v>451000000</v>
      </c>
      <c r="G465" s="155"/>
      <c r="H465" s="154">
        <v>80111600</v>
      </c>
      <c r="I465" s="244" t="s">
        <v>521</v>
      </c>
      <c r="J465" s="147">
        <v>1</v>
      </c>
      <c r="K465" s="147">
        <v>1</v>
      </c>
      <c r="L465" s="147">
        <v>12</v>
      </c>
      <c r="M465" s="132">
        <f t="shared" si="74"/>
        <v>1</v>
      </c>
      <c r="N465" s="140" t="s">
        <v>216</v>
      </c>
      <c r="O465" s="141" t="str">
        <f>IF(ISBLANK(N465),"",VLOOKUP(N465,[22]Parámetros!$G$2:$H$23,2,FALSE))</f>
        <v>Contratación directa.</v>
      </c>
      <c r="P465" s="245">
        <f t="shared" si="82"/>
        <v>1</v>
      </c>
      <c r="Q465" s="143">
        <f t="shared" si="75"/>
        <v>451000000</v>
      </c>
      <c r="R465" s="143">
        <f t="shared" si="76"/>
        <v>451000000</v>
      </c>
      <c r="S465" s="246" t="s">
        <v>222</v>
      </c>
      <c r="T465" s="245">
        <f t="shared" si="83"/>
        <v>0</v>
      </c>
      <c r="U465" s="145" t="str">
        <f t="shared" si="77"/>
        <v>SUBDIRECCION DE GESTION CONTRACTUAL</v>
      </c>
      <c r="V465" s="245" t="str">
        <f t="shared" si="80"/>
        <v>CO-DC</v>
      </c>
      <c r="W465" s="245" t="str">
        <f t="shared" si="81"/>
        <v>Distrito Capital de Bogotá</v>
      </c>
      <c r="X465" s="154" t="s">
        <v>629</v>
      </c>
      <c r="Y465" s="147">
        <v>2427400</v>
      </c>
      <c r="Z465" s="157" t="s">
        <v>522</v>
      </c>
      <c r="AA465" s="248"/>
      <c r="AB465" s="248"/>
      <c r="AC465" s="248"/>
      <c r="AD465" s="248"/>
      <c r="AE465" s="248"/>
      <c r="AF465" s="248"/>
      <c r="AG465" s="248"/>
      <c r="AH465" s="248"/>
      <c r="AI465" s="248"/>
      <c r="AJ465" s="248"/>
      <c r="AK465" s="248"/>
      <c r="AL465" s="248"/>
      <c r="AM465" s="248"/>
      <c r="AN465" s="248"/>
      <c r="AO465" s="248"/>
      <c r="AP465" s="248"/>
      <c r="AQ465" s="248"/>
      <c r="AR465" s="248"/>
      <c r="AS465" s="248"/>
      <c r="AT465" s="248"/>
      <c r="AU465" s="152"/>
      <c r="AV465" s="152"/>
      <c r="AW465" s="152"/>
      <c r="AX465" s="152"/>
      <c r="AY465" s="152"/>
      <c r="AZ465" s="152"/>
      <c r="BA465" s="152"/>
      <c r="BB465" s="152"/>
      <c r="BC465" s="152"/>
      <c r="BD465" s="152"/>
      <c r="BE465" s="152"/>
      <c r="BF465" s="152"/>
      <c r="BG465" s="152"/>
      <c r="BH465" s="152"/>
      <c r="BI465" s="152"/>
      <c r="BJ465" s="152"/>
      <c r="BK465" s="152"/>
      <c r="BL465" s="152"/>
      <c r="BM465" s="152"/>
      <c r="BN465" s="152"/>
      <c r="BO465" s="152"/>
      <c r="BP465" s="152"/>
      <c r="BQ465" s="152"/>
      <c r="BR465" s="152"/>
      <c r="BS465" s="152"/>
      <c r="BT465" s="152"/>
      <c r="BU465" s="152"/>
      <c r="BV465" s="152"/>
      <c r="BW465" s="152"/>
      <c r="BX465" s="152"/>
      <c r="BY465" s="152"/>
      <c r="BZ465" s="152"/>
      <c r="CA465" s="152"/>
      <c r="CB465" s="152"/>
      <c r="CC465" s="152"/>
      <c r="CD465" s="152"/>
      <c r="CE465" s="152"/>
      <c r="CF465" s="152"/>
      <c r="CG465" s="252"/>
    </row>
    <row r="466" spans="1:85" s="250" customFormat="1" ht="13.9" customHeight="1" x14ac:dyDescent="0.2">
      <c r="A466" s="251" t="s">
        <v>149</v>
      </c>
      <c r="B466" s="147">
        <v>1</v>
      </c>
      <c r="C466" s="244" t="s">
        <v>523</v>
      </c>
      <c r="D466" s="154" t="s">
        <v>153</v>
      </c>
      <c r="E466" s="155"/>
      <c r="F466" s="155">
        <v>600000000</v>
      </c>
      <c r="G466" s="155"/>
      <c r="H466" s="154">
        <v>80111600</v>
      </c>
      <c r="I466" s="244" t="s">
        <v>607</v>
      </c>
      <c r="J466" s="147">
        <v>1</v>
      </c>
      <c r="K466" s="147">
        <v>1</v>
      </c>
      <c r="L466" s="147">
        <v>12</v>
      </c>
      <c r="M466" s="132">
        <f t="shared" si="74"/>
        <v>1</v>
      </c>
      <c r="N466" s="140" t="s">
        <v>216</v>
      </c>
      <c r="O466" s="141" t="str">
        <f>IF(ISBLANK(N466),"",VLOOKUP(N466,[24]Parámetros!$G$2:$H$23,2,FALSE))</f>
        <v>Contratación directa.</v>
      </c>
      <c r="P466" s="245">
        <f t="shared" si="82"/>
        <v>1</v>
      </c>
      <c r="Q466" s="143">
        <f t="shared" si="75"/>
        <v>600000000</v>
      </c>
      <c r="R466" s="143">
        <f t="shared" si="76"/>
        <v>600000000</v>
      </c>
      <c r="S466" s="246" t="s">
        <v>222</v>
      </c>
      <c r="T466" s="245">
        <f t="shared" si="83"/>
        <v>0</v>
      </c>
      <c r="U466" s="145" t="str">
        <f t="shared" si="77"/>
        <v>SUBDIRECCION DE GESTION CONTRACTUAL</v>
      </c>
      <c r="V466" s="245" t="str">
        <f t="shared" si="80"/>
        <v>CO-DC</v>
      </c>
      <c r="W466" s="245" t="str">
        <f t="shared" si="81"/>
        <v>Distrito Capital de Bogotá</v>
      </c>
      <c r="X466" s="154" t="s">
        <v>151</v>
      </c>
      <c r="Y466" s="147">
        <v>2427400</v>
      </c>
      <c r="Z466" s="157" t="s">
        <v>152</v>
      </c>
      <c r="AA466" s="248"/>
      <c r="AB466" s="248"/>
      <c r="AC466" s="248"/>
      <c r="AD466" s="248"/>
      <c r="AE466" s="248"/>
      <c r="AF466" s="248"/>
      <c r="AG466" s="248"/>
      <c r="AH466" s="248"/>
      <c r="AI466" s="248"/>
      <c r="AJ466" s="248"/>
      <c r="AK466" s="248"/>
      <c r="AL466" s="248"/>
      <c r="AM466" s="248"/>
      <c r="AN466" s="248"/>
      <c r="AO466" s="248"/>
      <c r="AP466" s="248"/>
      <c r="AQ466" s="248"/>
      <c r="AR466" s="248"/>
      <c r="AS466" s="248"/>
      <c r="AT466" s="248"/>
      <c r="AU466" s="152"/>
      <c r="AV466" s="152"/>
      <c r="AW466" s="152"/>
      <c r="AX466" s="152"/>
      <c r="AY466" s="152"/>
      <c r="AZ466" s="152"/>
      <c r="BA466" s="152"/>
      <c r="BB466" s="152"/>
      <c r="BC466" s="152"/>
      <c r="BD466" s="152"/>
      <c r="BE466" s="152"/>
      <c r="BF466" s="152"/>
      <c r="BG466" s="152"/>
      <c r="BH466" s="152"/>
      <c r="BI466" s="152"/>
      <c r="BJ466" s="152"/>
      <c r="BK466" s="152"/>
      <c r="BL466" s="152"/>
      <c r="BM466" s="152"/>
      <c r="BN466" s="152"/>
      <c r="BO466" s="152"/>
      <c r="BP466" s="152"/>
      <c r="BQ466" s="152"/>
      <c r="BR466" s="152"/>
      <c r="BS466" s="152"/>
      <c r="BT466" s="152"/>
      <c r="BU466" s="152"/>
      <c r="BV466" s="152"/>
      <c r="BW466" s="152"/>
      <c r="BX466" s="152"/>
      <c r="BY466" s="152"/>
      <c r="BZ466" s="152"/>
      <c r="CA466" s="152"/>
      <c r="CB466" s="152"/>
      <c r="CC466" s="152"/>
      <c r="CD466" s="152"/>
      <c r="CE466" s="152"/>
      <c r="CF466" s="152"/>
      <c r="CG466" s="252"/>
    </row>
    <row r="467" spans="1:85" s="250" customFormat="1" ht="13.9" customHeight="1" x14ac:dyDescent="0.2">
      <c r="A467" s="251" t="s">
        <v>149</v>
      </c>
      <c r="B467" s="147">
        <v>2</v>
      </c>
      <c r="C467" s="244" t="s">
        <v>523</v>
      </c>
      <c r="D467" s="154" t="s">
        <v>153</v>
      </c>
      <c r="E467" s="155"/>
      <c r="F467" s="155">
        <v>270100000</v>
      </c>
      <c r="G467" s="155"/>
      <c r="H467" s="135" t="s">
        <v>752</v>
      </c>
      <c r="I467" s="244" t="s">
        <v>585</v>
      </c>
      <c r="J467" s="137">
        <v>2</v>
      </c>
      <c r="K467" s="138">
        <v>3</v>
      </c>
      <c r="L467" s="139">
        <v>9</v>
      </c>
      <c r="M467" s="132">
        <f t="shared" si="74"/>
        <v>1</v>
      </c>
      <c r="N467" s="140" t="s">
        <v>226</v>
      </c>
      <c r="O467" s="141" t="str">
        <f>IF(ISBLANK(N467),"",VLOOKUP(N467,[24]Parámetros!$G$2:$H$23,2,FALSE))</f>
        <v>Licitación pública</v>
      </c>
      <c r="P467" s="245">
        <f t="shared" si="82"/>
        <v>1</v>
      </c>
      <c r="Q467" s="143">
        <f t="shared" si="75"/>
        <v>270100000</v>
      </c>
      <c r="R467" s="143">
        <f t="shared" si="76"/>
        <v>270100000</v>
      </c>
      <c r="S467" s="246" t="s">
        <v>222</v>
      </c>
      <c r="T467" s="245">
        <f t="shared" si="83"/>
        <v>0</v>
      </c>
      <c r="U467" s="145" t="str">
        <f t="shared" si="77"/>
        <v>SUBDIRECCION DE GESTION CONTRACTUAL</v>
      </c>
      <c r="V467" s="245" t="str">
        <f t="shared" si="80"/>
        <v>CO-DC</v>
      </c>
      <c r="W467" s="245" t="str">
        <f t="shared" si="81"/>
        <v>Distrito Capital de Bogotá</v>
      </c>
      <c r="X467" s="154" t="s">
        <v>151</v>
      </c>
      <c r="Y467" s="147">
        <v>2427400</v>
      </c>
      <c r="Z467" s="157" t="s">
        <v>152</v>
      </c>
      <c r="AA467" s="248"/>
      <c r="AB467" s="248"/>
      <c r="AC467" s="248"/>
      <c r="AD467" s="248"/>
      <c r="AE467" s="248"/>
      <c r="AF467" s="248"/>
      <c r="AG467" s="248"/>
      <c r="AH467" s="248"/>
      <c r="AI467" s="248"/>
      <c r="AJ467" s="248"/>
      <c r="AK467" s="248"/>
      <c r="AL467" s="248"/>
      <c r="AM467" s="248"/>
      <c r="AN467" s="248"/>
      <c r="AO467" s="248"/>
      <c r="AP467" s="248"/>
      <c r="AQ467" s="248"/>
      <c r="AR467" s="248"/>
      <c r="AS467" s="248"/>
      <c r="AT467" s="248"/>
      <c r="AU467" s="152"/>
      <c r="AV467" s="152"/>
      <c r="AW467" s="152"/>
      <c r="AX467" s="152"/>
      <c r="AY467" s="152"/>
      <c r="AZ467" s="152"/>
      <c r="BA467" s="152"/>
      <c r="BB467" s="152"/>
      <c r="BC467" s="152"/>
      <c r="BD467" s="152"/>
      <c r="BE467" s="152"/>
      <c r="BF467" s="152"/>
      <c r="BG467" s="152"/>
      <c r="BH467" s="152"/>
      <c r="BI467" s="152"/>
      <c r="BJ467" s="152"/>
      <c r="BK467" s="152"/>
      <c r="BL467" s="152"/>
      <c r="BM467" s="152"/>
      <c r="BN467" s="152"/>
      <c r="BO467" s="152"/>
      <c r="BP467" s="152"/>
      <c r="BQ467" s="152"/>
      <c r="BR467" s="152"/>
      <c r="BS467" s="152"/>
      <c r="BT467" s="152"/>
      <c r="BU467" s="152"/>
      <c r="BV467" s="152"/>
      <c r="BW467" s="152"/>
      <c r="BX467" s="152"/>
      <c r="BY467" s="152"/>
      <c r="BZ467" s="152"/>
      <c r="CA467" s="152"/>
      <c r="CB467" s="152"/>
      <c r="CC467" s="152"/>
      <c r="CD467" s="152"/>
      <c r="CE467" s="152"/>
      <c r="CF467" s="152"/>
      <c r="CG467" s="252"/>
    </row>
    <row r="468" spans="1:85" s="250" customFormat="1" ht="13.9" customHeight="1" x14ac:dyDescent="0.2">
      <c r="A468" s="251" t="s">
        <v>149</v>
      </c>
      <c r="B468" s="147">
        <v>3</v>
      </c>
      <c r="C468" s="244" t="s">
        <v>523</v>
      </c>
      <c r="D468" s="154" t="s">
        <v>153</v>
      </c>
      <c r="E468" s="155"/>
      <c r="F468" s="155">
        <f>20000000+50000000</f>
        <v>70000000</v>
      </c>
      <c r="G468" s="155"/>
      <c r="H468" s="135" t="s">
        <v>42</v>
      </c>
      <c r="I468" s="244" t="s">
        <v>588</v>
      </c>
      <c r="J468" s="137">
        <v>3</v>
      </c>
      <c r="K468" s="138">
        <v>4</v>
      </c>
      <c r="L468" s="139">
        <v>9</v>
      </c>
      <c r="M468" s="132">
        <f t="shared" si="74"/>
        <v>1</v>
      </c>
      <c r="N468" s="140" t="s">
        <v>61</v>
      </c>
      <c r="O468" s="141" t="str">
        <f>IF(ISBLANK(N468),"",VLOOKUP(N468,[24]Parámetros!$G$2:$H$23,2,FALSE))</f>
        <v>Contratación régimen especial - Selección de comisionista</v>
      </c>
      <c r="P468" s="245">
        <f t="shared" si="82"/>
        <v>1</v>
      </c>
      <c r="Q468" s="143">
        <f t="shared" si="75"/>
        <v>70000000</v>
      </c>
      <c r="R468" s="143">
        <f t="shared" si="76"/>
        <v>70000000</v>
      </c>
      <c r="S468" s="246" t="s">
        <v>222</v>
      </c>
      <c r="T468" s="245">
        <f t="shared" si="83"/>
        <v>0</v>
      </c>
      <c r="U468" s="145" t="str">
        <f t="shared" si="77"/>
        <v>SUBDIRECCION DE GESTION CONTRACTUAL</v>
      </c>
      <c r="V468" s="132" t="str">
        <f t="shared" si="80"/>
        <v>CO-DC</v>
      </c>
      <c r="W468" s="145" t="str">
        <f t="shared" si="81"/>
        <v>Distrito Capital de Bogotá</v>
      </c>
      <c r="X468" s="146" t="s">
        <v>331</v>
      </c>
      <c r="Y468" s="147">
        <v>2427400</v>
      </c>
      <c r="Z468" s="157" t="s">
        <v>75</v>
      </c>
      <c r="AA468" s="248"/>
      <c r="AB468" s="248"/>
      <c r="AC468" s="248"/>
      <c r="AD468" s="248"/>
      <c r="AE468" s="248"/>
      <c r="AF468" s="248"/>
      <c r="AG468" s="248"/>
      <c r="AH468" s="248"/>
      <c r="AI468" s="248"/>
      <c r="AJ468" s="248"/>
      <c r="AK468" s="248"/>
      <c r="AL468" s="248"/>
      <c r="AM468" s="248"/>
      <c r="AN468" s="248"/>
      <c r="AO468" s="248"/>
      <c r="AP468" s="248"/>
      <c r="AQ468" s="248"/>
      <c r="AR468" s="248"/>
      <c r="AS468" s="248"/>
      <c r="AT468" s="248"/>
      <c r="AU468" s="152"/>
      <c r="AV468" s="152"/>
      <c r="AW468" s="152"/>
      <c r="AX468" s="152"/>
      <c r="AY468" s="152"/>
      <c r="AZ468" s="152"/>
      <c r="BA468" s="152"/>
      <c r="BB468" s="152"/>
      <c r="BC468" s="152"/>
      <c r="BD468" s="152"/>
      <c r="BE468" s="152"/>
      <c r="BF468" s="152"/>
      <c r="BG468" s="152"/>
      <c r="BH468" s="152"/>
      <c r="BI468" s="152"/>
      <c r="BJ468" s="152"/>
      <c r="BK468" s="152"/>
      <c r="BL468" s="152"/>
      <c r="BM468" s="152"/>
      <c r="BN468" s="152"/>
      <c r="BO468" s="152"/>
      <c r="BP468" s="152"/>
      <c r="BQ468" s="152"/>
      <c r="BR468" s="152"/>
      <c r="BS468" s="152"/>
      <c r="BT468" s="152"/>
      <c r="BU468" s="152"/>
      <c r="BV468" s="152"/>
      <c r="BW468" s="152"/>
      <c r="BX468" s="152"/>
      <c r="BY468" s="152"/>
      <c r="BZ468" s="152"/>
      <c r="CA468" s="152"/>
      <c r="CB468" s="152"/>
      <c r="CC468" s="152"/>
      <c r="CD468" s="152"/>
      <c r="CE468" s="152"/>
      <c r="CF468" s="152"/>
      <c r="CG468" s="252"/>
    </row>
    <row r="469" spans="1:85" s="250" customFormat="1" ht="13.9" customHeight="1" x14ac:dyDescent="0.2">
      <c r="A469" s="251" t="s">
        <v>149</v>
      </c>
      <c r="B469" s="147">
        <v>4</v>
      </c>
      <c r="C469" s="244" t="s">
        <v>523</v>
      </c>
      <c r="D469" s="154" t="s">
        <v>524</v>
      </c>
      <c r="E469" s="155"/>
      <c r="F469" s="155">
        <v>145200000</v>
      </c>
      <c r="G469" s="155"/>
      <c r="H469" s="154" t="s">
        <v>150</v>
      </c>
      <c r="I469" s="244" t="s">
        <v>608</v>
      </c>
      <c r="J469" s="147">
        <v>5</v>
      </c>
      <c r="K469" s="147">
        <v>5</v>
      </c>
      <c r="L469" s="147">
        <v>7</v>
      </c>
      <c r="M469" s="132">
        <f t="shared" si="74"/>
        <v>1</v>
      </c>
      <c r="N469" s="140" t="s">
        <v>148</v>
      </c>
      <c r="O469" s="141" t="str">
        <f>IF(ISBLANK(N469),"",VLOOKUP(N469,[24]Parámetros!$G$2:$H$23,2,FALSE))</f>
        <v>Contratación régimen especial - Régimen especial</v>
      </c>
      <c r="P469" s="245">
        <f t="shared" si="82"/>
        <v>1</v>
      </c>
      <c r="Q469" s="143">
        <f t="shared" si="75"/>
        <v>145200000</v>
      </c>
      <c r="R469" s="143">
        <f t="shared" si="76"/>
        <v>145200000</v>
      </c>
      <c r="S469" s="246" t="s">
        <v>222</v>
      </c>
      <c r="T469" s="245">
        <f t="shared" si="83"/>
        <v>0</v>
      </c>
      <c r="U469" s="145" t="str">
        <f t="shared" si="77"/>
        <v>SUBDIRECCION DE GESTION CONTRACTUAL</v>
      </c>
      <c r="V469" s="245" t="str">
        <f t="shared" si="80"/>
        <v>CO-DC</v>
      </c>
      <c r="W469" s="245" t="str">
        <f t="shared" si="81"/>
        <v>Distrito Capital de Bogotá</v>
      </c>
      <c r="X469" s="154" t="s">
        <v>151</v>
      </c>
      <c r="Y469" s="147">
        <v>2427401</v>
      </c>
      <c r="Z469" s="157" t="s">
        <v>152</v>
      </c>
      <c r="AA469" s="248"/>
      <c r="AB469" s="248"/>
      <c r="AC469" s="248"/>
      <c r="AD469" s="248"/>
      <c r="AE469" s="248"/>
      <c r="AF469" s="248"/>
      <c r="AG469" s="248"/>
      <c r="AH469" s="248"/>
      <c r="AI469" s="248"/>
      <c r="AJ469" s="248"/>
      <c r="AK469" s="248"/>
      <c r="AL469" s="248"/>
      <c r="AM469" s="248"/>
      <c r="AN469" s="248"/>
      <c r="AO469" s="248"/>
      <c r="AP469" s="248"/>
      <c r="AQ469" s="248"/>
      <c r="AR469" s="248"/>
      <c r="AS469" s="248"/>
      <c r="AT469" s="248"/>
      <c r="AU469" s="152"/>
      <c r="AV469" s="152"/>
      <c r="AW469" s="152"/>
      <c r="AX469" s="152"/>
      <c r="AY469" s="152"/>
      <c r="AZ469" s="152"/>
      <c r="BA469" s="152"/>
      <c r="BB469" s="152"/>
      <c r="BC469" s="152"/>
      <c r="BD469" s="152"/>
      <c r="BE469" s="152"/>
      <c r="BF469" s="152"/>
      <c r="BG469" s="152"/>
      <c r="BH469" s="152"/>
      <c r="BI469" s="152"/>
      <c r="BJ469" s="152"/>
      <c r="BK469" s="152"/>
      <c r="BL469" s="152"/>
      <c r="BM469" s="152"/>
      <c r="BN469" s="152"/>
      <c r="BO469" s="152"/>
      <c r="BP469" s="152"/>
      <c r="BQ469" s="152"/>
      <c r="BR469" s="152"/>
      <c r="BS469" s="152"/>
      <c r="BT469" s="152"/>
      <c r="BU469" s="152"/>
      <c r="BV469" s="152"/>
      <c r="BW469" s="152"/>
      <c r="BX469" s="152"/>
      <c r="BY469" s="152"/>
      <c r="BZ469" s="152"/>
      <c r="CA469" s="152"/>
      <c r="CB469" s="152"/>
      <c r="CC469" s="152"/>
      <c r="CD469" s="152"/>
      <c r="CE469" s="152"/>
      <c r="CF469" s="152"/>
      <c r="CG469" s="252"/>
    </row>
    <row r="470" spans="1:85" s="250" customFormat="1" ht="13.9" customHeight="1" x14ac:dyDescent="0.2">
      <c r="A470" s="251" t="s">
        <v>149</v>
      </c>
      <c r="B470" s="147">
        <v>5</v>
      </c>
      <c r="C470" s="244" t="s">
        <v>154</v>
      </c>
      <c r="D470" s="154" t="s">
        <v>525</v>
      </c>
      <c r="E470" s="155"/>
      <c r="F470" s="155">
        <v>500000000</v>
      </c>
      <c r="G470" s="155"/>
      <c r="H470" s="265" t="s">
        <v>836</v>
      </c>
      <c r="I470" s="244" t="s">
        <v>835</v>
      </c>
      <c r="J470" s="147">
        <v>3</v>
      </c>
      <c r="K470" s="147">
        <v>3</v>
      </c>
      <c r="L470" s="147">
        <v>9</v>
      </c>
      <c r="M470" s="132">
        <f t="shared" si="74"/>
        <v>1</v>
      </c>
      <c r="N470" s="140" t="s">
        <v>36</v>
      </c>
      <c r="O470" s="141" t="str">
        <f>IF(ISBLANK(N470),"",VLOOKUP(N470,[24]Parámetros!$G$2:$H$23,2,FALSE))</f>
        <v xml:space="preserve">Contratación directa (con ofertas) </v>
      </c>
      <c r="P470" s="245">
        <f t="shared" si="82"/>
        <v>1</v>
      </c>
      <c r="Q470" s="143">
        <f t="shared" si="75"/>
        <v>500000000</v>
      </c>
      <c r="R470" s="143">
        <f t="shared" si="76"/>
        <v>500000000</v>
      </c>
      <c r="S470" s="246" t="s">
        <v>222</v>
      </c>
      <c r="T470" s="245">
        <f t="shared" si="83"/>
        <v>0</v>
      </c>
      <c r="U470" s="145" t="str">
        <f t="shared" si="77"/>
        <v>SUBDIRECCION DE GESTION CONTRACTUAL</v>
      </c>
      <c r="V470" s="245" t="str">
        <f t="shared" si="80"/>
        <v>CO-DC</v>
      </c>
      <c r="W470" s="245" t="str">
        <f t="shared" si="81"/>
        <v>Distrito Capital de Bogotá</v>
      </c>
      <c r="X470" s="154" t="s">
        <v>151</v>
      </c>
      <c r="Y470" s="147">
        <v>2427401</v>
      </c>
      <c r="Z470" s="157" t="s">
        <v>152</v>
      </c>
      <c r="AA470" s="248"/>
      <c r="AB470" s="248"/>
      <c r="AC470" s="248"/>
      <c r="AD470" s="248"/>
      <c r="AE470" s="248"/>
      <c r="AF470" s="248"/>
      <c r="AG470" s="248"/>
      <c r="AH470" s="248"/>
      <c r="AI470" s="248"/>
      <c r="AJ470" s="248"/>
      <c r="AK470" s="248"/>
      <c r="AL470" s="248"/>
      <c r="AM470" s="248"/>
      <c r="AN470" s="248"/>
      <c r="AO470" s="248"/>
      <c r="AP470" s="248"/>
      <c r="AQ470" s="248"/>
      <c r="AR470" s="248"/>
      <c r="AS470" s="248"/>
      <c r="AT470" s="248"/>
      <c r="AU470" s="152"/>
      <c r="AV470" s="152"/>
      <c r="AW470" s="152"/>
      <c r="AX470" s="152"/>
      <c r="AY470" s="152"/>
      <c r="AZ470" s="152"/>
      <c r="BA470" s="152"/>
      <c r="BB470" s="152"/>
      <c r="BC470" s="152"/>
      <c r="BD470" s="152"/>
      <c r="BE470" s="152"/>
      <c r="BF470" s="152"/>
      <c r="BG470" s="152"/>
      <c r="BH470" s="152"/>
      <c r="BI470" s="152"/>
      <c r="BJ470" s="152"/>
      <c r="BK470" s="152"/>
      <c r="BL470" s="152"/>
      <c r="BM470" s="152"/>
      <c r="BN470" s="152"/>
      <c r="BO470" s="152"/>
      <c r="BP470" s="152"/>
      <c r="BQ470" s="152"/>
      <c r="BR470" s="152"/>
      <c r="BS470" s="152"/>
      <c r="BT470" s="152"/>
      <c r="BU470" s="152"/>
      <c r="BV470" s="152"/>
      <c r="BW470" s="152"/>
      <c r="BX470" s="152"/>
      <c r="BY470" s="152"/>
      <c r="BZ470" s="152"/>
      <c r="CA470" s="152"/>
      <c r="CB470" s="152"/>
      <c r="CC470" s="152"/>
      <c r="CD470" s="152"/>
      <c r="CE470" s="152"/>
      <c r="CF470" s="152"/>
      <c r="CG470" s="252"/>
    </row>
    <row r="471" spans="1:85" s="250" customFormat="1" ht="13.9" customHeight="1" x14ac:dyDescent="0.2">
      <c r="A471" s="251" t="s">
        <v>149</v>
      </c>
      <c r="B471" s="147">
        <v>6</v>
      </c>
      <c r="C471" s="244" t="s">
        <v>154</v>
      </c>
      <c r="D471" s="154" t="s">
        <v>525</v>
      </c>
      <c r="E471" s="155"/>
      <c r="F471" s="155">
        <f>500000000-400000000</f>
        <v>100000000</v>
      </c>
      <c r="G471" s="155"/>
      <c r="H471" s="154" t="s">
        <v>748</v>
      </c>
      <c r="I471" s="244" t="s">
        <v>609</v>
      </c>
      <c r="J471" s="147">
        <v>3</v>
      </c>
      <c r="K471" s="147">
        <v>3</v>
      </c>
      <c r="L471" s="147">
        <v>9</v>
      </c>
      <c r="M471" s="132">
        <f t="shared" si="74"/>
        <v>1</v>
      </c>
      <c r="N471" s="140" t="s">
        <v>36</v>
      </c>
      <c r="O471" s="141" t="str">
        <f>IF(ISBLANK(N471),"",VLOOKUP(N471,[24]Parámetros!$G$2:$H$23,2,FALSE))</f>
        <v xml:space="preserve">Contratación directa (con ofertas) </v>
      </c>
      <c r="P471" s="245">
        <f t="shared" si="82"/>
        <v>1</v>
      </c>
      <c r="Q471" s="143">
        <f t="shared" si="75"/>
        <v>100000000</v>
      </c>
      <c r="R471" s="143">
        <f t="shared" si="76"/>
        <v>100000000</v>
      </c>
      <c r="S471" s="246" t="s">
        <v>222</v>
      </c>
      <c r="T471" s="245">
        <f t="shared" si="83"/>
        <v>0</v>
      </c>
      <c r="U471" s="145" t="str">
        <f t="shared" si="77"/>
        <v>SUBDIRECCION DE GESTION CONTRACTUAL</v>
      </c>
      <c r="V471" s="245" t="str">
        <f t="shared" si="80"/>
        <v>CO-DC</v>
      </c>
      <c r="W471" s="245" t="str">
        <f t="shared" si="81"/>
        <v>Distrito Capital de Bogotá</v>
      </c>
      <c r="X471" s="154" t="s">
        <v>151</v>
      </c>
      <c r="Y471" s="147">
        <v>2427401</v>
      </c>
      <c r="Z471" s="157" t="s">
        <v>152</v>
      </c>
      <c r="AA471" s="248"/>
      <c r="AB471" s="248"/>
      <c r="AC471" s="248"/>
      <c r="AD471" s="248"/>
      <c r="AE471" s="248"/>
      <c r="AF471" s="248"/>
      <c r="AG471" s="248"/>
      <c r="AH471" s="248"/>
      <c r="AI471" s="248"/>
      <c r="AJ471" s="248"/>
      <c r="AK471" s="248"/>
      <c r="AL471" s="248"/>
      <c r="AM471" s="248"/>
      <c r="AN471" s="248"/>
      <c r="AO471" s="248"/>
      <c r="AP471" s="248"/>
      <c r="AQ471" s="248"/>
      <c r="AR471" s="248"/>
      <c r="AS471" s="248"/>
      <c r="AT471" s="248"/>
      <c r="AU471" s="152"/>
      <c r="AV471" s="152"/>
      <c r="AW471" s="152"/>
      <c r="AX471" s="152"/>
      <c r="AY471" s="152"/>
      <c r="AZ471" s="152"/>
      <c r="BA471" s="152"/>
      <c r="BB471" s="152"/>
      <c r="BC471" s="152"/>
      <c r="BD471" s="152"/>
      <c r="BE471" s="152"/>
      <c r="BF471" s="152"/>
      <c r="BG471" s="152"/>
      <c r="BH471" s="152"/>
      <c r="BI471" s="152"/>
      <c r="BJ471" s="152"/>
      <c r="BK471" s="152"/>
      <c r="BL471" s="152"/>
      <c r="BM471" s="152"/>
      <c r="BN471" s="152"/>
      <c r="BO471" s="152"/>
      <c r="BP471" s="152"/>
      <c r="BQ471" s="152"/>
      <c r="BR471" s="152"/>
      <c r="BS471" s="152"/>
      <c r="BT471" s="152"/>
      <c r="BU471" s="152"/>
      <c r="BV471" s="152"/>
      <c r="BW471" s="152"/>
      <c r="BX471" s="152"/>
      <c r="BY471" s="152"/>
      <c r="BZ471" s="152"/>
      <c r="CA471" s="152"/>
      <c r="CB471" s="152"/>
      <c r="CC471" s="152"/>
      <c r="CD471" s="152"/>
      <c r="CE471" s="152"/>
      <c r="CF471" s="152"/>
      <c r="CG471" s="252"/>
    </row>
    <row r="472" spans="1:85" s="250" customFormat="1" ht="13.9" customHeight="1" x14ac:dyDescent="0.2">
      <c r="A472" s="251" t="s">
        <v>149</v>
      </c>
      <c r="B472" s="147">
        <v>7</v>
      </c>
      <c r="C472" s="244" t="s">
        <v>526</v>
      </c>
      <c r="D472" s="154" t="s">
        <v>525</v>
      </c>
      <c r="E472" s="155"/>
      <c r="F472" s="155">
        <v>658100000</v>
      </c>
      <c r="G472" s="155"/>
      <c r="H472" s="154">
        <v>80111600</v>
      </c>
      <c r="I472" s="244" t="s">
        <v>610</v>
      </c>
      <c r="J472" s="147">
        <v>1</v>
      </c>
      <c r="K472" s="147">
        <v>1</v>
      </c>
      <c r="L472" s="147">
        <v>12</v>
      </c>
      <c r="M472" s="132">
        <f t="shared" si="74"/>
        <v>1</v>
      </c>
      <c r="N472" s="140" t="s">
        <v>216</v>
      </c>
      <c r="O472" s="141" t="str">
        <f>IF(ISBLANK(N472),"",VLOOKUP(N472,[24]Parámetros!$G$2:$H$23,2,FALSE))</f>
        <v>Contratación directa.</v>
      </c>
      <c r="P472" s="245">
        <f t="shared" si="82"/>
        <v>1</v>
      </c>
      <c r="Q472" s="143">
        <f t="shared" si="75"/>
        <v>658100000</v>
      </c>
      <c r="R472" s="143">
        <f t="shared" si="76"/>
        <v>658100000</v>
      </c>
      <c r="S472" s="246" t="s">
        <v>222</v>
      </c>
      <c r="T472" s="245">
        <f t="shared" si="83"/>
        <v>0</v>
      </c>
      <c r="U472" s="145" t="str">
        <f t="shared" si="77"/>
        <v>SUBDIRECCION DE GESTION CONTRACTUAL</v>
      </c>
      <c r="V472" s="245" t="str">
        <f t="shared" si="80"/>
        <v>CO-DC</v>
      </c>
      <c r="W472" s="245" t="str">
        <f t="shared" si="81"/>
        <v>Distrito Capital de Bogotá</v>
      </c>
      <c r="X472" s="154" t="s">
        <v>151</v>
      </c>
      <c r="Y472" s="147">
        <v>2427401</v>
      </c>
      <c r="Z472" s="157" t="s">
        <v>152</v>
      </c>
      <c r="AA472" s="248"/>
      <c r="AB472" s="248"/>
      <c r="AC472" s="248"/>
      <c r="AD472" s="248"/>
      <c r="AE472" s="248"/>
      <c r="AF472" s="248"/>
      <c r="AG472" s="248"/>
      <c r="AH472" s="248"/>
      <c r="AI472" s="248"/>
      <c r="AJ472" s="248"/>
      <c r="AK472" s="248"/>
      <c r="AL472" s="248"/>
      <c r="AM472" s="248"/>
      <c r="AN472" s="248"/>
      <c r="AO472" s="248"/>
      <c r="AP472" s="248"/>
      <c r="AQ472" s="248"/>
      <c r="AR472" s="248"/>
      <c r="AS472" s="248"/>
      <c r="AT472" s="248"/>
      <c r="AU472" s="152"/>
      <c r="AV472" s="152"/>
      <c r="AW472" s="152"/>
      <c r="AX472" s="152"/>
      <c r="AY472" s="152"/>
      <c r="AZ472" s="152"/>
      <c r="BA472" s="152"/>
      <c r="BB472" s="152"/>
      <c r="BC472" s="152"/>
      <c r="BD472" s="152"/>
      <c r="BE472" s="152"/>
      <c r="BF472" s="152"/>
      <c r="BG472" s="152"/>
      <c r="BH472" s="152"/>
      <c r="BI472" s="152"/>
      <c r="BJ472" s="152"/>
      <c r="BK472" s="152"/>
      <c r="BL472" s="152"/>
      <c r="BM472" s="152"/>
      <c r="BN472" s="152"/>
      <c r="BO472" s="152"/>
      <c r="BP472" s="152"/>
      <c r="BQ472" s="152"/>
      <c r="BR472" s="152"/>
      <c r="BS472" s="152"/>
      <c r="BT472" s="152"/>
      <c r="BU472" s="152"/>
      <c r="BV472" s="152"/>
      <c r="BW472" s="152"/>
      <c r="BX472" s="152"/>
      <c r="BY472" s="152"/>
      <c r="BZ472" s="152"/>
      <c r="CA472" s="152"/>
      <c r="CB472" s="152"/>
      <c r="CC472" s="152"/>
      <c r="CD472" s="152"/>
      <c r="CE472" s="152"/>
      <c r="CF472" s="152"/>
      <c r="CG472" s="252"/>
    </row>
    <row r="473" spans="1:85" s="250" customFormat="1" ht="13.9" customHeight="1" x14ac:dyDescent="0.2">
      <c r="A473" s="251" t="s">
        <v>149</v>
      </c>
      <c r="B473" s="147">
        <v>8</v>
      </c>
      <c r="C473" s="244" t="s">
        <v>527</v>
      </c>
      <c r="D473" s="154" t="s">
        <v>805</v>
      </c>
      <c r="E473" s="155"/>
      <c r="F473" s="155">
        <v>634400000</v>
      </c>
      <c r="G473" s="155"/>
      <c r="H473" s="154" t="s">
        <v>748</v>
      </c>
      <c r="I473" s="244" t="s">
        <v>609</v>
      </c>
      <c r="J473" s="147">
        <v>3</v>
      </c>
      <c r="K473" s="147">
        <v>3</v>
      </c>
      <c r="L473" s="147">
        <v>9</v>
      </c>
      <c r="M473" s="132">
        <f t="shared" si="74"/>
        <v>1</v>
      </c>
      <c r="N473" s="140" t="s">
        <v>36</v>
      </c>
      <c r="O473" s="141" t="str">
        <f>IF(ISBLANK(N473),"",VLOOKUP(N473,[24]Parámetros!$G$2:$H$23,2,FALSE))</f>
        <v xml:space="preserve">Contratación directa (con ofertas) </v>
      </c>
      <c r="P473" s="245">
        <f t="shared" si="82"/>
        <v>1</v>
      </c>
      <c r="Q473" s="143">
        <f t="shared" si="75"/>
        <v>634400000</v>
      </c>
      <c r="R473" s="143">
        <f t="shared" si="76"/>
        <v>634400000</v>
      </c>
      <c r="S473" s="246" t="s">
        <v>222</v>
      </c>
      <c r="T473" s="245">
        <f t="shared" si="83"/>
        <v>0</v>
      </c>
      <c r="U473" s="145" t="str">
        <f t="shared" si="77"/>
        <v>SUBDIRECCION DE GESTION CONTRACTUAL</v>
      </c>
      <c r="V473" s="245" t="str">
        <f t="shared" si="80"/>
        <v>CO-DC</v>
      </c>
      <c r="W473" s="245" t="str">
        <f t="shared" si="81"/>
        <v>Distrito Capital de Bogotá</v>
      </c>
      <c r="X473" s="154" t="s">
        <v>151</v>
      </c>
      <c r="Y473" s="147">
        <v>2427401</v>
      </c>
      <c r="Z473" s="157" t="s">
        <v>152</v>
      </c>
      <c r="AA473" s="248"/>
      <c r="AB473" s="248"/>
      <c r="AC473" s="248"/>
      <c r="AD473" s="248"/>
      <c r="AE473" s="248"/>
      <c r="AF473" s="248"/>
      <c r="AG473" s="248"/>
      <c r="AH473" s="248"/>
      <c r="AI473" s="248"/>
      <c r="AJ473" s="248"/>
      <c r="AK473" s="248"/>
      <c r="AL473" s="248"/>
      <c r="AM473" s="248"/>
      <c r="AN473" s="248"/>
      <c r="AO473" s="248"/>
      <c r="AP473" s="248"/>
      <c r="AQ473" s="248"/>
      <c r="AR473" s="248"/>
      <c r="AS473" s="248"/>
      <c r="AT473" s="248"/>
      <c r="AU473" s="152"/>
      <c r="AV473" s="152"/>
      <c r="AW473" s="152"/>
      <c r="AX473" s="152"/>
      <c r="AY473" s="152"/>
      <c r="AZ473" s="152"/>
      <c r="BA473" s="152"/>
      <c r="BB473" s="152"/>
      <c r="BC473" s="152"/>
      <c r="BD473" s="152"/>
      <c r="BE473" s="152"/>
      <c r="BF473" s="152"/>
      <c r="BG473" s="152"/>
      <c r="BH473" s="152"/>
      <c r="BI473" s="152"/>
      <c r="BJ473" s="152"/>
      <c r="BK473" s="152"/>
      <c r="BL473" s="152"/>
      <c r="BM473" s="152"/>
      <c r="BN473" s="152"/>
      <c r="BO473" s="152"/>
      <c r="BP473" s="152"/>
      <c r="BQ473" s="152"/>
      <c r="BR473" s="152"/>
      <c r="BS473" s="152"/>
      <c r="BT473" s="152"/>
      <c r="BU473" s="152"/>
      <c r="BV473" s="152"/>
      <c r="BW473" s="152"/>
      <c r="BX473" s="152"/>
      <c r="BY473" s="152"/>
      <c r="BZ473" s="152"/>
      <c r="CA473" s="152"/>
      <c r="CB473" s="152"/>
      <c r="CC473" s="152"/>
      <c r="CD473" s="152"/>
      <c r="CE473" s="152"/>
      <c r="CF473" s="152"/>
      <c r="CG473" s="252"/>
    </row>
    <row r="474" spans="1:85" s="250" customFormat="1" ht="13.9" customHeight="1" x14ac:dyDescent="0.2">
      <c r="A474" s="251" t="s">
        <v>149</v>
      </c>
      <c r="B474" s="147">
        <v>9</v>
      </c>
      <c r="C474" s="244" t="s">
        <v>528</v>
      </c>
      <c r="D474" s="154" t="s">
        <v>805</v>
      </c>
      <c r="E474" s="155"/>
      <c r="F474" s="155">
        <v>40000000</v>
      </c>
      <c r="G474" s="155"/>
      <c r="H474" s="154" t="s">
        <v>748</v>
      </c>
      <c r="I474" s="244" t="s">
        <v>609</v>
      </c>
      <c r="J474" s="147">
        <v>3</v>
      </c>
      <c r="K474" s="147">
        <v>3</v>
      </c>
      <c r="L474" s="147">
        <v>9</v>
      </c>
      <c r="M474" s="132">
        <f t="shared" si="74"/>
        <v>1</v>
      </c>
      <c r="N474" s="140" t="s">
        <v>36</v>
      </c>
      <c r="O474" s="141" t="str">
        <f>IF(ISBLANK(N474),"",VLOOKUP(N474,[24]Parámetros!$G$2:$H$23,2,FALSE))</f>
        <v xml:space="preserve">Contratación directa (con ofertas) </v>
      </c>
      <c r="P474" s="245">
        <f t="shared" si="82"/>
        <v>1</v>
      </c>
      <c r="Q474" s="143">
        <f t="shared" si="75"/>
        <v>40000000</v>
      </c>
      <c r="R474" s="143">
        <f t="shared" si="76"/>
        <v>40000000</v>
      </c>
      <c r="S474" s="246" t="s">
        <v>222</v>
      </c>
      <c r="T474" s="245">
        <f t="shared" si="83"/>
        <v>0</v>
      </c>
      <c r="U474" s="145" t="str">
        <f t="shared" si="77"/>
        <v>SUBDIRECCION DE GESTION CONTRACTUAL</v>
      </c>
      <c r="V474" s="245" t="str">
        <f t="shared" si="80"/>
        <v>CO-DC</v>
      </c>
      <c r="W474" s="245" t="str">
        <f t="shared" si="81"/>
        <v>Distrito Capital de Bogotá</v>
      </c>
      <c r="X474" s="154" t="s">
        <v>151</v>
      </c>
      <c r="Y474" s="147">
        <v>2427401</v>
      </c>
      <c r="Z474" s="157" t="s">
        <v>152</v>
      </c>
      <c r="AA474" s="248"/>
      <c r="AB474" s="248"/>
      <c r="AC474" s="248"/>
      <c r="AD474" s="248"/>
      <c r="AE474" s="248"/>
      <c r="AF474" s="248"/>
      <c r="AG474" s="248"/>
      <c r="AH474" s="248"/>
      <c r="AI474" s="248"/>
      <c r="AJ474" s="248"/>
      <c r="AK474" s="248"/>
      <c r="AL474" s="248"/>
      <c r="AM474" s="248"/>
      <c r="AN474" s="248"/>
      <c r="AO474" s="248"/>
      <c r="AP474" s="248"/>
      <c r="AQ474" s="248"/>
      <c r="AR474" s="248"/>
      <c r="AS474" s="248"/>
      <c r="AT474" s="248"/>
      <c r="AU474" s="152"/>
      <c r="AV474" s="152"/>
      <c r="AW474" s="152"/>
      <c r="AX474" s="152"/>
      <c r="AY474" s="152"/>
      <c r="AZ474" s="152"/>
      <c r="BA474" s="152"/>
      <c r="BB474" s="152"/>
      <c r="BC474" s="152"/>
      <c r="BD474" s="152"/>
      <c r="BE474" s="152"/>
      <c r="BF474" s="152"/>
      <c r="BG474" s="152"/>
      <c r="BH474" s="152"/>
      <c r="BI474" s="152"/>
      <c r="BJ474" s="152"/>
      <c r="BK474" s="152"/>
      <c r="BL474" s="152"/>
      <c r="BM474" s="152"/>
      <c r="BN474" s="152"/>
      <c r="BO474" s="152"/>
      <c r="BP474" s="152"/>
      <c r="BQ474" s="152"/>
      <c r="BR474" s="152"/>
      <c r="BS474" s="152"/>
      <c r="BT474" s="152"/>
      <c r="BU474" s="152"/>
      <c r="BV474" s="152"/>
      <c r="BW474" s="152"/>
      <c r="BX474" s="152"/>
      <c r="BY474" s="152"/>
      <c r="BZ474" s="152"/>
      <c r="CA474" s="152"/>
      <c r="CB474" s="152"/>
      <c r="CC474" s="152"/>
      <c r="CD474" s="152"/>
      <c r="CE474" s="152"/>
      <c r="CF474" s="152"/>
      <c r="CG474" s="252"/>
    </row>
    <row r="475" spans="1:85" s="250" customFormat="1" ht="13.9" customHeight="1" x14ac:dyDescent="0.2">
      <c r="A475" s="251" t="s">
        <v>149</v>
      </c>
      <c r="B475" s="147">
        <v>10</v>
      </c>
      <c r="C475" s="244" t="s">
        <v>529</v>
      </c>
      <c r="D475" s="154" t="s">
        <v>805</v>
      </c>
      <c r="E475" s="155"/>
      <c r="F475" s="155">
        <v>325600000</v>
      </c>
      <c r="G475" s="155"/>
      <c r="H475" s="154" t="s">
        <v>836</v>
      </c>
      <c r="I475" s="244" t="s">
        <v>835</v>
      </c>
      <c r="J475" s="147">
        <v>3</v>
      </c>
      <c r="K475" s="147">
        <v>3</v>
      </c>
      <c r="L475" s="147">
        <v>9</v>
      </c>
      <c r="M475" s="132">
        <f t="shared" si="74"/>
        <v>1</v>
      </c>
      <c r="N475" s="140" t="s">
        <v>36</v>
      </c>
      <c r="O475" s="141" t="str">
        <f>IF(ISBLANK(N475),"",VLOOKUP(N475,[24]Parámetros!$G$2:$H$23,2,FALSE))</f>
        <v xml:space="preserve">Contratación directa (con ofertas) </v>
      </c>
      <c r="P475" s="245">
        <f t="shared" si="82"/>
        <v>1</v>
      </c>
      <c r="Q475" s="143">
        <f t="shared" si="75"/>
        <v>325600000</v>
      </c>
      <c r="R475" s="143">
        <f t="shared" si="76"/>
        <v>325600000</v>
      </c>
      <c r="S475" s="246" t="s">
        <v>222</v>
      </c>
      <c r="T475" s="245">
        <f t="shared" si="83"/>
        <v>0</v>
      </c>
      <c r="U475" s="145" t="str">
        <f t="shared" si="77"/>
        <v>SUBDIRECCION DE GESTION CONTRACTUAL</v>
      </c>
      <c r="V475" s="245" t="str">
        <f t="shared" si="80"/>
        <v>CO-DC</v>
      </c>
      <c r="W475" s="245" t="str">
        <f t="shared" si="81"/>
        <v>Distrito Capital de Bogotá</v>
      </c>
      <c r="X475" s="154" t="s">
        <v>151</v>
      </c>
      <c r="Y475" s="147">
        <v>2427401</v>
      </c>
      <c r="Z475" s="157" t="s">
        <v>152</v>
      </c>
      <c r="AA475" s="248"/>
      <c r="AB475" s="248"/>
      <c r="AC475" s="248"/>
      <c r="AD475" s="248"/>
      <c r="AE475" s="248"/>
      <c r="AF475" s="248"/>
      <c r="AG475" s="248"/>
      <c r="AH475" s="248"/>
      <c r="AI475" s="248"/>
      <c r="AJ475" s="248"/>
      <c r="AK475" s="248"/>
      <c r="AL475" s="248"/>
      <c r="AM475" s="248"/>
      <c r="AN475" s="248"/>
      <c r="AO475" s="248"/>
      <c r="AP475" s="248"/>
      <c r="AQ475" s="248"/>
      <c r="AR475" s="248"/>
      <c r="AS475" s="248"/>
      <c r="AT475" s="248"/>
      <c r="AU475" s="152"/>
      <c r="AV475" s="152"/>
      <c r="AW475" s="152"/>
      <c r="AX475" s="152"/>
      <c r="AY475" s="152"/>
      <c r="AZ475" s="152"/>
      <c r="BA475" s="152"/>
      <c r="BB475" s="152"/>
      <c r="BC475" s="152"/>
      <c r="BD475" s="152"/>
      <c r="BE475" s="152"/>
      <c r="BF475" s="152"/>
      <c r="BG475" s="152"/>
      <c r="BH475" s="152"/>
      <c r="BI475" s="152"/>
      <c r="BJ475" s="152"/>
      <c r="BK475" s="152"/>
      <c r="BL475" s="152"/>
      <c r="BM475" s="152"/>
      <c r="BN475" s="152"/>
      <c r="BO475" s="152"/>
      <c r="BP475" s="152"/>
      <c r="BQ475" s="152"/>
      <c r="BR475" s="152"/>
      <c r="BS475" s="152"/>
      <c r="BT475" s="152"/>
      <c r="BU475" s="152"/>
      <c r="BV475" s="152"/>
      <c r="BW475" s="152"/>
      <c r="BX475" s="152"/>
      <c r="BY475" s="152"/>
      <c r="BZ475" s="152"/>
      <c r="CA475" s="152"/>
      <c r="CB475" s="152"/>
      <c r="CC475" s="152"/>
      <c r="CD475" s="152"/>
      <c r="CE475" s="152"/>
      <c r="CF475" s="152"/>
      <c r="CG475" s="252"/>
    </row>
    <row r="476" spans="1:85" s="250" customFormat="1" ht="13.9" customHeight="1" x14ac:dyDescent="0.2">
      <c r="A476" s="251" t="s">
        <v>149</v>
      </c>
      <c r="B476" s="147">
        <v>11</v>
      </c>
      <c r="C476" s="244" t="s">
        <v>155</v>
      </c>
      <c r="D476" s="154" t="s">
        <v>175</v>
      </c>
      <c r="E476" s="155"/>
      <c r="F476" s="155">
        <f>4950000000-20000000</f>
        <v>4930000000</v>
      </c>
      <c r="G476" s="155"/>
      <c r="H476" s="154">
        <v>80111600</v>
      </c>
      <c r="I476" s="244" t="s">
        <v>610</v>
      </c>
      <c r="J476" s="147">
        <v>1</v>
      </c>
      <c r="K476" s="147">
        <v>1</v>
      </c>
      <c r="L476" s="147">
        <v>12</v>
      </c>
      <c r="M476" s="132">
        <f t="shared" si="74"/>
        <v>1</v>
      </c>
      <c r="N476" s="140" t="s">
        <v>216</v>
      </c>
      <c r="O476" s="141" t="str">
        <f>IF(ISBLANK(N476),"",VLOOKUP(N476,[24]Parámetros!$G$2:$H$23,2,FALSE))</f>
        <v>Contratación directa.</v>
      </c>
      <c r="P476" s="245">
        <f t="shared" si="82"/>
        <v>1</v>
      </c>
      <c r="Q476" s="143">
        <f t="shared" si="75"/>
        <v>4930000000</v>
      </c>
      <c r="R476" s="143">
        <f t="shared" si="76"/>
        <v>4930000000</v>
      </c>
      <c r="S476" s="246" t="s">
        <v>222</v>
      </c>
      <c r="T476" s="245">
        <f t="shared" si="83"/>
        <v>0</v>
      </c>
      <c r="U476" s="145" t="str">
        <f t="shared" si="77"/>
        <v>SUBDIRECCION DE GESTION CONTRACTUAL</v>
      </c>
      <c r="V476" s="245" t="str">
        <f t="shared" si="80"/>
        <v>CO-DC</v>
      </c>
      <c r="W476" s="245" t="str">
        <f t="shared" si="81"/>
        <v>Distrito Capital de Bogotá</v>
      </c>
      <c r="X476" s="154" t="s">
        <v>151</v>
      </c>
      <c r="Y476" s="147">
        <v>2427401</v>
      </c>
      <c r="Z476" s="157" t="s">
        <v>152</v>
      </c>
      <c r="AA476" s="248"/>
      <c r="AB476" s="248"/>
      <c r="AC476" s="248"/>
      <c r="AD476" s="248"/>
      <c r="AE476" s="248"/>
      <c r="AF476" s="248"/>
      <c r="AG476" s="248"/>
      <c r="AH476" s="248"/>
      <c r="AI476" s="248"/>
      <c r="AJ476" s="248"/>
      <c r="AK476" s="248"/>
      <c r="AL476" s="248"/>
      <c r="AM476" s="248"/>
      <c r="AN476" s="248"/>
      <c r="AO476" s="248"/>
      <c r="AP476" s="248"/>
      <c r="AQ476" s="248"/>
      <c r="AR476" s="248"/>
      <c r="AS476" s="248"/>
      <c r="AT476" s="248"/>
      <c r="AU476" s="152"/>
      <c r="AV476" s="152"/>
      <c r="AW476" s="152"/>
      <c r="AX476" s="152"/>
      <c r="AY476" s="152"/>
      <c r="AZ476" s="152"/>
      <c r="BA476" s="152"/>
      <c r="BB476" s="152"/>
      <c r="BC476" s="152"/>
      <c r="BD476" s="152"/>
      <c r="BE476" s="152"/>
      <c r="BF476" s="152"/>
      <c r="BG476" s="152"/>
      <c r="BH476" s="152"/>
      <c r="BI476" s="152"/>
      <c r="BJ476" s="152"/>
      <c r="BK476" s="152"/>
      <c r="BL476" s="152"/>
      <c r="BM476" s="152"/>
      <c r="BN476" s="152"/>
      <c r="BO476" s="152"/>
      <c r="BP476" s="152"/>
      <c r="BQ476" s="152"/>
      <c r="BR476" s="152"/>
      <c r="BS476" s="152"/>
      <c r="BT476" s="152"/>
      <c r="BU476" s="152"/>
      <c r="BV476" s="152"/>
      <c r="BW476" s="152"/>
      <c r="BX476" s="152"/>
      <c r="BY476" s="152"/>
      <c r="BZ476" s="152"/>
      <c r="CA476" s="152"/>
      <c r="CB476" s="152"/>
      <c r="CC476" s="152"/>
      <c r="CD476" s="152"/>
      <c r="CE476" s="152"/>
      <c r="CF476" s="152"/>
      <c r="CG476" s="252"/>
    </row>
    <row r="477" spans="1:85" s="250" customFormat="1" ht="13.9" customHeight="1" x14ac:dyDescent="0.2">
      <c r="A477" s="251" t="s">
        <v>149</v>
      </c>
      <c r="B477" s="147">
        <v>12</v>
      </c>
      <c r="C477" s="244" t="s">
        <v>155</v>
      </c>
      <c r="D477" s="154" t="s">
        <v>175</v>
      </c>
      <c r="E477" s="155"/>
      <c r="F477" s="155">
        <v>80000000</v>
      </c>
      <c r="G477" s="155"/>
      <c r="H477" s="154" t="s">
        <v>51</v>
      </c>
      <c r="I477" s="244" t="s">
        <v>616</v>
      </c>
      <c r="J477" s="147">
        <v>4</v>
      </c>
      <c r="K477" s="147">
        <v>6</v>
      </c>
      <c r="L477" s="147">
        <v>1</v>
      </c>
      <c r="M477" s="132">
        <f t="shared" si="74"/>
        <v>1</v>
      </c>
      <c r="N477" s="140" t="s">
        <v>43</v>
      </c>
      <c r="O477" s="141" t="str">
        <f>IF(ISBLANK(N477),"",VLOOKUP(N477,[24]Parámetros!$G$2:$H$23,2,FALSE))</f>
        <v>Selección abreviada subasta inversa</v>
      </c>
      <c r="P477" s="245">
        <f t="shared" si="82"/>
        <v>1</v>
      </c>
      <c r="Q477" s="143">
        <f t="shared" si="75"/>
        <v>80000000</v>
      </c>
      <c r="R477" s="143">
        <f t="shared" si="76"/>
        <v>80000000</v>
      </c>
      <c r="S477" s="246" t="s">
        <v>222</v>
      </c>
      <c r="T477" s="245">
        <f t="shared" si="83"/>
        <v>0</v>
      </c>
      <c r="U477" s="145" t="str">
        <f t="shared" si="77"/>
        <v>SUBDIRECCION DE GESTION CONTRACTUAL</v>
      </c>
      <c r="V477" s="245" t="str">
        <f t="shared" si="80"/>
        <v>CO-DC</v>
      </c>
      <c r="W477" s="245" t="str">
        <f t="shared" si="81"/>
        <v>Distrito Capital de Bogotá</v>
      </c>
      <c r="X477" s="154" t="s">
        <v>73</v>
      </c>
      <c r="Y477" s="147">
        <v>2427400</v>
      </c>
      <c r="Z477" s="157" t="s">
        <v>74</v>
      </c>
      <c r="AA477" s="248"/>
      <c r="AB477" s="248"/>
      <c r="AC477" s="248"/>
      <c r="AD477" s="248"/>
      <c r="AE477" s="248"/>
      <c r="AF477" s="248"/>
      <c r="AG477" s="248"/>
      <c r="AH477" s="248"/>
      <c r="AI477" s="248"/>
      <c r="AJ477" s="248"/>
      <c r="AK477" s="248"/>
      <c r="AL477" s="248"/>
      <c r="AM477" s="248"/>
      <c r="AN477" s="248"/>
      <c r="AO477" s="248"/>
      <c r="AP477" s="248"/>
      <c r="AQ477" s="248"/>
      <c r="AR477" s="248"/>
      <c r="AS477" s="248"/>
      <c r="AT477" s="248"/>
      <c r="AU477" s="152"/>
      <c r="AV477" s="152"/>
      <c r="AW477" s="152"/>
      <c r="AX477" s="152"/>
      <c r="AY477" s="152"/>
      <c r="AZ477" s="152"/>
      <c r="BA477" s="152"/>
      <c r="BB477" s="152"/>
      <c r="BC477" s="152"/>
      <c r="BD477" s="152"/>
      <c r="BE477" s="152"/>
      <c r="BF477" s="152"/>
      <c r="BG477" s="152"/>
      <c r="BH477" s="152"/>
      <c r="BI477" s="152"/>
      <c r="BJ477" s="152"/>
      <c r="BK477" s="152"/>
      <c r="BL477" s="152"/>
      <c r="BM477" s="152"/>
      <c r="BN477" s="152"/>
      <c r="BO477" s="152"/>
      <c r="BP477" s="152"/>
      <c r="BQ477" s="152"/>
      <c r="BR477" s="152"/>
      <c r="BS477" s="152"/>
      <c r="BT477" s="152"/>
      <c r="BU477" s="152"/>
      <c r="BV477" s="152"/>
      <c r="BW477" s="152"/>
      <c r="BX477" s="152"/>
      <c r="BY477" s="152"/>
      <c r="BZ477" s="152"/>
      <c r="CA477" s="152"/>
      <c r="CB477" s="152"/>
      <c r="CC477" s="152"/>
      <c r="CD477" s="152"/>
      <c r="CE477" s="152"/>
      <c r="CF477" s="152"/>
      <c r="CG477" s="252"/>
    </row>
    <row r="478" spans="1:85" s="250" customFormat="1" ht="13.9" customHeight="1" x14ac:dyDescent="0.2">
      <c r="A478" s="251" t="s">
        <v>149</v>
      </c>
      <c r="B478" s="147">
        <v>13</v>
      </c>
      <c r="C478" s="244" t="s">
        <v>155</v>
      </c>
      <c r="D478" s="154" t="s">
        <v>175</v>
      </c>
      <c r="E478" s="155"/>
      <c r="F478" s="155">
        <v>100000000</v>
      </c>
      <c r="G478" s="155"/>
      <c r="H478" s="135" t="s">
        <v>233</v>
      </c>
      <c r="I478" s="244" t="s">
        <v>603</v>
      </c>
      <c r="J478" s="150">
        <v>3</v>
      </c>
      <c r="K478" s="150">
        <v>4</v>
      </c>
      <c r="L478" s="150">
        <v>8</v>
      </c>
      <c r="M478" s="132">
        <f t="shared" si="74"/>
        <v>1</v>
      </c>
      <c r="N478" s="140" t="s">
        <v>53</v>
      </c>
      <c r="O478" s="141" t="str">
        <f>IF(ISBLANK(N478),"",VLOOKUP(N478,[24]Parámetros!$G$2:$H$23,2,FALSE))</f>
        <v>Seléccion abreviada - acuerdo marco</v>
      </c>
      <c r="P478" s="245">
        <f t="shared" si="82"/>
        <v>1</v>
      </c>
      <c r="Q478" s="143">
        <f t="shared" si="75"/>
        <v>100000000</v>
      </c>
      <c r="R478" s="143">
        <f t="shared" si="76"/>
        <v>100000000</v>
      </c>
      <c r="S478" s="246" t="s">
        <v>222</v>
      </c>
      <c r="T478" s="245">
        <f t="shared" si="83"/>
        <v>0</v>
      </c>
      <c r="U478" s="145" t="str">
        <f t="shared" si="77"/>
        <v>SUBDIRECCION DE GESTION CONTRACTUAL</v>
      </c>
      <c r="V478" s="245" t="str">
        <f t="shared" si="80"/>
        <v>CO-DC</v>
      </c>
      <c r="W478" s="245" t="str">
        <f t="shared" si="81"/>
        <v>Distrito Capital de Bogotá</v>
      </c>
      <c r="X478" s="154" t="s">
        <v>77</v>
      </c>
      <c r="Y478" s="147">
        <v>2427400</v>
      </c>
      <c r="Z478" s="157" t="s">
        <v>78</v>
      </c>
      <c r="AA478" s="248"/>
      <c r="AB478" s="248"/>
      <c r="AC478" s="248"/>
      <c r="AD478" s="248"/>
      <c r="AE478" s="248"/>
      <c r="AF478" s="248"/>
      <c r="AG478" s="248"/>
      <c r="AH478" s="248"/>
      <c r="AI478" s="248"/>
      <c r="AJ478" s="248"/>
      <c r="AK478" s="248"/>
      <c r="AL478" s="248"/>
      <c r="AM478" s="248"/>
      <c r="AN478" s="248"/>
      <c r="AO478" s="248"/>
      <c r="AP478" s="248"/>
      <c r="AQ478" s="248"/>
      <c r="AR478" s="248"/>
      <c r="AS478" s="248"/>
      <c r="AT478" s="248"/>
      <c r="AU478" s="152"/>
      <c r="AV478" s="152"/>
      <c r="AW478" s="152"/>
      <c r="AX478" s="152"/>
      <c r="AY478" s="152"/>
      <c r="AZ478" s="152"/>
      <c r="BA478" s="152"/>
      <c r="BB478" s="152"/>
      <c r="BC478" s="152"/>
      <c r="BD478" s="152"/>
      <c r="BE478" s="152"/>
      <c r="BF478" s="152"/>
      <c r="BG478" s="152"/>
      <c r="BH478" s="152"/>
      <c r="BI478" s="152"/>
      <c r="BJ478" s="152"/>
      <c r="BK478" s="152"/>
      <c r="BL478" s="152"/>
      <c r="BM478" s="152"/>
      <c r="BN478" s="152"/>
      <c r="BO478" s="152"/>
      <c r="BP478" s="152"/>
      <c r="BQ478" s="152"/>
      <c r="BR478" s="152"/>
      <c r="BS478" s="152"/>
      <c r="BT478" s="152"/>
      <c r="BU478" s="152"/>
      <c r="BV478" s="152"/>
      <c r="BW478" s="152"/>
      <c r="BX478" s="152"/>
      <c r="BY478" s="152"/>
      <c r="BZ478" s="152"/>
      <c r="CA478" s="152"/>
      <c r="CB478" s="152"/>
      <c r="CC478" s="152"/>
      <c r="CD478" s="152"/>
      <c r="CE478" s="152"/>
      <c r="CF478" s="152"/>
      <c r="CG478" s="252"/>
    </row>
    <row r="479" spans="1:85" s="250" customFormat="1" ht="13.9" customHeight="1" x14ac:dyDescent="0.2">
      <c r="A479" s="251" t="s">
        <v>149</v>
      </c>
      <c r="B479" s="147">
        <v>14</v>
      </c>
      <c r="C479" s="244" t="s">
        <v>155</v>
      </c>
      <c r="D479" s="154" t="s">
        <v>175</v>
      </c>
      <c r="E479" s="155"/>
      <c r="F479" s="155">
        <v>100000000</v>
      </c>
      <c r="G479" s="155"/>
      <c r="H479" s="154" t="s">
        <v>530</v>
      </c>
      <c r="I479" s="244" t="s">
        <v>606</v>
      </c>
      <c r="J479" s="147">
        <v>3</v>
      </c>
      <c r="K479" s="147">
        <v>3</v>
      </c>
      <c r="L479" s="147">
        <v>5</v>
      </c>
      <c r="M479" s="132">
        <f t="shared" si="74"/>
        <v>1</v>
      </c>
      <c r="N479" s="140" t="s">
        <v>53</v>
      </c>
      <c r="O479" s="141" t="str">
        <f>IF(ISBLANK(N479),"",VLOOKUP(N479,[24]Parámetros!$G$2:$H$23,2,FALSE))</f>
        <v>Seléccion abreviada - acuerdo marco</v>
      </c>
      <c r="P479" s="245">
        <f t="shared" si="82"/>
        <v>1</v>
      </c>
      <c r="Q479" s="143">
        <f t="shared" si="75"/>
        <v>100000000</v>
      </c>
      <c r="R479" s="143">
        <f t="shared" si="76"/>
        <v>100000000</v>
      </c>
      <c r="S479" s="246" t="s">
        <v>222</v>
      </c>
      <c r="T479" s="245">
        <f t="shared" si="83"/>
        <v>0</v>
      </c>
      <c r="U479" s="145" t="str">
        <f t="shared" si="77"/>
        <v>SUBDIRECCION DE GESTION CONTRACTUAL</v>
      </c>
      <c r="V479" s="245" t="str">
        <f t="shared" si="80"/>
        <v>CO-DC</v>
      </c>
      <c r="W479" s="245" t="str">
        <f t="shared" si="81"/>
        <v>Distrito Capital de Bogotá</v>
      </c>
      <c r="X479" s="154" t="s">
        <v>151</v>
      </c>
      <c r="Y479" s="147">
        <v>2427401</v>
      </c>
      <c r="Z479" s="157" t="s">
        <v>152</v>
      </c>
      <c r="AA479" s="248"/>
      <c r="AB479" s="248"/>
      <c r="AC479" s="248"/>
      <c r="AD479" s="248"/>
      <c r="AE479" s="248"/>
      <c r="AF479" s="248"/>
      <c r="AG479" s="248"/>
      <c r="AH479" s="248"/>
      <c r="AI479" s="248"/>
      <c r="AJ479" s="248"/>
      <c r="AK479" s="248"/>
      <c r="AL479" s="248"/>
      <c r="AM479" s="248"/>
      <c r="AN479" s="248"/>
      <c r="AO479" s="248"/>
      <c r="AP479" s="248"/>
      <c r="AQ479" s="248"/>
      <c r="AR479" s="248"/>
      <c r="AS479" s="248"/>
      <c r="AT479" s="248"/>
      <c r="AU479" s="152"/>
      <c r="AV479" s="152"/>
      <c r="AW479" s="152"/>
      <c r="AX479" s="152"/>
      <c r="AY479" s="152"/>
      <c r="AZ479" s="152"/>
      <c r="BA479" s="152"/>
      <c r="BB479" s="152"/>
      <c r="BC479" s="152"/>
      <c r="BD479" s="152"/>
      <c r="BE479" s="152"/>
      <c r="BF479" s="152"/>
      <c r="BG479" s="152"/>
      <c r="BH479" s="152"/>
      <c r="BI479" s="152"/>
      <c r="BJ479" s="152"/>
      <c r="BK479" s="152"/>
      <c r="BL479" s="152"/>
      <c r="BM479" s="152"/>
      <c r="BN479" s="152"/>
      <c r="BO479" s="152"/>
      <c r="BP479" s="152"/>
      <c r="BQ479" s="152"/>
      <c r="BR479" s="152"/>
      <c r="BS479" s="152"/>
      <c r="BT479" s="152"/>
      <c r="BU479" s="152"/>
      <c r="BV479" s="152"/>
      <c r="BW479" s="152"/>
      <c r="BX479" s="152"/>
      <c r="BY479" s="152"/>
      <c r="BZ479" s="152"/>
      <c r="CA479" s="152"/>
      <c r="CB479" s="152"/>
      <c r="CC479" s="152"/>
      <c r="CD479" s="152"/>
      <c r="CE479" s="152"/>
      <c r="CF479" s="152"/>
      <c r="CG479" s="252"/>
    </row>
    <row r="480" spans="1:85" s="250" customFormat="1" ht="13.9" customHeight="1" x14ac:dyDescent="0.2">
      <c r="A480" s="251" t="s">
        <v>149</v>
      </c>
      <c r="B480" s="147">
        <v>15</v>
      </c>
      <c r="C480" s="244" t="s">
        <v>523</v>
      </c>
      <c r="D480" s="154" t="s">
        <v>153</v>
      </c>
      <c r="E480" s="155"/>
      <c r="F480" s="155">
        <v>89900000</v>
      </c>
      <c r="G480" s="155"/>
      <c r="H480" s="135" t="s">
        <v>752</v>
      </c>
      <c r="I480" s="244" t="s">
        <v>585</v>
      </c>
      <c r="J480" s="160">
        <v>1</v>
      </c>
      <c r="K480" s="160">
        <v>2</v>
      </c>
      <c r="L480" s="160">
        <v>3</v>
      </c>
      <c r="M480" s="132">
        <f t="shared" ref="M480:M549" si="84">IF(ISBLANK(J480),"",1)</f>
        <v>1</v>
      </c>
      <c r="N480" s="140" t="s">
        <v>36</v>
      </c>
      <c r="O480" s="141" t="str">
        <f>IF(ISBLANK(N480),"",VLOOKUP(N480,[24]Parámetros!$G$2:$H$23,2,FALSE))</f>
        <v xml:space="preserve">Contratación directa (con ofertas) </v>
      </c>
      <c r="P480" s="245">
        <v>1</v>
      </c>
      <c r="Q480" s="143">
        <f t="shared" ref="Q480:Q549" si="85">+E480+F480+G480</f>
        <v>89900000</v>
      </c>
      <c r="R480" s="143">
        <f t="shared" ref="R480:R549" si="86">+F480</f>
        <v>89900000</v>
      </c>
      <c r="S480" s="246" t="s">
        <v>222</v>
      </c>
      <c r="T480" s="245">
        <v>0</v>
      </c>
      <c r="U480" s="145" t="str">
        <f t="shared" ref="U480:U549" si="87">IF(ISBLANK(N480),"","SUBDIRECCION DE GESTION CONTRACTUAL")</f>
        <v>SUBDIRECCION DE GESTION CONTRACTUAL</v>
      </c>
      <c r="V480" s="245" t="str">
        <f t="shared" si="80"/>
        <v>CO-DC</v>
      </c>
      <c r="W480" s="245" t="str">
        <f t="shared" si="81"/>
        <v>Distrito Capital de Bogotá</v>
      </c>
      <c r="X480" s="154" t="s">
        <v>151</v>
      </c>
      <c r="Y480" s="147">
        <v>2427400</v>
      </c>
      <c r="Z480" s="157" t="s">
        <v>152</v>
      </c>
      <c r="AA480" s="248"/>
      <c r="AB480" s="248"/>
      <c r="AC480" s="248"/>
      <c r="AD480" s="248"/>
      <c r="AE480" s="248"/>
      <c r="AF480" s="248"/>
      <c r="AG480" s="248"/>
      <c r="AH480" s="248"/>
      <c r="AI480" s="248"/>
      <c r="AJ480" s="248"/>
      <c r="AK480" s="248"/>
      <c r="AL480" s="248"/>
      <c r="AM480" s="248"/>
      <c r="AN480" s="248"/>
      <c r="AO480" s="248"/>
      <c r="AP480" s="248"/>
      <c r="AQ480" s="248"/>
      <c r="AR480" s="248"/>
      <c r="AS480" s="248"/>
      <c r="AT480" s="248"/>
      <c r="AU480" s="152"/>
      <c r="AV480" s="152"/>
      <c r="AW480" s="152"/>
      <c r="AX480" s="152"/>
      <c r="AY480" s="152"/>
      <c r="AZ480" s="152"/>
      <c r="BA480" s="152"/>
      <c r="BB480" s="152"/>
      <c r="BC480" s="152"/>
      <c r="BD480" s="152"/>
      <c r="BE480" s="152"/>
      <c r="BF480" s="152"/>
      <c r="BG480" s="152"/>
      <c r="BH480" s="152"/>
      <c r="BI480" s="152"/>
      <c r="BJ480" s="152"/>
      <c r="BK480" s="152"/>
      <c r="BL480" s="152"/>
      <c r="BM480" s="152"/>
      <c r="BN480" s="152"/>
      <c r="BO480" s="152"/>
      <c r="BP480" s="152"/>
      <c r="BQ480" s="152"/>
      <c r="BR480" s="152"/>
      <c r="BS480" s="152"/>
      <c r="BT480" s="152"/>
      <c r="BU480" s="152"/>
      <c r="BV480" s="152"/>
      <c r="BW480" s="152"/>
      <c r="BX480" s="152"/>
      <c r="BY480" s="152"/>
      <c r="BZ480" s="152"/>
      <c r="CA480" s="152"/>
      <c r="CB480" s="152"/>
      <c r="CC480" s="152"/>
      <c r="CD480" s="152"/>
      <c r="CE480" s="152"/>
      <c r="CF480" s="152"/>
      <c r="CG480" s="252"/>
    </row>
    <row r="481" spans="1:85" s="250" customFormat="1" ht="13.9" customHeight="1" x14ac:dyDescent="0.2">
      <c r="A481" s="251" t="s">
        <v>149</v>
      </c>
      <c r="B481" s="147">
        <v>16</v>
      </c>
      <c r="C481" s="244" t="s">
        <v>155</v>
      </c>
      <c r="D481" s="154" t="s">
        <v>175</v>
      </c>
      <c r="E481" s="155"/>
      <c r="F481" s="155">
        <v>350000000</v>
      </c>
      <c r="G481" s="155"/>
      <c r="H481" s="135" t="s">
        <v>752</v>
      </c>
      <c r="I481" s="244" t="s">
        <v>585</v>
      </c>
      <c r="J481" s="137">
        <v>2</v>
      </c>
      <c r="K481" s="138">
        <v>3</v>
      </c>
      <c r="L481" s="139">
        <v>9</v>
      </c>
      <c r="M481" s="132">
        <f t="shared" si="84"/>
        <v>1</v>
      </c>
      <c r="N481" s="140" t="s">
        <v>226</v>
      </c>
      <c r="O481" s="141" t="str">
        <f>IF(ISBLANK(N481),"",VLOOKUP(N481,[24]Parámetros!$G$2:$H$23,2,FALSE))</f>
        <v>Licitación pública</v>
      </c>
      <c r="P481" s="245">
        <f>IF(ISBLANK(N481),"",1)</f>
        <v>1</v>
      </c>
      <c r="Q481" s="143">
        <f t="shared" si="85"/>
        <v>350000000</v>
      </c>
      <c r="R481" s="143">
        <f t="shared" si="86"/>
        <v>350000000</v>
      </c>
      <c r="S481" s="246" t="s">
        <v>222</v>
      </c>
      <c r="T481" s="245">
        <f>IF(ISBLANK(S481),"",IF(VALUE(S481)=0,0,IF(VALUE(S481)=1,3,"")))</f>
        <v>0</v>
      </c>
      <c r="U481" s="145" t="str">
        <f t="shared" si="87"/>
        <v>SUBDIRECCION DE GESTION CONTRACTUAL</v>
      </c>
      <c r="V481" s="245" t="str">
        <f t="shared" si="80"/>
        <v>CO-DC</v>
      </c>
      <c r="W481" s="245" t="str">
        <f t="shared" si="81"/>
        <v>Distrito Capital de Bogotá</v>
      </c>
      <c r="X481" s="154" t="s">
        <v>151</v>
      </c>
      <c r="Y481" s="147">
        <v>2427401</v>
      </c>
      <c r="Z481" s="157" t="s">
        <v>152</v>
      </c>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152"/>
      <c r="AV481" s="152"/>
      <c r="AW481" s="152"/>
      <c r="AX481" s="152"/>
      <c r="AY481" s="152"/>
      <c r="AZ481" s="152"/>
      <c r="BA481" s="152"/>
      <c r="BB481" s="152"/>
      <c r="BC481" s="152"/>
      <c r="BD481" s="152"/>
      <c r="BE481" s="152"/>
      <c r="BF481" s="152"/>
      <c r="BG481" s="152"/>
      <c r="BH481" s="152"/>
      <c r="BI481" s="152"/>
      <c r="BJ481" s="152"/>
      <c r="BK481" s="152"/>
      <c r="BL481" s="152"/>
      <c r="BM481" s="152"/>
      <c r="BN481" s="152"/>
      <c r="BO481" s="152"/>
      <c r="BP481" s="152"/>
      <c r="BQ481" s="152"/>
      <c r="BR481" s="152"/>
      <c r="BS481" s="152"/>
      <c r="BT481" s="152"/>
      <c r="BU481" s="152"/>
      <c r="BV481" s="152"/>
      <c r="BW481" s="152"/>
      <c r="BX481" s="152"/>
      <c r="BY481" s="152"/>
      <c r="BZ481" s="152"/>
      <c r="CA481" s="152"/>
      <c r="CB481" s="152"/>
      <c r="CC481" s="152"/>
      <c r="CD481" s="152"/>
      <c r="CE481" s="152"/>
      <c r="CF481" s="152"/>
      <c r="CG481" s="252"/>
    </row>
    <row r="482" spans="1:85" s="250" customFormat="1" ht="13.9" customHeight="1" x14ac:dyDescent="0.2">
      <c r="A482" s="251" t="s">
        <v>149</v>
      </c>
      <c r="B482" s="147">
        <v>17</v>
      </c>
      <c r="C482" s="244" t="s">
        <v>155</v>
      </c>
      <c r="D482" s="154" t="s">
        <v>175</v>
      </c>
      <c r="E482" s="155"/>
      <c r="F482" s="155">
        <v>150000000</v>
      </c>
      <c r="G482" s="155"/>
      <c r="H482" s="135" t="s">
        <v>42</v>
      </c>
      <c r="I482" s="244" t="s">
        <v>588</v>
      </c>
      <c r="J482" s="137">
        <v>3</v>
      </c>
      <c r="K482" s="138">
        <v>4</v>
      </c>
      <c r="L482" s="139">
        <v>9</v>
      </c>
      <c r="M482" s="132">
        <f t="shared" si="84"/>
        <v>1</v>
      </c>
      <c r="N482" s="140" t="s">
        <v>61</v>
      </c>
      <c r="O482" s="141" t="str">
        <f>IF(ISBLANK(N482),"",VLOOKUP(N482,[24]Parámetros!$G$2:$H$23,2,FALSE))</f>
        <v>Contratación régimen especial - Selección de comisionista</v>
      </c>
      <c r="P482" s="245">
        <f>IF(ISBLANK(N482),"",1)</f>
        <v>1</v>
      </c>
      <c r="Q482" s="143">
        <f t="shared" si="85"/>
        <v>150000000</v>
      </c>
      <c r="R482" s="143">
        <f t="shared" si="86"/>
        <v>150000000</v>
      </c>
      <c r="S482" s="246" t="s">
        <v>222</v>
      </c>
      <c r="T482" s="245">
        <f>IF(ISBLANK(S482),"",IF(VALUE(S482)=0,0,IF(VALUE(S482)=1,3,"")))</f>
        <v>0</v>
      </c>
      <c r="U482" s="145" t="str">
        <f t="shared" si="87"/>
        <v>SUBDIRECCION DE GESTION CONTRACTUAL</v>
      </c>
      <c r="V482" s="132" t="str">
        <f t="shared" si="80"/>
        <v>CO-DC</v>
      </c>
      <c r="W482" s="145" t="str">
        <f t="shared" si="81"/>
        <v>Distrito Capital de Bogotá</v>
      </c>
      <c r="X482" s="146" t="s">
        <v>331</v>
      </c>
      <c r="Y482" s="147">
        <v>2427400</v>
      </c>
      <c r="Z482" s="157" t="s">
        <v>75</v>
      </c>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152"/>
      <c r="AV482" s="152"/>
      <c r="AW482" s="152"/>
      <c r="AX482" s="152"/>
      <c r="AY482" s="152"/>
      <c r="AZ482" s="152"/>
      <c r="BA482" s="152"/>
      <c r="BB482" s="152"/>
      <c r="BC482" s="152"/>
      <c r="BD482" s="152"/>
      <c r="BE482" s="152"/>
      <c r="BF482" s="152"/>
      <c r="BG482" s="152"/>
      <c r="BH482" s="152"/>
      <c r="BI482" s="152"/>
      <c r="BJ482" s="152"/>
      <c r="BK482" s="152"/>
      <c r="BL482" s="152"/>
      <c r="BM482" s="152"/>
      <c r="BN482" s="152"/>
      <c r="BO482" s="152"/>
      <c r="BP482" s="152"/>
      <c r="BQ482" s="152"/>
      <c r="BR482" s="152"/>
      <c r="BS482" s="152"/>
      <c r="BT482" s="152"/>
      <c r="BU482" s="152"/>
      <c r="BV482" s="152"/>
      <c r="BW482" s="152"/>
      <c r="BX482" s="152"/>
      <c r="BY482" s="152"/>
      <c r="BZ482" s="152"/>
      <c r="CA482" s="152"/>
      <c r="CB482" s="152"/>
      <c r="CC482" s="152"/>
      <c r="CD482" s="152"/>
      <c r="CE482" s="152"/>
      <c r="CF482" s="152"/>
      <c r="CG482" s="252"/>
    </row>
    <row r="483" spans="1:85" s="250" customFormat="1" ht="13.9" customHeight="1" x14ac:dyDescent="0.2">
      <c r="A483" s="251" t="s">
        <v>149</v>
      </c>
      <c r="B483" s="147">
        <v>18</v>
      </c>
      <c r="C483" s="244" t="s">
        <v>155</v>
      </c>
      <c r="D483" s="154" t="s">
        <v>175</v>
      </c>
      <c r="E483" s="155"/>
      <c r="F483" s="155">
        <f>100000000+20000000</f>
        <v>120000000</v>
      </c>
      <c r="G483" s="155"/>
      <c r="H483" s="135" t="s">
        <v>103</v>
      </c>
      <c r="I483" s="244" t="s">
        <v>597</v>
      </c>
      <c r="J483" s="137">
        <v>2</v>
      </c>
      <c r="K483" s="138">
        <v>3</v>
      </c>
      <c r="L483" s="139">
        <v>10</v>
      </c>
      <c r="M483" s="132">
        <f t="shared" si="84"/>
        <v>1</v>
      </c>
      <c r="N483" s="140" t="s">
        <v>36</v>
      </c>
      <c r="O483" s="141" t="str">
        <f>IF(ISBLANK(N483),"",VLOOKUP(N483,[1]Parámetros!$G$2:$H$23,2,FALSE))</f>
        <v xml:space="preserve">Contratación directa (con ofertas) </v>
      </c>
      <c r="P483" s="245">
        <v>1</v>
      </c>
      <c r="Q483" s="143">
        <f t="shared" si="85"/>
        <v>120000000</v>
      </c>
      <c r="R483" s="143">
        <f t="shared" si="86"/>
        <v>120000000</v>
      </c>
      <c r="S483" s="246" t="s">
        <v>224</v>
      </c>
      <c r="T483" s="245">
        <v>3</v>
      </c>
      <c r="U483" s="145" t="str">
        <f t="shared" si="87"/>
        <v>SUBDIRECCION DE GESTION CONTRACTUAL</v>
      </c>
      <c r="V483" s="245" t="s">
        <v>39</v>
      </c>
      <c r="W483" s="245" t="s">
        <v>38</v>
      </c>
      <c r="X483" s="154" t="s">
        <v>151</v>
      </c>
      <c r="Y483" s="147">
        <v>2427400</v>
      </c>
      <c r="Z483" s="157" t="s">
        <v>152</v>
      </c>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152"/>
      <c r="AV483" s="152"/>
      <c r="AW483" s="152"/>
      <c r="AX483" s="152"/>
      <c r="AY483" s="152"/>
      <c r="AZ483" s="152"/>
      <c r="BA483" s="152"/>
      <c r="BB483" s="152"/>
      <c r="BC483" s="152"/>
      <c r="BD483" s="152"/>
      <c r="BE483" s="152"/>
      <c r="BF483" s="152"/>
      <c r="BG483" s="152"/>
      <c r="BH483" s="152"/>
      <c r="BI483" s="152"/>
      <c r="BJ483" s="152"/>
      <c r="BK483" s="152"/>
      <c r="BL483" s="152"/>
      <c r="BM483" s="152"/>
      <c r="BN483" s="152"/>
      <c r="BO483" s="152"/>
      <c r="BP483" s="152"/>
      <c r="BQ483" s="152"/>
      <c r="BR483" s="152"/>
      <c r="BS483" s="152"/>
      <c r="BT483" s="152"/>
      <c r="BU483" s="152"/>
      <c r="BV483" s="152"/>
      <c r="BW483" s="152"/>
      <c r="BX483" s="152"/>
      <c r="BY483" s="152"/>
      <c r="BZ483" s="152"/>
      <c r="CA483" s="152"/>
      <c r="CB483" s="152"/>
      <c r="CC483" s="152"/>
      <c r="CD483" s="152"/>
      <c r="CE483" s="152"/>
      <c r="CF483" s="152"/>
      <c r="CG483" s="252"/>
    </row>
    <row r="484" spans="1:85" s="250" customFormat="1" ht="13.9" customHeight="1" x14ac:dyDescent="0.2">
      <c r="A484" s="251" t="s">
        <v>149</v>
      </c>
      <c r="B484" s="147">
        <v>19</v>
      </c>
      <c r="C484" s="244" t="s">
        <v>155</v>
      </c>
      <c r="D484" s="154" t="s">
        <v>175</v>
      </c>
      <c r="E484" s="155"/>
      <c r="F484" s="155">
        <v>1500000000</v>
      </c>
      <c r="G484" s="155"/>
      <c r="H484" s="265" t="s">
        <v>836</v>
      </c>
      <c r="I484" s="244" t="s">
        <v>835</v>
      </c>
      <c r="J484" s="147">
        <v>3</v>
      </c>
      <c r="K484" s="147">
        <v>3</v>
      </c>
      <c r="L484" s="147">
        <v>9</v>
      </c>
      <c r="M484" s="132">
        <f t="shared" si="84"/>
        <v>1</v>
      </c>
      <c r="N484" s="140" t="s">
        <v>36</v>
      </c>
      <c r="O484" s="141" t="str">
        <f>IF(ISBLANK(N484),"",VLOOKUP(N484,[24]Parámetros!$G$2:$H$23,2,FALSE))</f>
        <v xml:space="preserve">Contratación directa (con ofertas) </v>
      </c>
      <c r="P484" s="245">
        <f>IF(ISBLANK(N484),"",1)</f>
        <v>1</v>
      </c>
      <c r="Q484" s="143">
        <f t="shared" si="85"/>
        <v>1500000000</v>
      </c>
      <c r="R484" s="143">
        <f t="shared" si="86"/>
        <v>1500000000</v>
      </c>
      <c r="S484" s="246" t="s">
        <v>222</v>
      </c>
      <c r="T484" s="245">
        <f>IF(ISBLANK(S484),"",IF(VALUE(S484)=0,0,IF(VALUE(S484)=1,3,"")))</f>
        <v>0</v>
      </c>
      <c r="U484" s="145" t="str">
        <f t="shared" si="87"/>
        <v>SUBDIRECCION DE GESTION CONTRACTUAL</v>
      </c>
      <c r="V484" s="245" t="str">
        <f t="shared" ref="V484:V506" si="88">IF(ISBLANK(N484),"","CO-DC")</f>
        <v>CO-DC</v>
      </c>
      <c r="W484" s="145" t="str">
        <f t="shared" ref="W484:W506" si="89">IF(ISBLANK(N484),"","Distrito Capital de Bogotá")</f>
        <v>Distrito Capital de Bogotá</v>
      </c>
      <c r="X484" s="154" t="s">
        <v>151</v>
      </c>
      <c r="Y484" s="147">
        <v>2427400</v>
      </c>
      <c r="Z484" s="130" t="s">
        <v>152</v>
      </c>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152"/>
      <c r="AV484" s="152"/>
      <c r="AW484" s="152"/>
      <c r="AX484" s="152"/>
      <c r="AY484" s="152"/>
      <c r="AZ484" s="152"/>
      <c r="BA484" s="152"/>
      <c r="BB484" s="152"/>
      <c r="BC484" s="152"/>
      <c r="BD484" s="152"/>
      <c r="BE484" s="152"/>
      <c r="BF484" s="152"/>
      <c r="BG484" s="152"/>
      <c r="BH484" s="152"/>
      <c r="BI484" s="152"/>
      <c r="BJ484" s="152"/>
      <c r="BK484" s="152"/>
      <c r="BL484" s="152"/>
      <c r="BM484" s="152"/>
      <c r="BN484" s="152"/>
      <c r="BO484" s="152"/>
      <c r="BP484" s="152"/>
      <c r="BQ484" s="152"/>
      <c r="BR484" s="152"/>
      <c r="BS484" s="152"/>
      <c r="BT484" s="152"/>
      <c r="BU484" s="152"/>
      <c r="BV484" s="152"/>
      <c r="BW484" s="152"/>
      <c r="BX484" s="152"/>
      <c r="BY484" s="152"/>
      <c r="BZ484" s="152"/>
      <c r="CA484" s="152"/>
      <c r="CB484" s="152"/>
      <c r="CC484" s="152"/>
      <c r="CD484" s="152"/>
      <c r="CE484" s="152"/>
      <c r="CF484" s="152"/>
      <c r="CG484" s="252"/>
    </row>
    <row r="485" spans="1:85" s="250" customFormat="1" ht="13.9" customHeight="1" x14ac:dyDescent="0.2">
      <c r="A485" s="251" t="s">
        <v>149</v>
      </c>
      <c r="B485" s="147">
        <v>20</v>
      </c>
      <c r="C485" s="244" t="s">
        <v>155</v>
      </c>
      <c r="D485" s="154" t="s">
        <v>175</v>
      </c>
      <c r="E485" s="155"/>
      <c r="F485" s="155">
        <f>2500000000-2500000000</f>
        <v>0</v>
      </c>
      <c r="G485" s="155"/>
      <c r="H485" s="154" t="s">
        <v>801</v>
      </c>
      <c r="I485" s="244" t="s">
        <v>613</v>
      </c>
      <c r="J485" s="147">
        <v>4</v>
      </c>
      <c r="K485" s="147">
        <v>4</v>
      </c>
      <c r="L485" s="147">
        <v>8</v>
      </c>
      <c r="M485" s="132">
        <f t="shared" si="84"/>
        <v>1</v>
      </c>
      <c r="N485" s="140" t="s">
        <v>36</v>
      </c>
      <c r="O485" s="141" t="str">
        <f>IF(ISBLANK(N485),"",VLOOKUP(N485,[24]Parámetros!$G$2:$H$23,2,FALSE))</f>
        <v xml:space="preserve">Contratación directa (con ofertas) </v>
      </c>
      <c r="P485" s="245">
        <f>IF(ISBLANK(N485),"",1)</f>
        <v>1</v>
      </c>
      <c r="Q485" s="143">
        <f t="shared" si="85"/>
        <v>0</v>
      </c>
      <c r="R485" s="143">
        <f t="shared" si="86"/>
        <v>0</v>
      </c>
      <c r="S485" s="246" t="s">
        <v>222</v>
      </c>
      <c r="T485" s="245">
        <f>IF(ISBLANK(S485),"",IF(VALUE(S485)=0,0,IF(VALUE(S485)=1,3,"")))</f>
        <v>0</v>
      </c>
      <c r="U485" s="145" t="str">
        <f t="shared" si="87"/>
        <v>SUBDIRECCION DE GESTION CONTRACTUAL</v>
      </c>
      <c r="V485" s="245" t="str">
        <f t="shared" si="88"/>
        <v>CO-DC</v>
      </c>
      <c r="W485" s="245" t="str">
        <f t="shared" si="89"/>
        <v>Distrito Capital de Bogotá</v>
      </c>
      <c r="X485" s="154" t="s">
        <v>151</v>
      </c>
      <c r="Y485" s="147">
        <v>2427401</v>
      </c>
      <c r="Z485" s="157" t="s">
        <v>152</v>
      </c>
      <c r="AA485" s="248"/>
      <c r="AB485" s="248"/>
      <c r="AC485" s="248"/>
      <c r="AD485" s="248"/>
      <c r="AE485" s="248"/>
      <c r="AF485" s="248"/>
      <c r="AG485" s="248"/>
      <c r="AH485" s="248"/>
      <c r="AI485" s="248"/>
      <c r="AJ485" s="248"/>
      <c r="AK485" s="248"/>
      <c r="AL485" s="248"/>
      <c r="AM485" s="248"/>
      <c r="AN485" s="248"/>
      <c r="AO485" s="248"/>
      <c r="AP485" s="248"/>
      <c r="AQ485" s="248"/>
      <c r="AR485" s="248"/>
      <c r="AS485" s="248"/>
      <c r="AT485" s="248"/>
      <c r="AU485" s="152"/>
      <c r="AV485" s="152"/>
      <c r="AW485" s="152"/>
      <c r="AX485" s="152"/>
      <c r="AY485" s="152"/>
      <c r="AZ485" s="152"/>
      <c r="BA485" s="152"/>
      <c r="BB485" s="152"/>
      <c r="BC485" s="152"/>
      <c r="BD485" s="152"/>
      <c r="BE485" s="152"/>
      <c r="BF485" s="152"/>
      <c r="BG485" s="152"/>
      <c r="BH485" s="152"/>
      <c r="BI485" s="152"/>
      <c r="BJ485" s="152"/>
      <c r="BK485" s="152"/>
      <c r="BL485" s="152"/>
      <c r="BM485" s="152"/>
      <c r="BN485" s="152"/>
      <c r="BO485" s="152"/>
      <c r="BP485" s="152"/>
      <c r="BQ485" s="152"/>
      <c r="BR485" s="152"/>
      <c r="BS485" s="152"/>
      <c r="BT485" s="152"/>
      <c r="BU485" s="152"/>
      <c r="BV485" s="152"/>
      <c r="BW485" s="152"/>
      <c r="BX485" s="152"/>
      <c r="BY485" s="152"/>
      <c r="BZ485" s="152"/>
      <c r="CA485" s="152"/>
      <c r="CB485" s="152"/>
      <c r="CC485" s="152"/>
      <c r="CD485" s="152"/>
      <c r="CE485" s="152"/>
      <c r="CF485" s="152"/>
      <c r="CG485" s="252"/>
    </row>
    <row r="486" spans="1:85" s="250" customFormat="1" ht="13.9" customHeight="1" x14ac:dyDescent="0.2">
      <c r="A486" s="251" t="s">
        <v>149</v>
      </c>
      <c r="B486" s="147">
        <v>21</v>
      </c>
      <c r="C486" s="244" t="s">
        <v>155</v>
      </c>
      <c r="D486" s="154" t="s">
        <v>175</v>
      </c>
      <c r="E486" s="155"/>
      <c r="F486" s="155">
        <f>1500000000+750000000-2250000000</f>
        <v>0</v>
      </c>
      <c r="G486" s="155"/>
      <c r="H486" s="154" t="s">
        <v>802</v>
      </c>
      <c r="I486" s="244" t="s">
        <v>615</v>
      </c>
      <c r="J486" s="147">
        <v>4</v>
      </c>
      <c r="K486" s="147">
        <v>4</v>
      </c>
      <c r="L486" s="147">
        <v>8</v>
      </c>
      <c r="M486" s="132">
        <f t="shared" si="84"/>
        <v>1</v>
      </c>
      <c r="N486" s="140" t="s">
        <v>36</v>
      </c>
      <c r="O486" s="141" t="str">
        <f>IF(ISBLANK(N486),"",VLOOKUP(N486,[24]Parámetros!$G$2:$H$23,2,FALSE))</f>
        <v xml:space="preserve">Contratación directa (con ofertas) </v>
      </c>
      <c r="P486" s="245">
        <f>IF(ISBLANK(N486),"",1)</f>
        <v>1</v>
      </c>
      <c r="Q486" s="143">
        <f t="shared" si="85"/>
        <v>0</v>
      </c>
      <c r="R486" s="143">
        <f t="shared" si="86"/>
        <v>0</v>
      </c>
      <c r="S486" s="246" t="s">
        <v>222</v>
      </c>
      <c r="T486" s="245">
        <f>IF(ISBLANK(S486),"",IF(VALUE(S486)=0,0,IF(VALUE(S486)=1,3,"")))</f>
        <v>0</v>
      </c>
      <c r="U486" s="145" t="str">
        <f t="shared" si="87"/>
        <v>SUBDIRECCION DE GESTION CONTRACTUAL</v>
      </c>
      <c r="V486" s="245" t="str">
        <f t="shared" si="88"/>
        <v>CO-DC</v>
      </c>
      <c r="W486" s="245" t="str">
        <f t="shared" si="89"/>
        <v>Distrito Capital de Bogotá</v>
      </c>
      <c r="X486" s="154" t="s">
        <v>151</v>
      </c>
      <c r="Y486" s="147">
        <v>2427401</v>
      </c>
      <c r="Z486" s="157" t="s">
        <v>152</v>
      </c>
      <c r="AA486" s="248"/>
      <c r="AB486" s="248"/>
      <c r="AC486" s="248"/>
      <c r="AD486" s="248"/>
      <c r="AE486" s="248"/>
      <c r="AF486" s="248"/>
      <c r="AG486" s="248"/>
      <c r="AH486" s="248"/>
      <c r="AI486" s="248"/>
      <c r="AJ486" s="248"/>
      <c r="AK486" s="248"/>
      <c r="AL486" s="248"/>
      <c r="AM486" s="248"/>
      <c r="AN486" s="248"/>
      <c r="AO486" s="248"/>
      <c r="AP486" s="248"/>
      <c r="AQ486" s="248"/>
      <c r="AR486" s="248"/>
      <c r="AS486" s="248"/>
      <c r="AT486" s="248"/>
      <c r="AU486" s="152"/>
      <c r="AV486" s="152"/>
      <c r="AW486" s="152"/>
      <c r="AX486" s="152"/>
      <c r="AY486" s="152"/>
      <c r="AZ486" s="152"/>
      <c r="BA486" s="152"/>
      <c r="BB486" s="152"/>
      <c r="BC486" s="152"/>
      <c r="BD486" s="152"/>
      <c r="BE486" s="152"/>
      <c r="BF486" s="152"/>
      <c r="BG486" s="152"/>
      <c r="BH486" s="152"/>
      <c r="BI486" s="152"/>
      <c r="BJ486" s="152"/>
      <c r="BK486" s="152"/>
      <c r="BL486" s="152"/>
      <c r="BM486" s="152"/>
      <c r="BN486" s="152"/>
      <c r="BO486" s="152"/>
      <c r="BP486" s="152"/>
      <c r="BQ486" s="152"/>
      <c r="BR486" s="152"/>
      <c r="BS486" s="152"/>
      <c r="BT486" s="152"/>
      <c r="BU486" s="152"/>
      <c r="BV486" s="152"/>
      <c r="BW486" s="152"/>
      <c r="BX486" s="152"/>
      <c r="BY486" s="152"/>
      <c r="BZ486" s="152"/>
      <c r="CA486" s="152"/>
      <c r="CB486" s="152"/>
      <c r="CC486" s="152"/>
      <c r="CD486" s="152"/>
      <c r="CE486" s="152"/>
      <c r="CF486" s="152"/>
      <c r="CG486" s="252"/>
    </row>
    <row r="487" spans="1:85" s="250" customFormat="1" ht="13.9" customHeight="1" x14ac:dyDescent="0.2">
      <c r="A487" s="251" t="s">
        <v>149</v>
      </c>
      <c r="B487" s="147">
        <v>22</v>
      </c>
      <c r="C487" s="244" t="s">
        <v>582</v>
      </c>
      <c r="D487" s="154" t="s">
        <v>175</v>
      </c>
      <c r="E487" s="155"/>
      <c r="F487" s="155">
        <v>680000000</v>
      </c>
      <c r="G487" s="155"/>
      <c r="H487" s="154">
        <v>80111600</v>
      </c>
      <c r="I487" s="244" t="s">
        <v>610</v>
      </c>
      <c r="J487" s="147">
        <v>1</v>
      </c>
      <c r="K487" s="147">
        <v>1</v>
      </c>
      <c r="L487" s="147">
        <v>12</v>
      </c>
      <c r="M487" s="132">
        <f t="shared" si="84"/>
        <v>1</v>
      </c>
      <c r="N487" s="140" t="s">
        <v>216</v>
      </c>
      <c r="O487" s="141" t="str">
        <f>IF(ISBLANK(N487),"",VLOOKUP(N487,[24]Parámetros!$G$2:$H$23,2,FALSE))</f>
        <v>Contratación directa.</v>
      </c>
      <c r="P487" s="245">
        <f>IF(ISBLANK(N487),"",1)</f>
        <v>1</v>
      </c>
      <c r="Q487" s="143">
        <f t="shared" si="85"/>
        <v>680000000</v>
      </c>
      <c r="R487" s="143">
        <f t="shared" si="86"/>
        <v>680000000</v>
      </c>
      <c r="S487" s="246" t="s">
        <v>222</v>
      </c>
      <c r="T487" s="245">
        <f>IF(ISBLANK(S487),"",IF(VALUE(S487)=0,0,IF(VALUE(S487)=1,3,"")))</f>
        <v>0</v>
      </c>
      <c r="U487" s="145" t="str">
        <f t="shared" si="87"/>
        <v>SUBDIRECCION DE GESTION CONTRACTUAL</v>
      </c>
      <c r="V487" s="245" t="str">
        <f t="shared" si="88"/>
        <v>CO-DC</v>
      </c>
      <c r="W487" s="245" t="str">
        <f t="shared" si="89"/>
        <v>Distrito Capital de Bogotá</v>
      </c>
      <c r="X487" s="154" t="s">
        <v>151</v>
      </c>
      <c r="Y487" s="147">
        <v>2427401</v>
      </c>
      <c r="Z487" s="157" t="s">
        <v>152</v>
      </c>
      <c r="AA487" s="248"/>
      <c r="AB487" s="248"/>
      <c r="AC487" s="248"/>
      <c r="AD487" s="248"/>
      <c r="AE487" s="248"/>
      <c r="AF487" s="248"/>
      <c r="AG487" s="248"/>
      <c r="AH487" s="248"/>
      <c r="AI487" s="248"/>
      <c r="AJ487" s="248"/>
      <c r="AK487" s="248"/>
      <c r="AL487" s="248"/>
      <c r="AM487" s="248"/>
      <c r="AN487" s="248"/>
      <c r="AO487" s="248"/>
      <c r="AP487" s="248"/>
      <c r="AQ487" s="248"/>
      <c r="AR487" s="248"/>
      <c r="AS487" s="248"/>
      <c r="AT487" s="248"/>
      <c r="AU487" s="152"/>
      <c r="AV487" s="152"/>
      <c r="AW487" s="152"/>
      <c r="AX487" s="152"/>
      <c r="AY487" s="152"/>
      <c r="AZ487" s="152"/>
      <c r="BA487" s="152"/>
      <c r="BB487" s="152"/>
      <c r="BC487" s="152"/>
      <c r="BD487" s="152"/>
      <c r="BE487" s="152"/>
      <c r="BF487" s="152"/>
      <c r="BG487" s="152"/>
      <c r="BH487" s="152"/>
      <c r="BI487" s="152"/>
      <c r="BJ487" s="152"/>
      <c r="BK487" s="152"/>
      <c r="BL487" s="152"/>
      <c r="BM487" s="152"/>
      <c r="BN487" s="152"/>
      <c r="BO487" s="152"/>
      <c r="BP487" s="152"/>
      <c r="BQ487" s="152"/>
      <c r="BR487" s="152"/>
      <c r="BS487" s="152"/>
      <c r="BT487" s="152"/>
      <c r="BU487" s="152"/>
      <c r="BV487" s="152"/>
      <c r="BW487" s="152"/>
      <c r="BX487" s="152"/>
      <c r="BY487" s="152"/>
      <c r="BZ487" s="152"/>
      <c r="CA487" s="152"/>
      <c r="CB487" s="152"/>
      <c r="CC487" s="152"/>
      <c r="CD487" s="152"/>
      <c r="CE487" s="152"/>
      <c r="CF487" s="152"/>
      <c r="CG487" s="252"/>
    </row>
    <row r="488" spans="1:85" s="250" customFormat="1" ht="13.9" customHeight="1" x14ac:dyDescent="0.2">
      <c r="A488" s="251" t="s">
        <v>149</v>
      </c>
      <c r="B488" s="147">
        <v>23</v>
      </c>
      <c r="C488" s="244" t="s">
        <v>157</v>
      </c>
      <c r="D488" s="154" t="s">
        <v>175</v>
      </c>
      <c r="E488" s="155"/>
      <c r="F488" s="155">
        <f>620000000-620000000</f>
        <v>0</v>
      </c>
      <c r="G488" s="155"/>
      <c r="H488" s="154" t="s">
        <v>801</v>
      </c>
      <c r="I488" s="244" t="s">
        <v>613</v>
      </c>
      <c r="J488" s="147">
        <v>4</v>
      </c>
      <c r="K488" s="147">
        <v>4</v>
      </c>
      <c r="L488" s="147">
        <v>8</v>
      </c>
      <c r="M488" s="132">
        <f t="shared" si="84"/>
        <v>1</v>
      </c>
      <c r="N488" s="140" t="s">
        <v>36</v>
      </c>
      <c r="O488" s="141" t="str">
        <f>IF(ISBLANK(N488),"",VLOOKUP(N488,[24]Parámetros!$G$2:$H$23,2,FALSE))</f>
        <v xml:space="preserve">Contratación directa (con ofertas) </v>
      </c>
      <c r="P488" s="245">
        <f>IF(ISBLANK(N488),"",1)</f>
        <v>1</v>
      </c>
      <c r="Q488" s="143">
        <f t="shared" si="85"/>
        <v>0</v>
      </c>
      <c r="R488" s="143">
        <f t="shared" si="86"/>
        <v>0</v>
      </c>
      <c r="S488" s="246" t="s">
        <v>222</v>
      </c>
      <c r="T488" s="245">
        <f>IF(ISBLANK(S488),"",IF(VALUE(S488)=0,0,IF(VALUE(S488)=1,3,"")))</f>
        <v>0</v>
      </c>
      <c r="U488" s="145" t="str">
        <f t="shared" si="87"/>
        <v>SUBDIRECCION DE GESTION CONTRACTUAL</v>
      </c>
      <c r="V488" s="245" t="str">
        <f t="shared" si="88"/>
        <v>CO-DC</v>
      </c>
      <c r="W488" s="245" t="str">
        <f t="shared" si="89"/>
        <v>Distrito Capital de Bogotá</v>
      </c>
      <c r="X488" s="154" t="s">
        <v>151</v>
      </c>
      <c r="Y488" s="147">
        <v>2427401</v>
      </c>
      <c r="Z488" s="157" t="s">
        <v>152</v>
      </c>
      <c r="AA488" s="248"/>
      <c r="AB488" s="248"/>
      <c r="AC488" s="248"/>
      <c r="AD488" s="248"/>
      <c r="AE488" s="248"/>
      <c r="AF488" s="248"/>
      <c r="AG488" s="248"/>
      <c r="AH488" s="248"/>
      <c r="AI488" s="248"/>
      <c r="AJ488" s="248"/>
      <c r="AK488" s="248"/>
      <c r="AL488" s="248"/>
      <c r="AM488" s="248"/>
      <c r="AN488" s="248"/>
      <c r="AO488" s="248"/>
      <c r="AP488" s="248"/>
      <c r="AQ488" s="248"/>
      <c r="AR488" s="248"/>
      <c r="AS488" s="248"/>
      <c r="AT488" s="248"/>
      <c r="AU488" s="152"/>
      <c r="AV488" s="152"/>
      <c r="AW488" s="152"/>
      <c r="AX488" s="152"/>
      <c r="AY488" s="152"/>
      <c r="AZ488" s="152"/>
      <c r="BA488" s="152"/>
      <c r="BB488" s="152"/>
      <c r="BC488" s="152"/>
      <c r="BD488" s="152"/>
      <c r="BE488" s="152"/>
      <c r="BF488" s="152"/>
      <c r="BG488" s="152"/>
      <c r="BH488" s="152"/>
      <c r="BI488" s="152"/>
      <c r="BJ488" s="152"/>
      <c r="BK488" s="152"/>
      <c r="BL488" s="152"/>
      <c r="BM488" s="152"/>
      <c r="BN488" s="152"/>
      <c r="BO488" s="152"/>
      <c r="BP488" s="152"/>
      <c r="BQ488" s="152"/>
      <c r="BR488" s="152"/>
      <c r="BS488" s="152"/>
      <c r="BT488" s="152"/>
      <c r="BU488" s="152"/>
      <c r="BV488" s="152"/>
      <c r="BW488" s="152"/>
      <c r="BX488" s="152"/>
      <c r="BY488" s="152"/>
      <c r="BZ488" s="152"/>
      <c r="CA488" s="152"/>
      <c r="CB488" s="152"/>
      <c r="CC488" s="152"/>
      <c r="CD488" s="152"/>
      <c r="CE488" s="152"/>
      <c r="CF488" s="152"/>
      <c r="CG488" s="252"/>
    </row>
    <row r="489" spans="1:85" s="250" customFormat="1" ht="13.9" customHeight="1" x14ac:dyDescent="0.2">
      <c r="A489" s="251" t="s">
        <v>149</v>
      </c>
      <c r="B489" s="147">
        <v>24</v>
      </c>
      <c r="C489" s="244" t="s">
        <v>155</v>
      </c>
      <c r="D489" s="154" t="s">
        <v>175</v>
      </c>
      <c r="E489" s="155"/>
      <c r="F489" s="155">
        <v>50000000</v>
      </c>
      <c r="G489" s="155"/>
      <c r="H489" s="135" t="s">
        <v>752</v>
      </c>
      <c r="I489" s="244" t="s">
        <v>585</v>
      </c>
      <c r="J489" s="160">
        <v>1</v>
      </c>
      <c r="K489" s="160">
        <v>2</v>
      </c>
      <c r="L489" s="160">
        <v>3</v>
      </c>
      <c r="M489" s="132">
        <f t="shared" si="84"/>
        <v>1</v>
      </c>
      <c r="N489" s="140" t="s">
        <v>36</v>
      </c>
      <c r="O489" s="141" t="str">
        <f>IF(ISBLANK(N489),"",VLOOKUP(N489,[24]Parámetros!$G$2:$H$23,2,FALSE))</f>
        <v xml:space="preserve">Contratación directa (con ofertas) </v>
      </c>
      <c r="P489" s="245">
        <v>1</v>
      </c>
      <c r="Q489" s="143">
        <f t="shared" si="85"/>
        <v>50000000</v>
      </c>
      <c r="R489" s="143">
        <f t="shared" si="86"/>
        <v>50000000</v>
      </c>
      <c r="S489" s="246" t="s">
        <v>222</v>
      </c>
      <c r="T489" s="245">
        <v>0</v>
      </c>
      <c r="U489" s="145" t="str">
        <f t="shared" si="87"/>
        <v>SUBDIRECCION DE GESTION CONTRACTUAL</v>
      </c>
      <c r="V489" s="245" t="str">
        <f t="shared" si="88"/>
        <v>CO-DC</v>
      </c>
      <c r="W489" s="245" t="str">
        <f t="shared" si="89"/>
        <v>Distrito Capital de Bogotá</v>
      </c>
      <c r="X489" s="154" t="s">
        <v>151</v>
      </c>
      <c r="Y489" s="147">
        <v>2427401</v>
      </c>
      <c r="Z489" s="157" t="s">
        <v>152</v>
      </c>
      <c r="AA489" s="248"/>
      <c r="AB489" s="248"/>
      <c r="AC489" s="248"/>
      <c r="AD489" s="248"/>
      <c r="AE489" s="248"/>
      <c r="AF489" s="248"/>
      <c r="AG489" s="248"/>
      <c r="AH489" s="248"/>
      <c r="AI489" s="248"/>
      <c r="AJ489" s="248"/>
      <c r="AK489" s="248"/>
      <c r="AL489" s="248"/>
      <c r="AM489" s="248"/>
      <c r="AN489" s="248"/>
      <c r="AO489" s="248"/>
      <c r="AP489" s="248"/>
      <c r="AQ489" s="248"/>
      <c r="AR489" s="248"/>
      <c r="AS489" s="248"/>
      <c r="AT489" s="248"/>
      <c r="AU489" s="152"/>
      <c r="AV489" s="152"/>
      <c r="AW489" s="152"/>
      <c r="AX489" s="152"/>
      <c r="AY489" s="152"/>
      <c r="AZ489" s="152"/>
      <c r="BA489" s="152"/>
      <c r="BB489" s="152"/>
      <c r="BC489" s="152"/>
      <c r="BD489" s="152"/>
      <c r="BE489" s="152"/>
      <c r="BF489" s="152"/>
      <c r="BG489" s="152"/>
      <c r="BH489" s="152"/>
      <c r="BI489" s="152"/>
      <c r="BJ489" s="152"/>
      <c r="BK489" s="152"/>
      <c r="BL489" s="152"/>
      <c r="BM489" s="152"/>
      <c r="BN489" s="152"/>
      <c r="BO489" s="152"/>
      <c r="BP489" s="152"/>
      <c r="BQ489" s="152"/>
      <c r="BR489" s="152"/>
      <c r="BS489" s="152"/>
      <c r="BT489" s="152"/>
      <c r="BU489" s="152"/>
      <c r="BV489" s="152"/>
      <c r="BW489" s="152"/>
      <c r="BX489" s="152"/>
      <c r="BY489" s="152"/>
      <c r="BZ489" s="152"/>
      <c r="CA489" s="152"/>
      <c r="CB489" s="152"/>
      <c r="CC489" s="152"/>
      <c r="CD489" s="152"/>
      <c r="CE489" s="152"/>
      <c r="CF489" s="152"/>
      <c r="CG489" s="252"/>
    </row>
    <row r="490" spans="1:85" s="250" customFormat="1" ht="13.9" customHeight="1" x14ac:dyDescent="0.2">
      <c r="A490" s="251" t="s">
        <v>149</v>
      </c>
      <c r="B490" s="147">
        <v>25</v>
      </c>
      <c r="C490" s="244" t="s">
        <v>157</v>
      </c>
      <c r="D490" s="154" t="s">
        <v>175</v>
      </c>
      <c r="E490" s="155"/>
      <c r="F490" s="155">
        <v>216000000</v>
      </c>
      <c r="G490" s="155"/>
      <c r="H490" s="154">
        <v>80111600</v>
      </c>
      <c r="I490" s="244" t="s">
        <v>610</v>
      </c>
      <c r="J490" s="147">
        <v>1</v>
      </c>
      <c r="K490" s="147">
        <v>1</v>
      </c>
      <c r="L490" s="147">
        <v>12</v>
      </c>
      <c r="M490" s="132">
        <f t="shared" si="84"/>
        <v>1</v>
      </c>
      <c r="N490" s="140" t="s">
        <v>216</v>
      </c>
      <c r="O490" s="141" t="str">
        <f>IF(ISBLANK(N490),"",VLOOKUP(N490,[24]Parámetros!$G$2:$H$23,2,FALSE))</f>
        <v>Contratación directa.</v>
      </c>
      <c r="P490" s="245">
        <f t="shared" ref="P490:P497" si="90">IF(ISBLANK(N490),"",1)</f>
        <v>1</v>
      </c>
      <c r="Q490" s="143">
        <f t="shared" si="85"/>
        <v>216000000</v>
      </c>
      <c r="R490" s="143">
        <f t="shared" si="86"/>
        <v>216000000</v>
      </c>
      <c r="S490" s="246" t="s">
        <v>222</v>
      </c>
      <c r="T490" s="245">
        <f t="shared" ref="T490:T497" si="91">IF(ISBLANK(S490),"",IF(VALUE(S490)=0,0,IF(VALUE(S490)=1,3,"")))</f>
        <v>0</v>
      </c>
      <c r="U490" s="145" t="str">
        <f t="shared" si="87"/>
        <v>SUBDIRECCION DE GESTION CONTRACTUAL</v>
      </c>
      <c r="V490" s="245" t="str">
        <f t="shared" si="88"/>
        <v>CO-DC</v>
      </c>
      <c r="W490" s="245" t="str">
        <f t="shared" si="89"/>
        <v>Distrito Capital de Bogotá</v>
      </c>
      <c r="X490" s="154" t="s">
        <v>151</v>
      </c>
      <c r="Y490" s="147">
        <v>2427401</v>
      </c>
      <c r="Z490" s="157" t="s">
        <v>152</v>
      </c>
      <c r="AA490" s="248"/>
      <c r="AB490" s="248"/>
      <c r="AC490" s="248"/>
      <c r="AD490" s="248"/>
      <c r="AE490" s="248"/>
      <c r="AF490" s="248"/>
      <c r="AG490" s="248"/>
      <c r="AH490" s="248"/>
      <c r="AI490" s="248"/>
      <c r="AJ490" s="248"/>
      <c r="AK490" s="248"/>
      <c r="AL490" s="248"/>
      <c r="AM490" s="248"/>
      <c r="AN490" s="248"/>
      <c r="AO490" s="248"/>
      <c r="AP490" s="248"/>
      <c r="AQ490" s="248"/>
      <c r="AR490" s="248"/>
      <c r="AS490" s="248"/>
      <c r="AT490" s="248"/>
      <c r="AU490" s="152"/>
      <c r="AV490" s="152"/>
      <c r="AW490" s="152"/>
      <c r="AX490" s="152"/>
      <c r="AY490" s="152"/>
      <c r="AZ490" s="152"/>
      <c r="BA490" s="152"/>
      <c r="BB490" s="152"/>
      <c r="BC490" s="152"/>
      <c r="BD490" s="152"/>
      <c r="BE490" s="152"/>
      <c r="BF490" s="152"/>
      <c r="BG490" s="152"/>
      <c r="BH490" s="152"/>
      <c r="BI490" s="152"/>
      <c r="BJ490" s="152"/>
      <c r="BK490" s="152"/>
      <c r="BL490" s="152"/>
      <c r="BM490" s="152"/>
      <c r="BN490" s="152"/>
      <c r="BO490" s="152"/>
      <c r="BP490" s="152"/>
      <c r="BQ490" s="152"/>
      <c r="BR490" s="152"/>
      <c r="BS490" s="152"/>
      <c r="BT490" s="152"/>
      <c r="BU490" s="152"/>
      <c r="BV490" s="152"/>
      <c r="BW490" s="152"/>
      <c r="BX490" s="152"/>
      <c r="BY490" s="152"/>
      <c r="BZ490" s="152"/>
      <c r="CA490" s="152"/>
      <c r="CB490" s="152"/>
      <c r="CC490" s="152"/>
      <c r="CD490" s="152"/>
      <c r="CE490" s="152"/>
      <c r="CF490" s="152"/>
      <c r="CG490" s="252"/>
    </row>
    <row r="491" spans="1:85" s="250" customFormat="1" ht="13.9" customHeight="1" x14ac:dyDescent="0.2">
      <c r="A491" s="251" t="s">
        <v>149</v>
      </c>
      <c r="B491" s="147">
        <v>26</v>
      </c>
      <c r="C491" s="244" t="s">
        <v>156</v>
      </c>
      <c r="D491" s="154" t="s">
        <v>175</v>
      </c>
      <c r="E491" s="155"/>
      <c r="F491" s="155">
        <v>420000000</v>
      </c>
      <c r="G491" s="155"/>
      <c r="H491" s="154">
        <v>80111600</v>
      </c>
      <c r="I491" s="244" t="s">
        <v>610</v>
      </c>
      <c r="J491" s="147">
        <v>1</v>
      </c>
      <c r="K491" s="147">
        <v>1</v>
      </c>
      <c r="L491" s="147">
        <v>12</v>
      </c>
      <c r="M491" s="132">
        <f t="shared" si="84"/>
        <v>1</v>
      </c>
      <c r="N491" s="140" t="s">
        <v>216</v>
      </c>
      <c r="O491" s="141" t="str">
        <f>IF(ISBLANK(N491),"",VLOOKUP(N491,[24]Parámetros!$G$2:$H$23,2,FALSE))</f>
        <v>Contratación directa.</v>
      </c>
      <c r="P491" s="245">
        <f t="shared" si="90"/>
        <v>1</v>
      </c>
      <c r="Q491" s="143">
        <f t="shared" si="85"/>
        <v>420000000</v>
      </c>
      <c r="R491" s="143">
        <f t="shared" si="86"/>
        <v>420000000</v>
      </c>
      <c r="S491" s="246" t="s">
        <v>222</v>
      </c>
      <c r="T491" s="245">
        <f t="shared" si="91"/>
        <v>0</v>
      </c>
      <c r="U491" s="145" t="str">
        <f t="shared" si="87"/>
        <v>SUBDIRECCION DE GESTION CONTRACTUAL</v>
      </c>
      <c r="V491" s="245" t="str">
        <f t="shared" si="88"/>
        <v>CO-DC</v>
      </c>
      <c r="W491" s="245" t="str">
        <f t="shared" si="89"/>
        <v>Distrito Capital de Bogotá</v>
      </c>
      <c r="X491" s="154" t="s">
        <v>151</v>
      </c>
      <c r="Y491" s="147">
        <v>2427401</v>
      </c>
      <c r="Z491" s="157" t="s">
        <v>152</v>
      </c>
      <c r="AA491" s="248"/>
      <c r="AB491" s="248"/>
      <c r="AC491" s="248"/>
      <c r="AD491" s="248"/>
      <c r="AE491" s="248"/>
      <c r="AF491" s="248"/>
      <c r="AG491" s="248"/>
      <c r="AH491" s="248"/>
      <c r="AI491" s="248"/>
      <c r="AJ491" s="248"/>
      <c r="AK491" s="248"/>
      <c r="AL491" s="248"/>
      <c r="AM491" s="248"/>
      <c r="AN491" s="248"/>
      <c r="AO491" s="248"/>
      <c r="AP491" s="248"/>
      <c r="AQ491" s="248"/>
      <c r="AR491" s="248"/>
      <c r="AS491" s="248"/>
      <c r="AT491" s="248"/>
      <c r="AU491" s="152"/>
      <c r="AV491" s="152"/>
      <c r="AW491" s="152"/>
      <c r="AX491" s="152"/>
      <c r="AY491" s="152"/>
      <c r="AZ491" s="152"/>
      <c r="BA491" s="152"/>
      <c r="BB491" s="152"/>
      <c r="BC491" s="152"/>
      <c r="BD491" s="152"/>
      <c r="BE491" s="152"/>
      <c r="BF491" s="152"/>
      <c r="BG491" s="152"/>
      <c r="BH491" s="152"/>
      <c r="BI491" s="152"/>
      <c r="BJ491" s="152"/>
      <c r="BK491" s="152"/>
      <c r="BL491" s="152"/>
      <c r="BM491" s="152"/>
      <c r="BN491" s="152"/>
      <c r="BO491" s="152"/>
      <c r="BP491" s="152"/>
      <c r="BQ491" s="152"/>
      <c r="BR491" s="152"/>
      <c r="BS491" s="152"/>
      <c r="BT491" s="152"/>
      <c r="BU491" s="152"/>
      <c r="BV491" s="152"/>
      <c r="BW491" s="152"/>
      <c r="BX491" s="152"/>
      <c r="BY491" s="152"/>
      <c r="BZ491" s="152"/>
      <c r="CA491" s="152"/>
      <c r="CB491" s="152"/>
      <c r="CC491" s="152"/>
      <c r="CD491" s="152"/>
      <c r="CE491" s="152"/>
      <c r="CF491" s="152"/>
      <c r="CG491" s="252"/>
    </row>
    <row r="492" spans="1:85" s="250" customFormat="1" ht="13.9" customHeight="1" x14ac:dyDescent="0.2">
      <c r="A492" s="251" t="s">
        <v>149</v>
      </c>
      <c r="B492" s="147">
        <v>27</v>
      </c>
      <c r="C492" s="244" t="s">
        <v>156</v>
      </c>
      <c r="D492" s="154" t="s">
        <v>175</v>
      </c>
      <c r="E492" s="155"/>
      <c r="F492" s="155">
        <v>426500000</v>
      </c>
      <c r="G492" s="155"/>
      <c r="H492" s="265" t="s">
        <v>836</v>
      </c>
      <c r="I492" s="244" t="s">
        <v>835</v>
      </c>
      <c r="J492" s="147">
        <v>3</v>
      </c>
      <c r="K492" s="147">
        <v>3</v>
      </c>
      <c r="L492" s="147">
        <v>9</v>
      </c>
      <c r="M492" s="132">
        <f t="shared" si="84"/>
        <v>1</v>
      </c>
      <c r="N492" s="140" t="s">
        <v>36</v>
      </c>
      <c r="O492" s="141" t="str">
        <f>IF(ISBLANK(N492),"",VLOOKUP(N492,[24]Parámetros!$G$2:$H$23,2,FALSE))</f>
        <v xml:space="preserve">Contratación directa (con ofertas) </v>
      </c>
      <c r="P492" s="245">
        <f t="shared" si="90"/>
        <v>1</v>
      </c>
      <c r="Q492" s="143">
        <f t="shared" si="85"/>
        <v>426500000</v>
      </c>
      <c r="R492" s="143">
        <f t="shared" si="86"/>
        <v>426500000</v>
      </c>
      <c r="S492" s="246" t="s">
        <v>222</v>
      </c>
      <c r="T492" s="245">
        <f t="shared" si="91"/>
        <v>0</v>
      </c>
      <c r="U492" s="145" t="str">
        <f t="shared" si="87"/>
        <v>SUBDIRECCION DE GESTION CONTRACTUAL</v>
      </c>
      <c r="V492" s="245" t="str">
        <f t="shared" si="88"/>
        <v>CO-DC</v>
      </c>
      <c r="W492" s="245" t="str">
        <f t="shared" si="89"/>
        <v>Distrito Capital de Bogotá</v>
      </c>
      <c r="X492" s="154" t="s">
        <v>151</v>
      </c>
      <c r="Y492" s="147">
        <v>2427401</v>
      </c>
      <c r="Z492" s="157" t="s">
        <v>152</v>
      </c>
      <c r="AA492" s="248"/>
      <c r="AB492" s="248"/>
      <c r="AC492" s="248"/>
      <c r="AD492" s="248"/>
      <c r="AE492" s="248"/>
      <c r="AF492" s="248"/>
      <c r="AG492" s="248"/>
      <c r="AH492" s="248"/>
      <c r="AI492" s="248"/>
      <c r="AJ492" s="248"/>
      <c r="AK492" s="248"/>
      <c r="AL492" s="248"/>
      <c r="AM492" s="248"/>
      <c r="AN492" s="248"/>
      <c r="AO492" s="248"/>
      <c r="AP492" s="248"/>
      <c r="AQ492" s="248"/>
      <c r="AR492" s="248"/>
      <c r="AS492" s="248"/>
      <c r="AT492" s="248"/>
      <c r="AU492" s="152"/>
      <c r="AV492" s="152"/>
      <c r="AW492" s="152"/>
      <c r="AX492" s="152"/>
      <c r="AY492" s="152"/>
      <c r="AZ492" s="152"/>
      <c r="BA492" s="152"/>
      <c r="BB492" s="152"/>
      <c r="BC492" s="152"/>
      <c r="BD492" s="152"/>
      <c r="BE492" s="152"/>
      <c r="BF492" s="152"/>
      <c r="BG492" s="152"/>
      <c r="BH492" s="152"/>
      <c r="BI492" s="152"/>
      <c r="BJ492" s="152"/>
      <c r="BK492" s="152"/>
      <c r="BL492" s="152"/>
      <c r="BM492" s="152"/>
      <c r="BN492" s="152"/>
      <c r="BO492" s="152"/>
      <c r="BP492" s="152"/>
      <c r="BQ492" s="152"/>
      <c r="BR492" s="152"/>
      <c r="BS492" s="152"/>
      <c r="BT492" s="152"/>
      <c r="BU492" s="152"/>
      <c r="BV492" s="152"/>
      <c r="BW492" s="152"/>
      <c r="BX492" s="152"/>
      <c r="BY492" s="152"/>
      <c r="BZ492" s="152"/>
      <c r="CA492" s="152"/>
      <c r="CB492" s="152"/>
      <c r="CC492" s="152"/>
      <c r="CD492" s="152"/>
      <c r="CE492" s="152"/>
      <c r="CF492" s="152"/>
      <c r="CG492" s="252"/>
    </row>
    <row r="493" spans="1:85" s="250" customFormat="1" ht="13.9" customHeight="1" x14ac:dyDescent="0.2">
      <c r="A493" s="251" t="s">
        <v>149</v>
      </c>
      <c r="B493" s="147">
        <v>28</v>
      </c>
      <c r="C493" s="244" t="s">
        <v>531</v>
      </c>
      <c r="D493" s="154" t="s">
        <v>806</v>
      </c>
      <c r="E493" s="155"/>
      <c r="F493" s="155">
        <f>864000000-864000000</f>
        <v>0</v>
      </c>
      <c r="G493" s="155"/>
      <c r="H493" s="154" t="s">
        <v>747</v>
      </c>
      <c r="I493" s="244" t="s">
        <v>614</v>
      </c>
      <c r="J493" s="147">
        <v>3</v>
      </c>
      <c r="K493" s="147">
        <v>3</v>
      </c>
      <c r="L493" s="147">
        <v>9</v>
      </c>
      <c r="M493" s="132">
        <f t="shared" si="84"/>
        <v>1</v>
      </c>
      <c r="N493" s="140" t="s">
        <v>36</v>
      </c>
      <c r="O493" s="141" t="str">
        <f>IF(ISBLANK(N493),"",VLOOKUP(N493,[24]Parámetros!$G$2:$H$23,2,FALSE))</f>
        <v xml:space="preserve">Contratación directa (con ofertas) </v>
      </c>
      <c r="P493" s="245">
        <f t="shared" si="90"/>
        <v>1</v>
      </c>
      <c r="Q493" s="143">
        <f t="shared" si="85"/>
        <v>0</v>
      </c>
      <c r="R493" s="143">
        <f t="shared" si="86"/>
        <v>0</v>
      </c>
      <c r="S493" s="246" t="s">
        <v>222</v>
      </c>
      <c r="T493" s="245">
        <f t="shared" si="91"/>
        <v>0</v>
      </c>
      <c r="U493" s="145" t="str">
        <f t="shared" si="87"/>
        <v>SUBDIRECCION DE GESTION CONTRACTUAL</v>
      </c>
      <c r="V493" s="245" t="str">
        <f t="shared" si="88"/>
        <v>CO-DC</v>
      </c>
      <c r="W493" s="245" t="str">
        <f t="shared" si="89"/>
        <v>Distrito Capital de Bogotá</v>
      </c>
      <c r="X493" s="154" t="s">
        <v>151</v>
      </c>
      <c r="Y493" s="147">
        <v>2427401</v>
      </c>
      <c r="Z493" s="157" t="s">
        <v>152</v>
      </c>
      <c r="AA493" s="248"/>
      <c r="AB493" s="248"/>
      <c r="AC493" s="248"/>
      <c r="AD493" s="248"/>
      <c r="AE493" s="248"/>
      <c r="AF493" s="248"/>
      <c r="AG493" s="248"/>
      <c r="AH493" s="248"/>
      <c r="AI493" s="248"/>
      <c r="AJ493" s="248"/>
      <c r="AK493" s="248"/>
      <c r="AL493" s="248"/>
      <c r="AM493" s="248"/>
      <c r="AN493" s="248"/>
      <c r="AO493" s="248"/>
      <c r="AP493" s="248"/>
      <c r="AQ493" s="248"/>
      <c r="AR493" s="248"/>
      <c r="AS493" s="248"/>
      <c r="AT493" s="248"/>
      <c r="AU493" s="152"/>
      <c r="AV493" s="152"/>
      <c r="AW493" s="152"/>
      <c r="AX493" s="152"/>
      <c r="AY493" s="152"/>
      <c r="AZ493" s="152"/>
      <c r="BA493" s="152"/>
      <c r="BB493" s="152"/>
      <c r="BC493" s="152"/>
      <c r="BD493" s="152"/>
      <c r="BE493" s="152"/>
      <c r="BF493" s="152"/>
      <c r="BG493" s="152"/>
      <c r="BH493" s="152"/>
      <c r="BI493" s="152"/>
      <c r="BJ493" s="152"/>
      <c r="BK493" s="152"/>
      <c r="BL493" s="152"/>
      <c r="BM493" s="152"/>
      <c r="BN493" s="152"/>
      <c r="BO493" s="152"/>
      <c r="BP493" s="152"/>
      <c r="BQ493" s="152"/>
      <c r="BR493" s="152"/>
      <c r="BS493" s="152"/>
      <c r="BT493" s="152"/>
      <c r="BU493" s="152"/>
      <c r="BV493" s="152"/>
      <c r="BW493" s="152"/>
      <c r="BX493" s="152"/>
      <c r="BY493" s="152"/>
      <c r="BZ493" s="152"/>
      <c r="CA493" s="152"/>
      <c r="CB493" s="152"/>
      <c r="CC493" s="152"/>
      <c r="CD493" s="152"/>
      <c r="CE493" s="152"/>
      <c r="CF493" s="152"/>
      <c r="CG493" s="252"/>
    </row>
    <row r="494" spans="1:85" s="250" customFormat="1" ht="13.9" customHeight="1" x14ac:dyDescent="0.2">
      <c r="A494" s="251" t="s">
        <v>149</v>
      </c>
      <c r="B494" s="147">
        <v>29</v>
      </c>
      <c r="C494" s="244" t="s">
        <v>531</v>
      </c>
      <c r="D494" s="154" t="s">
        <v>806</v>
      </c>
      <c r="E494" s="155"/>
      <c r="F494" s="155">
        <v>288000000</v>
      </c>
      <c r="G494" s="155"/>
      <c r="H494" s="154">
        <v>80111600</v>
      </c>
      <c r="I494" s="244" t="s">
        <v>610</v>
      </c>
      <c r="J494" s="147">
        <v>1</v>
      </c>
      <c r="K494" s="147">
        <v>1</v>
      </c>
      <c r="L494" s="147">
        <v>12</v>
      </c>
      <c r="M494" s="132">
        <f t="shared" si="84"/>
        <v>1</v>
      </c>
      <c r="N494" s="140" t="s">
        <v>216</v>
      </c>
      <c r="O494" s="141" t="str">
        <f>IF(ISBLANK(N494),"",VLOOKUP(N494,[24]Parámetros!$G$2:$H$23,2,FALSE))</f>
        <v>Contratación directa.</v>
      </c>
      <c r="P494" s="245">
        <f t="shared" si="90"/>
        <v>1</v>
      </c>
      <c r="Q494" s="143">
        <f t="shared" si="85"/>
        <v>288000000</v>
      </c>
      <c r="R494" s="143">
        <f t="shared" si="86"/>
        <v>288000000</v>
      </c>
      <c r="S494" s="246" t="s">
        <v>222</v>
      </c>
      <c r="T494" s="245">
        <f t="shared" si="91"/>
        <v>0</v>
      </c>
      <c r="U494" s="145" t="str">
        <f t="shared" si="87"/>
        <v>SUBDIRECCION DE GESTION CONTRACTUAL</v>
      </c>
      <c r="V494" s="245" t="str">
        <f t="shared" si="88"/>
        <v>CO-DC</v>
      </c>
      <c r="W494" s="245" t="str">
        <f t="shared" si="89"/>
        <v>Distrito Capital de Bogotá</v>
      </c>
      <c r="X494" s="154" t="s">
        <v>151</v>
      </c>
      <c r="Y494" s="147">
        <v>2427401</v>
      </c>
      <c r="Z494" s="157" t="s">
        <v>152</v>
      </c>
      <c r="AA494" s="248"/>
      <c r="AB494" s="248"/>
      <c r="AC494" s="248"/>
      <c r="AD494" s="248"/>
      <c r="AE494" s="248"/>
      <c r="AF494" s="248"/>
      <c r="AG494" s="248"/>
      <c r="AH494" s="248"/>
      <c r="AI494" s="248"/>
      <c r="AJ494" s="248"/>
      <c r="AK494" s="248"/>
      <c r="AL494" s="248"/>
      <c r="AM494" s="248"/>
      <c r="AN494" s="248"/>
      <c r="AO494" s="248"/>
      <c r="AP494" s="248"/>
      <c r="AQ494" s="248"/>
      <c r="AR494" s="248"/>
      <c r="AS494" s="248"/>
      <c r="AT494" s="248"/>
      <c r="AU494" s="152"/>
      <c r="AV494" s="152"/>
      <c r="AW494" s="152"/>
      <c r="AX494" s="152"/>
      <c r="AY494" s="152"/>
      <c r="AZ494" s="152"/>
      <c r="BA494" s="152"/>
      <c r="BB494" s="152"/>
      <c r="BC494" s="152"/>
      <c r="BD494" s="152"/>
      <c r="BE494" s="152"/>
      <c r="BF494" s="152"/>
      <c r="BG494" s="152"/>
      <c r="BH494" s="152"/>
      <c r="BI494" s="152"/>
      <c r="BJ494" s="152"/>
      <c r="BK494" s="152"/>
      <c r="BL494" s="152"/>
      <c r="BM494" s="152"/>
      <c r="BN494" s="152"/>
      <c r="BO494" s="152"/>
      <c r="BP494" s="152"/>
      <c r="BQ494" s="152"/>
      <c r="BR494" s="152"/>
      <c r="BS494" s="152"/>
      <c r="BT494" s="152"/>
      <c r="BU494" s="152"/>
      <c r="BV494" s="152"/>
      <c r="BW494" s="152"/>
      <c r="BX494" s="152"/>
      <c r="BY494" s="152"/>
      <c r="BZ494" s="152"/>
      <c r="CA494" s="152"/>
      <c r="CB494" s="152"/>
      <c r="CC494" s="152"/>
      <c r="CD494" s="152"/>
      <c r="CE494" s="152"/>
      <c r="CF494" s="152"/>
      <c r="CG494" s="252"/>
    </row>
    <row r="495" spans="1:85" s="250" customFormat="1" ht="13.9" customHeight="1" x14ac:dyDescent="0.2">
      <c r="A495" s="251" t="s">
        <v>149</v>
      </c>
      <c r="B495" s="147">
        <v>30</v>
      </c>
      <c r="C495" s="244" t="s">
        <v>532</v>
      </c>
      <c r="D495" s="154" t="s">
        <v>806</v>
      </c>
      <c r="E495" s="155"/>
      <c r="F495" s="155">
        <f>1500000000-1500000000</f>
        <v>0</v>
      </c>
      <c r="G495" s="155"/>
      <c r="H495" s="154" t="s">
        <v>747</v>
      </c>
      <c r="I495" s="244" t="s">
        <v>614</v>
      </c>
      <c r="J495" s="147">
        <v>3</v>
      </c>
      <c r="K495" s="147">
        <v>3</v>
      </c>
      <c r="L495" s="147">
        <v>9</v>
      </c>
      <c r="M495" s="132">
        <f t="shared" si="84"/>
        <v>1</v>
      </c>
      <c r="N495" s="140" t="s">
        <v>36</v>
      </c>
      <c r="O495" s="141" t="str">
        <f>IF(ISBLANK(N495),"",VLOOKUP(N495,[24]Parámetros!$G$2:$H$23,2,FALSE))</f>
        <v xml:space="preserve">Contratación directa (con ofertas) </v>
      </c>
      <c r="P495" s="245">
        <f t="shared" si="90"/>
        <v>1</v>
      </c>
      <c r="Q495" s="143">
        <f t="shared" si="85"/>
        <v>0</v>
      </c>
      <c r="R495" s="143">
        <f t="shared" si="86"/>
        <v>0</v>
      </c>
      <c r="S495" s="246" t="s">
        <v>222</v>
      </c>
      <c r="T495" s="245">
        <f t="shared" si="91"/>
        <v>0</v>
      </c>
      <c r="U495" s="145" t="str">
        <f t="shared" si="87"/>
        <v>SUBDIRECCION DE GESTION CONTRACTUAL</v>
      </c>
      <c r="V495" s="245" t="str">
        <f t="shared" si="88"/>
        <v>CO-DC</v>
      </c>
      <c r="W495" s="245" t="str">
        <f t="shared" si="89"/>
        <v>Distrito Capital de Bogotá</v>
      </c>
      <c r="X495" s="154" t="s">
        <v>151</v>
      </c>
      <c r="Y495" s="147">
        <v>2427401</v>
      </c>
      <c r="Z495" s="157" t="s">
        <v>152</v>
      </c>
      <c r="AA495" s="248"/>
      <c r="AB495" s="248"/>
      <c r="AC495" s="248"/>
      <c r="AD495" s="248"/>
      <c r="AE495" s="248"/>
      <c r="AF495" s="248"/>
      <c r="AG495" s="248"/>
      <c r="AH495" s="248"/>
      <c r="AI495" s="248"/>
      <c r="AJ495" s="248"/>
      <c r="AK495" s="248"/>
      <c r="AL495" s="248"/>
      <c r="AM495" s="248"/>
      <c r="AN495" s="248"/>
      <c r="AO495" s="248"/>
      <c r="AP495" s="248"/>
      <c r="AQ495" s="248"/>
      <c r="AR495" s="248"/>
      <c r="AS495" s="248"/>
      <c r="AT495" s="248"/>
      <c r="AU495" s="152"/>
      <c r="AV495" s="152"/>
      <c r="AW495" s="152"/>
      <c r="AX495" s="152"/>
      <c r="AY495" s="152"/>
      <c r="AZ495" s="152"/>
      <c r="BA495" s="152"/>
      <c r="BB495" s="152"/>
      <c r="BC495" s="152"/>
      <c r="BD495" s="152"/>
      <c r="BE495" s="152"/>
      <c r="BF495" s="152"/>
      <c r="BG495" s="152"/>
      <c r="BH495" s="152"/>
      <c r="BI495" s="152"/>
      <c r="BJ495" s="152"/>
      <c r="BK495" s="152"/>
      <c r="BL495" s="152"/>
      <c r="BM495" s="152"/>
      <c r="BN495" s="152"/>
      <c r="BO495" s="152"/>
      <c r="BP495" s="152"/>
      <c r="BQ495" s="152"/>
      <c r="BR495" s="152"/>
      <c r="BS495" s="152"/>
      <c r="BT495" s="152"/>
      <c r="BU495" s="152"/>
      <c r="BV495" s="152"/>
      <c r="BW495" s="152"/>
      <c r="BX495" s="152"/>
      <c r="BY495" s="152"/>
      <c r="BZ495" s="152"/>
      <c r="CA495" s="152"/>
      <c r="CB495" s="152"/>
      <c r="CC495" s="152"/>
      <c r="CD495" s="152"/>
      <c r="CE495" s="152"/>
      <c r="CF495" s="152"/>
      <c r="CG495" s="252"/>
    </row>
    <row r="496" spans="1:85" s="250" customFormat="1" ht="13.9" customHeight="1" x14ac:dyDescent="0.2">
      <c r="A496" s="251" t="s">
        <v>149</v>
      </c>
      <c r="B496" s="147">
        <v>31</v>
      </c>
      <c r="C496" s="244" t="s">
        <v>532</v>
      </c>
      <c r="D496" s="154" t="s">
        <v>806</v>
      </c>
      <c r="E496" s="155"/>
      <c r="F496" s="155">
        <v>1500000000</v>
      </c>
      <c r="G496" s="155"/>
      <c r="H496" s="265" t="s">
        <v>836</v>
      </c>
      <c r="I496" s="244" t="s">
        <v>835</v>
      </c>
      <c r="J496" s="147">
        <v>3</v>
      </c>
      <c r="K496" s="147">
        <v>3</v>
      </c>
      <c r="L496" s="147">
        <v>9</v>
      </c>
      <c r="M496" s="132">
        <f t="shared" si="84"/>
        <v>1</v>
      </c>
      <c r="N496" s="140" t="s">
        <v>36</v>
      </c>
      <c r="O496" s="141" t="str">
        <f>IF(ISBLANK(N496),"",VLOOKUP(N496,[24]Parámetros!$G$2:$H$23,2,FALSE))</f>
        <v xml:space="preserve">Contratación directa (con ofertas) </v>
      </c>
      <c r="P496" s="245">
        <f t="shared" si="90"/>
        <v>1</v>
      </c>
      <c r="Q496" s="143">
        <f t="shared" si="85"/>
        <v>1500000000</v>
      </c>
      <c r="R496" s="143">
        <f t="shared" si="86"/>
        <v>1500000000</v>
      </c>
      <c r="S496" s="246" t="s">
        <v>222</v>
      </c>
      <c r="T496" s="245">
        <f t="shared" si="91"/>
        <v>0</v>
      </c>
      <c r="U496" s="145" t="str">
        <f t="shared" si="87"/>
        <v>SUBDIRECCION DE GESTION CONTRACTUAL</v>
      </c>
      <c r="V496" s="245" t="str">
        <f t="shared" si="88"/>
        <v>CO-DC</v>
      </c>
      <c r="W496" s="245" t="str">
        <f t="shared" si="89"/>
        <v>Distrito Capital de Bogotá</v>
      </c>
      <c r="X496" s="154" t="s">
        <v>151</v>
      </c>
      <c r="Y496" s="147">
        <v>2427401</v>
      </c>
      <c r="Z496" s="157" t="s">
        <v>152</v>
      </c>
      <c r="AA496" s="248"/>
      <c r="AB496" s="248"/>
      <c r="AC496" s="248"/>
      <c r="AD496" s="248"/>
      <c r="AE496" s="248"/>
      <c r="AF496" s="248"/>
      <c r="AG496" s="248"/>
      <c r="AH496" s="248"/>
      <c r="AI496" s="248"/>
      <c r="AJ496" s="248"/>
      <c r="AK496" s="248"/>
      <c r="AL496" s="248"/>
      <c r="AM496" s="248"/>
      <c r="AN496" s="248"/>
      <c r="AO496" s="248"/>
      <c r="AP496" s="248"/>
      <c r="AQ496" s="248"/>
      <c r="AR496" s="248"/>
      <c r="AS496" s="248"/>
      <c r="AT496" s="248"/>
      <c r="AU496" s="152"/>
      <c r="AV496" s="152"/>
      <c r="AW496" s="152"/>
      <c r="AX496" s="152"/>
      <c r="AY496" s="152"/>
      <c r="AZ496" s="152"/>
      <c r="BA496" s="152"/>
      <c r="BB496" s="152"/>
      <c r="BC496" s="152"/>
      <c r="BD496" s="152"/>
      <c r="BE496" s="152"/>
      <c r="BF496" s="152"/>
      <c r="BG496" s="152"/>
      <c r="BH496" s="152"/>
      <c r="BI496" s="152"/>
      <c r="BJ496" s="152"/>
      <c r="BK496" s="152"/>
      <c r="BL496" s="152"/>
      <c r="BM496" s="152"/>
      <c r="BN496" s="152"/>
      <c r="BO496" s="152"/>
      <c r="BP496" s="152"/>
      <c r="BQ496" s="152"/>
      <c r="BR496" s="152"/>
      <c r="BS496" s="152"/>
      <c r="BT496" s="152"/>
      <c r="BU496" s="152"/>
      <c r="BV496" s="152"/>
      <c r="BW496" s="152"/>
      <c r="BX496" s="152"/>
      <c r="BY496" s="152"/>
      <c r="BZ496" s="152"/>
      <c r="CA496" s="152"/>
      <c r="CB496" s="152"/>
      <c r="CC496" s="152"/>
      <c r="CD496" s="152"/>
      <c r="CE496" s="152"/>
      <c r="CF496" s="152"/>
      <c r="CG496" s="252"/>
    </row>
    <row r="497" spans="1:85" s="250" customFormat="1" ht="13.9" customHeight="1" x14ac:dyDescent="0.2">
      <c r="A497" s="251" t="s">
        <v>149</v>
      </c>
      <c r="B497" s="147">
        <v>32</v>
      </c>
      <c r="C497" s="244" t="s">
        <v>533</v>
      </c>
      <c r="D497" s="154" t="s">
        <v>806</v>
      </c>
      <c r="E497" s="155"/>
      <c r="F497" s="155">
        <v>3134000000</v>
      </c>
      <c r="G497" s="155"/>
      <c r="H497" s="154">
        <v>80111600</v>
      </c>
      <c r="I497" s="244" t="s">
        <v>610</v>
      </c>
      <c r="J497" s="147">
        <v>1</v>
      </c>
      <c r="K497" s="147">
        <v>1</v>
      </c>
      <c r="L497" s="147">
        <v>12</v>
      </c>
      <c r="M497" s="132">
        <f t="shared" si="84"/>
        <v>1</v>
      </c>
      <c r="N497" s="140" t="s">
        <v>216</v>
      </c>
      <c r="O497" s="141" t="str">
        <f>IF(ISBLANK(N497),"",VLOOKUP(N497,[24]Parámetros!$G$2:$H$23,2,FALSE))</f>
        <v>Contratación directa.</v>
      </c>
      <c r="P497" s="245">
        <f t="shared" si="90"/>
        <v>1</v>
      </c>
      <c r="Q497" s="143">
        <f t="shared" si="85"/>
        <v>3134000000</v>
      </c>
      <c r="R497" s="143">
        <f t="shared" si="86"/>
        <v>3134000000</v>
      </c>
      <c r="S497" s="246" t="s">
        <v>222</v>
      </c>
      <c r="T497" s="245">
        <f t="shared" si="91"/>
        <v>0</v>
      </c>
      <c r="U497" s="145" t="str">
        <f t="shared" si="87"/>
        <v>SUBDIRECCION DE GESTION CONTRACTUAL</v>
      </c>
      <c r="V497" s="245" t="str">
        <f t="shared" si="88"/>
        <v>CO-DC</v>
      </c>
      <c r="W497" s="245" t="str">
        <f t="shared" si="89"/>
        <v>Distrito Capital de Bogotá</v>
      </c>
      <c r="X497" s="154" t="s">
        <v>151</v>
      </c>
      <c r="Y497" s="147">
        <v>2427401</v>
      </c>
      <c r="Z497" s="157" t="s">
        <v>152</v>
      </c>
      <c r="AA497" s="248"/>
      <c r="AB497" s="248"/>
      <c r="AC497" s="248"/>
      <c r="AD497" s="248"/>
      <c r="AE497" s="248"/>
      <c r="AF497" s="248"/>
      <c r="AG497" s="248"/>
      <c r="AH497" s="248"/>
      <c r="AI497" s="248"/>
      <c r="AJ497" s="248"/>
      <c r="AK497" s="248"/>
      <c r="AL497" s="248"/>
      <c r="AM497" s="248"/>
      <c r="AN497" s="248"/>
      <c r="AO497" s="248"/>
      <c r="AP497" s="248"/>
      <c r="AQ497" s="248"/>
      <c r="AR497" s="248"/>
      <c r="AS497" s="248"/>
      <c r="AT497" s="248"/>
      <c r="AU497" s="152"/>
      <c r="AV497" s="152"/>
      <c r="AW497" s="152"/>
      <c r="AX497" s="152"/>
      <c r="AY497" s="152"/>
      <c r="AZ497" s="152"/>
      <c r="BA497" s="152"/>
      <c r="BB497" s="152"/>
      <c r="BC497" s="152"/>
      <c r="BD497" s="152"/>
      <c r="BE497" s="152"/>
      <c r="BF497" s="152"/>
      <c r="BG497" s="152"/>
      <c r="BH497" s="152"/>
      <c r="BI497" s="152"/>
      <c r="BJ497" s="152"/>
      <c r="BK497" s="152"/>
      <c r="BL497" s="152"/>
      <c r="BM497" s="152"/>
      <c r="BN497" s="152"/>
      <c r="BO497" s="152"/>
      <c r="BP497" s="152"/>
      <c r="BQ497" s="152"/>
      <c r="BR497" s="152"/>
      <c r="BS497" s="152"/>
      <c r="BT497" s="152"/>
      <c r="BU497" s="152"/>
      <c r="BV497" s="152"/>
      <c r="BW497" s="152"/>
      <c r="BX497" s="152"/>
      <c r="BY497" s="152"/>
      <c r="BZ497" s="152"/>
      <c r="CA497" s="152"/>
      <c r="CB497" s="152"/>
      <c r="CC497" s="152"/>
      <c r="CD497" s="152"/>
      <c r="CE497" s="152"/>
      <c r="CF497" s="152"/>
      <c r="CG497" s="252"/>
    </row>
    <row r="498" spans="1:85" s="250" customFormat="1" ht="13.9" customHeight="1" x14ac:dyDescent="0.2">
      <c r="A498" s="251" t="s">
        <v>149</v>
      </c>
      <c r="B498" s="147">
        <v>33</v>
      </c>
      <c r="C498" s="244" t="s">
        <v>533</v>
      </c>
      <c r="D498" s="154" t="s">
        <v>806</v>
      </c>
      <c r="E498" s="155"/>
      <c r="F498" s="155">
        <v>160100000</v>
      </c>
      <c r="G498" s="155"/>
      <c r="H498" s="135" t="s">
        <v>752</v>
      </c>
      <c r="I498" s="244" t="s">
        <v>585</v>
      </c>
      <c r="J498" s="160">
        <v>1</v>
      </c>
      <c r="K498" s="160">
        <v>2</v>
      </c>
      <c r="L498" s="160">
        <v>3</v>
      </c>
      <c r="M498" s="132">
        <f t="shared" si="84"/>
        <v>1</v>
      </c>
      <c r="N498" s="140" t="s">
        <v>36</v>
      </c>
      <c r="O498" s="141" t="str">
        <f>IF(ISBLANK(N498),"",VLOOKUP(N498,[24]Parámetros!$G$2:$H$23,2,FALSE))</f>
        <v xml:space="preserve">Contratación directa (con ofertas) </v>
      </c>
      <c r="P498" s="245">
        <v>1</v>
      </c>
      <c r="Q498" s="143">
        <f t="shared" si="85"/>
        <v>160100000</v>
      </c>
      <c r="R498" s="143">
        <f t="shared" si="86"/>
        <v>160100000</v>
      </c>
      <c r="S498" s="246" t="s">
        <v>222</v>
      </c>
      <c r="T498" s="245">
        <v>0</v>
      </c>
      <c r="U498" s="145" t="str">
        <f t="shared" si="87"/>
        <v>SUBDIRECCION DE GESTION CONTRACTUAL</v>
      </c>
      <c r="V498" s="245" t="str">
        <f t="shared" si="88"/>
        <v>CO-DC</v>
      </c>
      <c r="W498" s="245" t="str">
        <f t="shared" si="89"/>
        <v>Distrito Capital de Bogotá</v>
      </c>
      <c r="X498" s="154" t="s">
        <v>151</v>
      </c>
      <c r="Y498" s="147">
        <v>2427401</v>
      </c>
      <c r="Z498" s="157" t="s">
        <v>152</v>
      </c>
      <c r="AA498" s="248"/>
      <c r="AB498" s="248"/>
      <c r="AC498" s="248"/>
      <c r="AD498" s="248"/>
      <c r="AE498" s="248"/>
      <c r="AF498" s="248"/>
      <c r="AG498" s="248"/>
      <c r="AH498" s="248"/>
      <c r="AI498" s="248"/>
      <c r="AJ498" s="248"/>
      <c r="AK498" s="248"/>
      <c r="AL498" s="248"/>
      <c r="AM498" s="248"/>
      <c r="AN498" s="248"/>
      <c r="AO498" s="248"/>
      <c r="AP498" s="248"/>
      <c r="AQ498" s="248"/>
      <c r="AR498" s="248"/>
      <c r="AS498" s="248"/>
      <c r="AT498" s="248"/>
      <c r="AU498" s="152"/>
      <c r="AV498" s="152"/>
      <c r="AW498" s="152"/>
      <c r="AX498" s="152"/>
      <c r="AY498" s="152"/>
      <c r="AZ498" s="152"/>
      <c r="BA498" s="152"/>
      <c r="BB498" s="152"/>
      <c r="BC498" s="152"/>
      <c r="BD498" s="152"/>
      <c r="BE498" s="152"/>
      <c r="BF498" s="152"/>
      <c r="BG498" s="152"/>
      <c r="BH498" s="152"/>
      <c r="BI498" s="152"/>
      <c r="BJ498" s="152"/>
      <c r="BK498" s="152"/>
      <c r="BL498" s="152"/>
      <c r="BM498" s="152"/>
      <c r="BN498" s="152"/>
      <c r="BO498" s="152"/>
      <c r="BP498" s="152"/>
      <c r="BQ498" s="152"/>
      <c r="BR498" s="152"/>
      <c r="BS498" s="152"/>
      <c r="BT498" s="152"/>
      <c r="BU498" s="152"/>
      <c r="BV498" s="152"/>
      <c r="BW498" s="152"/>
      <c r="BX498" s="152"/>
      <c r="BY498" s="152"/>
      <c r="BZ498" s="152"/>
      <c r="CA498" s="152"/>
      <c r="CB498" s="152"/>
      <c r="CC498" s="152"/>
      <c r="CD498" s="152"/>
      <c r="CE498" s="152"/>
      <c r="CF498" s="152"/>
      <c r="CG498" s="252"/>
    </row>
    <row r="499" spans="1:85" s="250" customFormat="1" ht="13.9" customHeight="1" x14ac:dyDescent="0.2">
      <c r="A499" s="251" t="s">
        <v>149</v>
      </c>
      <c r="B499" s="147">
        <v>34</v>
      </c>
      <c r="C499" s="244" t="s">
        <v>533</v>
      </c>
      <c r="D499" s="154" t="s">
        <v>806</v>
      </c>
      <c r="E499" s="155"/>
      <c r="F499" s="155">
        <v>2739900000</v>
      </c>
      <c r="G499" s="155"/>
      <c r="H499" s="135" t="s">
        <v>752</v>
      </c>
      <c r="I499" s="244" t="s">
        <v>585</v>
      </c>
      <c r="J499" s="137">
        <v>2</v>
      </c>
      <c r="K499" s="138">
        <v>3</v>
      </c>
      <c r="L499" s="139">
        <v>9</v>
      </c>
      <c r="M499" s="132">
        <f t="shared" si="84"/>
        <v>1</v>
      </c>
      <c r="N499" s="140" t="s">
        <v>226</v>
      </c>
      <c r="O499" s="141" t="str">
        <f>IF(ISBLANK(N499),"",VLOOKUP(N499,[24]Parámetros!$G$2:$H$23,2,FALSE))</f>
        <v>Licitación pública</v>
      </c>
      <c r="P499" s="245">
        <f t="shared" ref="P499:P506" si="92">IF(ISBLANK(N499),"",1)</f>
        <v>1</v>
      </c>
      <c r="Q499" s="143">
        <f t="shared" si="85"/>
        <v>2739900000</v>
      </c>
      <c r="R499" s="143">
        <f t="shared" si="86"/>
        <v>2739900000</v>
      </c>
      <c r="S499" s="246" t="s">
        <v>222</v>
      </c>
      <c r="T499" s="245">
        <f t="shared" ref="T499:T536" si="93">IF(ISBLANK(S499),"",IF(VALUE(S499)=0,0,IF(VALUE(S499)=1,3,"")))</f>
        <v>0</v>
      </c>
      <c r="U499" s="145" t="str">
        <f t="shared" si="87"/>
        <v>SUBDIRECCION DE GESTION CONTRACTUAL</v>
      </c>
      <c r="V499" s="245" t="str">
        <f t="shared" si="88"/>
        <v>CO-DC</v>
      </c>
      <c r="W499" s="245" t="str">
        <f t="shared" si="89"/>
        <v>Distrito Capital de Bogotá</v>
      </c>
      <c r="X499" s="154" t="s">
        <v>151</v>
      </c>
      <c r="Y499" s="147">
        <v>2427401</v>
      </c>
      <c r="Z499" s="157" t="s">
        <v>152</v>
      </c>
      <c r="AA499" s="248"/>
      <c r="AB499" s="248"/>
      <c r="AC499" s="248"/>
      <c r="AD499" s="248"/>
      <c r="AE499" s="248"/>
      <c r="AF499" s="248"/>
      <c r="AG499" s="248"/>
      <c r="AH499" s="248"/>
      <c r="AI499" s="248"/>
      <c r="AJ499" s="248"/>
      <c r="AK499" s="248"/>
      <c r="AL499" s="248"/>
      <c r="AM499" s="248"/>
      <c r="AN499" s="248"/>
      <c r="AO499" s="248"/>
      <c r="AP499" s="248"/>
      <c r="AQ499" s="248"/>
      <c r="AR499" s="248"/>
      <c r="AS499" s="248"/>
      <c r="AT499" s="248"/>
      <c r="AU499" s="152"/>
      <c r="AV499" s="152"/>
      <c r="AW499" s="152"/>
      <c r="AX499" s="152"/>
      <c r="AY499" s="152"/>
      <c r="AZ499" s="152"/>
      <c r="BA499" s="152"/>
      <c r="BB499" s="152"/>
      <c r="BC499" s="152"/>
      <c r="BD499" s="152"/>
      <c r="BE499" s="152"/>
      <c r="BF499" s="152"/>
      <c r="BG499" s="152"/>
      <c r="BH499" s="152"/>
      <c r="BI499" s="152"/>
      <c r="BJ499" s="152"/>
      <c r="BK499" s="152"/>
      <c r="BL499" s="152"/>
      <c r="BM499" s="152"/>
      <c r="BN499" s="152"/>
      <c r="BO499" s="152"/>
      <c r="BP499" s="152"/>
      <c r="BQ499" s="152"/>
      <c r="BR499" s="152"/>
      <c r="BS499" s="152"/>
      <c r="BT499" s="152"/>
      <c r="BU499" s="152"/>
      <c r="BV499" s="152"/>
      <c r="BW499" s="152"/>
      <c r="BX499" s="152"/>
      <c r="BY499" s="152"/>
      <c r="BZ499" s="152"/>
      <c r="CA499" s="152"/>
      <c r="CB499" s="152"/>
      <c r="CC499" s="152"/>
      <c r="CD499" s="152"/>
      <c r="CE499" s="152"/>
      <c r="CF499" s="152"/>
      <c r="CG499" s="252"/>
    </row>
    <row r="500" spans="1:85" s="250" customFormat="1" ht="13.9" customHeight="1" x14ac:dyDescent="0.2">
      <c r="A500" s="251" t="s">
        <v>149</v>
      </c>
      <c r="B500" s="147">
        <v>35</v>
      </c>
      <c r="C500" s="244" t="s">
        <v>533</v>
      </c>
      <c r="D500" s="154" t="s">
        <v>806</v>
      </c>
      <c r="E500" s="155"/>
      <c r="F500" s="155">
        <v>450000000</v>
      </c>
      <c r="G500" s="155"/>
      <c r="H500" s="135" t="s">
        <v>42</v>
      </c>
      <c r="I500" s="244" t="s">
        <v>588</v>
      </c>
      <c r="J500" s="137">
        <v>3</v>
      </c>
      <c r="K500" s="138">
        <v>4</v>
      </c>
      <c r="L500" s="139">
        <v>9</v>
      </c>
      <c r="M500" s="132">
        <f t="shared" si="84"/>
        <v>1</v>
      </c>
      <c r="N500" s="140" t="s">
        <v>61</v>
      </c>
      <c r="O500" s="141" t="str">
        <f>IF(ISBLANK(N500),"",VLOOKUP(N500,[24]Parámetros!$G$2:$H$23,2,FALSE))</f>
        <v>Contratación régimen especial - Selección de comisionista</v>
      </c>
      <c r="P500" s="245">
        <f t="shared" si="92"/>
        <v>1</v>
      </c>
      <c r="Q500" s="143">
        <f t="shared" si="85"/>
        <v>450000000</v>
      </c>
      <c r="R500" s="143">
        <f t="shared" si="86"/>
        <v>450000000</v>
      </c>
      <c r="S500" s="246" t="s">
        <v>222</v>
      </c>
      <c r="T500" s="245">
        <f t="shared" si="93"/>
        <v>0</v>
      </c>
      <c r="U500" s="145" t="str">
        <f t="shared" si="87"/>
        <v>SUBDIRECCION DE GESTION CONTRACTUAL</v>
      </c>
      <c r="V500" s="132" t="str">
        <f t="shared" si="88"/>
        <v>CO-DC</v>
      </c>
      <c r="W500" s="145" t="str">
        <f t="shared" si="89"/>
        <v>Distrito Capital de Bogotá</v>
      </c>
      <c r="X500" s="146" t="s">
        <v>331</v>
      </c>
      <c r="Y500" s="147">
        <v>2427401</v>
      </c>
      <c r="Z500" s="157" t="s">
        <v>75</v>
      </c>
      <c r="AA500" s="248"/>
      <c r="AB500" s="248"/>
      <c r="AC500" s="248"/>
      <c r="AD500" s="248"/>
      <c r="AE500" s="248"/>
      <c r="AF500" s="248"/>
      <c r="AG500" s="248"/>
      <c r="AH500" s="248"/>
      <c r="AI500" s="248"/>
      <c r="AJ500" s="248"/>
      <c r="AK500" s="248"/>
      <c r="AL500" s="248"/>
      <c r="AM500" s="248"/>
      <c r="AN500" s="248"/>
      <c r="AO500" s="248"/>
      <c r="AP500" s="248"/>
      <c r="AQ500" s="248"/>
      <c r="AR500" s="248"/>
      <c r="AS500" s="248"/>
      <c r="AT500" s="248"/>
      <c r="AU500" s="152"/>
      <c r="AV500" s="152"/>
      <c r="AW500" s="152"/>
      <c r="AX500" s="152"/>
      <c r="AY500" s="152"/>
      <c r="AZ500" s="152"/>
      <c r="BA500" s="152"/>
      <c r="BB500" s="152"/>
      <c r="BC500" s="152"/>
      <c r="BD500" s="152"/>
      <c r="BE500" s="152"/>
      <c r="BF500" s="152"/>
      <c r="BG500" s="152"/>
      <c r="BH500" s="152"/>
      <c r="BI500" s="152"/>
      <c r="BJ500" s="152"/>
      <c r="BK500" s="152"/>
      <c r="BL500" s="152"/>
      <c r="BM500" s="152"/>
      <c r="BN500" s="152"/>
      <c r="BO500" s="152"/>
      <c r="BP500" s="152"/>
      <c r="BQ500" s="152"/>
      <c r="BR500" s="152"/>
      <c r="BS500" s="152"/>
      <c r="BT500" s="152"/>
      <c r="BU500" s="152"/>
      <c r="BV500" s="152"/>
      <c r="BW500" s="152"/>
      <c r="BX500" s="152"/>
      <c r="BY500" s="152"/>
      <c r="BZ500" s="152"/>
      <c r="CA500" s="152"/>
      <c r="CB500" s="152"/>
      <c r="CC500" s="152"/>
      <c r="CD500" s="152"/>
      <c r="CE500" s="152"/>
      <c r="CF500" s="152"/>
      <c r="CG500" s="252"/>
    </row>
    <row r="501" spans="1:85" s="250" customFormat="1" ht="13.9" customHeight="1" x14ac:dyDescent="0.2">
      <c r="A501" s="251" t="s">
        <v>149</v>
      </c>
      <c r="B501" s="147">
        <v>36</v>
      </c>
      <c r="C501" s="244" t="s">
        <v>533</v>
      </c>
      <c r="D501" s="154" t="s">
        <v>806</v>
      </c>
      <c r="E501" s="155"/>
      <c r="F501" s="155">
        <f>438000000-438000000</f>
        <v>0</v>
      </c>
      <c r="G501" s="155"/>
      <c r="H501" s="154" t="s">
        <v>801</v>
      </c>
      <c r="I501" s="244" t="s">
        <v>613</v>
      </c>
      <c r="J501" s="147">
        <v>4</v>
      </c>
      <c r="K501" s="147">
        <v>4</v>
      </c>
      <c r="L501" s="147">
        <v>8</v>
      </c>
      <c r="M501" s="132">
        <f t="shared" si="84"/>
        <v>1</v>
      </c>
      <c r="N501" s="140" t="s">
        <v>36</v>
      </c>
      <c r="O501" s="141" t="str">
        <f>IF(ISBLANK(N501),"",VLOOKUP(N501,[24]Parámetros!$G$2:$H$23,2,FALSE))</f>
        <v xml:space="preserve">Contratación directa (con ofertas) </v>
      </c>
      <c r="P501" s="245">
        <f t="shared" si="92"/>
        <v>1</v>
      </c>
      <c r="Q501" s="143">
        <f t="shared" si="85"/>
        <v>0</v>
      </c>
      <c r="R501" s="143">
        <f t="shared" si="86"/>
        <v>0</v>
      </c>
      <c r="S501" s="246" t="s">
        <v>222</v>
      </c>
      <c r="T501" s="245">
        <f t="shared" si="93"/>
        <v>0</v>
      </c>
      <c r="U501" s="145" t="str">
        <f t="shared" si="87"/>
        <v>SUBDIRECCION DE GESTION CONTRACTUAL</v>
      </c>
      <c r="V501" s="245" t="str">
        <f t="shared" si="88"/>
        <v>CO-DC</v>
      </c>
      <c r="W501" s="245" t="str">
        <f t="shared" si="89"/>
        <v>Distrito Capital de Bogotá</v>
      </c>
      <c r="X501" s="154" t="s">
        <v>151</v>
      </c>
      <c r="Y501" s="147">
        <v>2427401</v>
      </c>
      <c r="Z501" s="157" t="s">
        <v>152</v>
      </c>
      <c r="AA501" s="248"/>
      <c r="AB501" s="248"/>
      <c r="AC501" s="248"/>
      <c r="AD501" s="248"/>
      <c r="AE501" s="248"/>
      <c r="AF501" s="248"/>
      <c r="AG501" s="248"/>
      <c r="AH501" s="248"/>
      <c r="AI501" s="248"/>
      <c r="AJ501" s="248"/>
      <c r="AK501" s="248"/>
      <c r="AL501" s="248"/>
      <c r="AM501" s="248"/>
      <c r="AN501" s="248"/>
      <c r="AO501" s="248"/>
      <c r="AP501" s="248"/>
      <c r="AQ501" s="248"/>
      <c r="AR501" s="248"/>
      <c r="AS501" s="248"/>
      <c r="AT501" s="248"/>
      <c r="AU501" s="152"/>
      <c r="AV501" s="152"/>
      <c r="AW501" s="152"/>
      <c r="AX501" s="152"/>
      <c r="AY501" s="152"/>
      <c r="AZ501" s="152"/>
      <c r="BA501" s="152"/>
      <c r="BB501" s="152"/>
      <c r="BC501" s="152"/>
      <c r="BD501" s="152"/>
      <c r="BE501" s="152"/>
      <c r="BF501" s="152"/>
      <c r="BG501" s="152"/>
      <c r="BH501" s="152"/>
      <c r="BI501" s="152"/>
      <c r="BJ501" s="152"/>
      <c r="BK501" s="152"/>
      <c r="BL501" s="152"/>
      <c r="BM501" s="152"/>
      <c r="BN501" s="152"/>
      <c r="BO501" s="152"/>
      <c r="BP501" s="152"/>
      <c r="BQ501" s="152"/>
      <c r="BR501" s="152"/>
      <c r="BS501" s="152"/>
      <c r="BT501" s="152"/>
      <c r="BU501" s="152"/>
      <c r="BV501" s="152"/>
      <c r="BW501" s="152"/>
      <c r="BX501" s="152"/>
      <c r="BY501" s="152"/>
      <c r="BZ501" s="152"/>
      <c r="CA501" s="152"/>
      <c r="CB501" s="152"/>
      <c r="CC501" s="152"/>
      <c r="CD501" s="152"/>
      <c r="CE501" s="152"/>
      <c r="CF501" s="152"/>
      <c r="CG501" s="252"/>
    </row>
    <row r="502" spans="1:85" s="250" customFormat="1" ht="13.9" customHeight="1" x14ac:dyDescent="0.2">
      <c r="A502" s="251" t="s">
        <v>149</v>
      </c>
      <c r="B502" s="147">
        <v>37</v>
      </c>
      <c r="C502" s="244" t="s">
        <v>534</v>
      </c>
      <c r="D502" s="154" t="s">
        <v>806</v>
      </c>
      <c r="E502" s="155"/>
      <c r="F502" s="155">
        <f>576000000-576000000</f>
        <v>0</v>
      </c>
      <c r="G502" s="155"/>
      <c r="H502" s="154" t="s">
        <v>801</v>
      </c>
      <c r="I502" s="244" t="s">
        <v>613</v>
      </c>
      <c r="J502" s="147">
        <v>4</v>
      </c>
      <c r="K502" s="147">
        <v>4</v>
      </c>
      <c r="L502" s="147">
        <v>8</v>
      </c>
      <c r="M502" s="132">
        <f t="shared" si="84"/>
        <v>1</v>
      </c>
      <c r="N502" s="140" t="s">
        <v>36</v>
      </c>
      <c r="O502" s="141" t="str">
        <f>IF(ISBLANK(N502),"",VLOOKUP(N502,[24]Parámetros!$G$2:$H$23,2,FALSE))</f>
        <v xml:space="preserve">Contratación directa (con ofertas) </v>
      </c>
      <c r="P502" s="245">
        <f t="shared" si="92"/>
        <v>1</v>
      </c>
      <c r="Q502" s="143">
        <f t="shared" si="85"/>
        <v>0</v>
      </c>
      <c r="R502" s="143">
        <f t="shared" si="86"/>
        <v>0</v>
      </c>
      <c r="S502" s="246" t="s">
        <v>222</v>
      </c>
      <c r="T502" s="245">
        <f t="shared" si="93"/>
        <v>0</v>
      </c>
      <c r="U502" s="145" t="str">
        <f t="shared" si="87"/>
        <v>SUBDIRECCION DE GESTION CONTRACTUAL</v>
      </c>
      <c r="V502" s="245" t="str">
        <f t="shared" si="88"/>
        <v>CO-DC</v>
      </c>
      <c r="W502" s="245" t="str">
        <f t="shared" si="89"/>
        <v>Distrito Capital de Bogotá</v>
      </c>
      <c r="X502" s="154" t="s">
        <v>151</v>
      </c>
      <c r="Y502" s="147">
        <v>2427401</v>
      </c>
      <c r="Z502" s="157" t="s">
        <v>152</v>
      </c>
      <c r="AA502" s="248"/>
      <c r="AB502" s="248"/>
      <c r="AC502" s="248"/>
      <c r="AD502" s="248"/>
      <c r="AE502" s="248"/>
      <c r="AF502" s="248"/>
      <c r="AG502" s="248"/>
      <c r="AH502" s="248"/>
      <c r="AI502" s="248"/>
      <c r="AJ502" s="248"/>
      <c r="AK502" s="248"/>
      <c r="AL502" s="248"/>
      <c r="AM502" s="248"/>
      <c r="AN502" s="248"/>
      <c r="AO502" s="248"/>
      <c r="AP502" s="248"/>
      <c r="AQ502" s="248"/>
      <c r="AR502" s="248"/>
      <c r="AS502" s="248"/>
      <c r="AT502" s="248"/>
      <c r="AU502" s="152"/>
      <c r="AV502" s="152"/>
      <c r="AW502" s="152"/>
      <c r="AX502" s="152"/>
      <c r="AY502" s="152"/>
      <c r="AZ502" s="152"/>
      <c r="BA502" s="152"/>
      <c r="BB502" s="152"/>
      <c r="BC502" s="152"/>
      <c r="BD502" s="152"/>
      <c r="BE502" s="152"/>
      <c r="BF502" s="152"/>
      <c r="BG502" s="152"/>
      <c r="BH502" s="152"/>
      <c r="BI502" s="152"/>
      <c r="BJ502" s="152"/>
      <c r="BK502" s="152"/>
      <c r="BL502" s="152"/>
      <c r="BM502" s="152"/>
      <c r="BN502" s="152"/>
      <c r="BO502" s="152"/>
      <c r="BP502" s="152"/>
      <c r="BQ502" s="152"/>
      <c r="BR502" s="152"/>
      <c r="BS502" s="152"/>
      <c r="BT502" s="152"/>
      <c r="BU502" s="152"/>
      <c r="BV502" s="152"/>
      <c r="BW502" s="152"/>
      <c r="BX502" s="152"/>
      <c r="BY502" s="152"/>
      <c r="BZ502" s="152"/>
      <c r="CA502" s="152"/>
      <c r="CB502" s="152"/>
      <c r="CC502" s="152"/>
      <c r="CD502" s="152"/>
      <c r="CE502" s="152"/>
      <c r="CF502" s="152"/>
      <c r="CG502" s="252"/>
    </row>
    <row r="503" spans="1:85" s="250" customFormat="1" ht="13.9" customHeight="1" x14ac:dyDescent="0.2">
      <c r="A503" s="251" t="s">
        <v>149</v>
      </c>
      <c r="B503" s="147">
        <v>38</v>
      </c>
      <c r="C503" s="244" t="s">
        <v>534</v>
      </c>
      <c r="D503" s="154" t="s">
        <v>806</v>
      </c>
      <c r="E503" s="155"/>
      <c r="F503" s="155">
        <f>4000000000-4000000000</f>
        <v>0</v>
      </c>
      <c r="G503" s="155"/>
      <c r="H503" s="154" t="s">
        <v>803</v>
      </c>
      <c r="I503" s="244" t="s">
        <v>612</v>
      </c>
      <c r="J503" s="147">
        <v>4</v>
      </c>
      <c r="K503" s="147">
        <v>4</v>
      </c>
      <c r="L503" s="147">
        <v>8</v>
      </c>
      <c r="M503" s="132">
        <f t="shared" si="84"/>
        <v>1</v>
      </c>
      <c r="N503" s="140" t="s">
        <v>36</v>
      </c>
      <c r="O503" s="141" t="str">
        <f>IF(ISBLANK(N503),"",VLOOKUP(N503,[24]Parámetros!$G$2:$H$23,2,FALSE))</f>
        <v xml:space="preserve">Contratación directa (con ofertas) </v>
      </c>
      <c r="P503" s="245">
        <f t="shared" si="92"/>
        <v>1</v>
      </c>
      <c r="Q503" s="143">
        <f t="shared" si="85"/>
        <v>0</v>
      </c>
      <c r="R503" s="143">
        <f t="shared" si="86"/>
        <v>0</v>
      </c>
      <c r="S503" s="246" t="s">
        <v>222</v>
      </c>
      <c r="T503" s="245">
        <f t="shared" si="93"/>
        <v>0</v>
      </c>
      <c r="U503" s="145" t="str">
        <f t="shared" si="87"/>
        <v>SUBDIRECCION DE GESTION CONTRACTUAL</v>
      </c>
      <c r="V503" s="245" t="str">
        <f t="shared" si="88"/>
        <v>CO-DC</v>
      </c>
      <c r="W503" s="245" t="str">
        <f t="shared" si="89"/>
        <v>Distrito Capital de Bogotá</v>
      </c>
      <c r="X503" s="154" t="s">
        <v>151</v>
      </c>
      <c r="Y503" s="147">
        <v>2427401</v>
      </c>
      <c r="Z503" s="157" t="s">
        <v>152</v>
      </c>
      <c r="AA503" s="248"/>
      <c r="AB503" s="248"/>
      <c r="AC503" s="248"/>
      <c r="AD503" s="248"/>
      <c r="AE503" s="248"/>
      <c r="AF503" s="248"/>
      <c r="AG503" s="248"/>
      <c r="AH503" s="248"/>
      <c r="AI503" s="248"/>
      <c r="AJ503" s="248"/>
      <c r="AK503" s="248"/>
      <c r="AL503" s="248"/>
      <c r="AM503" s="248"/>
      <c r="AN503" s="248"/>
      <c r="AO503" s="248"/>
      <c r="AP503" s="248"/>
      <c r="AQ503" s="248"/>
      <c r="AR503" s="248"/>
      <c r="AS503" s="248"/>
      <c r="AT503" s="248"/>
      <c r="AU503" s="152"/>
      <c r="AV503" s="152"/>
      <c r="AW503" s="152"/>
      <c r="AX503" s="152"/>
      <c r="AY503" s="152"/>
      <c r="AZ503" s="152"/>
      <c r="BA503" s="152"/>
      <c r="BB503" s="152"/>
      <c r="BC503" s="152"/>
      <c r="BD503" s="152"/>
      <c r="BE503" s="152"/>
      <c r="BF503" s="152"/>
      <c r="BG503" s="152"/>
      <c r="BH503" s="152"/>
      <c r="BI503" s="152"/>
      <c r="BJ503" s="152"/>
      <c r="BK503" s="152"/>
      <c r="BL503" s="152"/>
      <c r="BM503" s="152"/>
      <c r="BN503" s="152"/>
      <c r="BO503" s="152"/>
      <c r="BP503" s="152"/>
      <c r="BQ503" s="152"/>
      <c r="BR503" s="152"/>
      <c r="BS503" s="152"/>
      <c r="BT503" s="152"/>
      <c r="BU503" s="152"/>
      <c r="BV503" s="152"/>
      <c r="BW503" s="152"/>
      <c r="BX503" s="152"/>
      <c r="BY503" s="152"/>
      <c r="BZ503" s="152"/>
      <c r="CA503" s="152"/>
      <c r="CB503" s="152"/>
      <c r="CC503" s="152"/>
      <c r="CD503" s="152"/>
      <c r="CE503" s="152"/>
      <c r="CF503" s="152"/>
      <c r="CG503" s="252"/>
    </row>
    <row r="504" spans="1:85" s="250" customFormat="1" ht="13.9" customHeight="1" x14ac:dyDescent="0.2">
      <c r="A504" s="251" t="s">
        <v>149</v>
      </c>
      <c r="B504" s="147">
        <v>39</v>
      </c>
      <c r="C504" s="244" t="s">
        <v>534</v>
      </c>
      <c r="D504" s="154" t="s">
        <v>806</v>
      </c>
      <c r="E504" s="155"/>
      <c r="F504" s="155">
        <f>4000000000-4000000000</f>
        <v>0</v>
      </c>
      <c r="G504" s="155"/>
      <c r="H504" s="154" t="s">
        <v>803</v>
      </c>
      <c r="I504" s="244" t="s">
        <v>612</v>
      </c>
      <c r="J504" s="147">
        <v>4</v>
      </c>
      <c r="K504" s="147">
        <v>4</v>
      </c>
      <c r="L504" s="147">
        <v>8</v>
      </c>
      <c r="M504" s="132">
        <f t="shared" si="84"/>
        <v>1</v>
      </c>
      <c r="N504" s="140" t="s">
        <v>36</v>
      </c>
      <c r="O504" s="141" t="str">
        <f>IF(ISBLANK(N504),"",VLOOKUP(N504,[24]Parámetros!$G$2:$H$23,2,FALSE))</f>
        <v xml:space="preserve">Contratación directa (con ofertas) </v>
      </c>
      <c r="P504" s="245">
        <f t="shared" si="92"/>
        <v>1</v>
      </c>
      <c r="Q504" s="143">
        <f t="shared" si="85"/>
        <v>0</v>
      </c>
      <c r="R504" s="143">
        <f t="shared" si="86"/>
        <v>0</v>
      </c>
      <c r="S504" s="246" t="s">
        <v>222</v>
      </c>
      <c r="T504" s="245">
        <f t="shared" si="93"/>
        <v>0</v>
      </c>
      <c r="U504" s="145" t="str">
        <f t="shared" si="87"/>
        <v>SUBDIRECCION DE GESTION CONTRACTUAL</v>
      </c>
      <c r="V504" s="245" t="str">
        <f t="shared" si="88"/>
        <v>CO-DC</v>
      </c>
      <c r="W504" s="245" t="str">
        <f t="shared" si="89"/>
        <v>Distrito Capital de Bogotá</v>
      </c>
      <c r="X504" s="154" t="s">
        <v>151</v>
      </c>
      <c r="Y504" s="147">
        <v>2427401</v>
      </c>
      <c r="Z504" s="157" t="s">
        <v>152</v>
      </c>
      <c r="AA504" s="248"/>
      <c r="AB504" s="248"/>
      <c r="AC504" s="248"/>
      <c r="AD504" s="248"/>
      <c r="AE504" s="248"/>
      <c r="AF504" s="248"/>
      <c r="AG504" s="248"/>
      <c r="AH504" s="248"/>
      <c r="AI504" s="248"/>
      <c r="AJ504" s="248"/>
      <c r="AK504" s="248"/>
      <c r="AL504" s="248"/>
      <c r="AM504" s="248"/>
      <c r="AN504" s="248"/>
      <c r="AO504" s="248"/>
      <c r="AP504" s="248"/>
      <c r="AQ504" s="248"/>
      <c r="AR504" s="248"/>
      <c r="AS504" s="248"/>
      <c r="AT504" s="248"/>
      <c r="AU504" s="152"/>
      <c r="AV504" s="152"/>
      <c r="AW504" s="152"/>
      <c r="AX504" s="152"/>
      <c r="AY504" s="152"/>
      <c r="AZ504" s="152"/>
      <c r="BA504" s="152"/>
      <c r="BB504" s="152"/>
      <c r="BC504" s="152"/>
      <c r="BD504" s="152"/>
      <c r="BE504" s="152"/>
      <c r="BF504" s="152"/>
      <c r="BG504" s="152"/>
      <c r="BH504" s="152"/>
      <c r="BI504" s="152"/>
      <c r="BJ504" s="152"/>
      <c r="BK504" s="152"/>
      <c r="BL504" s="152"/>
      <c r="BM504" s="152"/>
      <c r="BN504" s="152"/>
      <c r="BO504" s="152"/>
      <c r="BP504" s="152"/>
      <c r="BQ504" s="152"/>
      <c r="BR504" s="152"/>
      <c r="BS504" s="152"/>
      <c r="BT504" s="152"/>
      <c r="BU504" s="152"/>
      <c r="BV504" s="152"/>
      <c r="BW504" s="152"/>
      <c r="BX504" s="152"/>
      <c r="BY504" s="152"/>
      <c r="BZ504" s="152"/>
      <c r="CA504" s="152"/>
      <c r="CB504" s="152"/>
      <c r="CC504" s="152"/>
      <c r="CD504" s="152"/>
      <c r="CE504" s="152"/>
      <c r="CF504" s="152"/>
      <c r="CG504" s="252"/>
    </row>
    <row r="505" spans="1:85" s="7" customFormat="1" ht="12.75" customHeight="1" x14ac:dyDescent="0.2">
      <c r="A505" s="132" t="s">
        <v>149</v>
      </c>
      <c r="B505" s="132">
        <v>40</v>
      </c>
      <c r="C505" s="133" t="s">
        <v>155</v>
      </c>
      <c r="D505" s="133" t="s">
        <v>175</v>
      </c>
      <c r="E505" s="134"/>
      <c r="F505" s="134">
        <v>200000000</v>
      </c>
      <c r="G505" s="134"/>
      <c r="H505" s="135" t="s">
        <v>230</v>
      </c>
      <c r="I505" s="136" t="s">
        <v>611</v>
      </c>
      <c r="J505" s="150">
        <v>2</v>
      </c>
      <c r="K505" s="150">
        <v>3</v>
      </c>
      <c r="L505" s="150">
        <v>4</v>
      </c>
      <c r="M505" s="132">
        <f t="shared" si="84"/>
        <v>1</v>
      </c>
      <c r="N505" s="140" t="s">
        <v>43</v>
      </c>
      <c r="O505" s="141" t="str">
        <f>IF(ISBLANK(N505),"",VLOOKUP(N505,[24]Parámetros!$G$2:$H$23,2,FALSE))</f>
        <v>Selección abreviada subasta inversa</v>
      </c>
      <c r="P505" s="142">
        <f t="shared" si="92"/>
        <v>1</v>
      </c>
      <c r="Q505" s="143">
        <f t="shared" si="85"/>
        <v>200000000</v>
      </c>
      <c r="R505" s="143">
        <f t="shared" si="86"/>
        <v>200000000</v>
      </c>
      <c r="S505" s="144" t="s">
        <v>222</v>
      </c>
      <c r="T505" s="140">
        <f t="shared" si="93"/>
        <v>0</v>
      </c>
      <c r="U505" s="145" t="str">
        <f t="shared" si="87"/>
        <v>SUBDIRECCION DE GESTION CONTRACTUAL</v>
      </c>
      <c r="V505" s="132" t="str">
        <f t="shared" si="88"/>
        <v>CO-DC</v>
      </c>
      <c r="W505" s="145" t="str">
        <f t="shared" si="89"/>
        <v>Distrito Capital de Bogotá</v>
      </c>
      <c r="X505" s="146" t="s">
        <v>307</v>
      </c>
      <c r="Y505" s="132">
        <v>2427400</v>
      </c>
      <c r="Z505" s="148" t="s">
        <v>94</v>
      </c>
    </row>
    <row r="506" spans="1:85" s="250" customFormat="1" ht="13.9" customHeight="1" x14ac:dyDescent="0.2">
      <c r="A506" s="251" t="s">
        <v>149</v>
      </c>
      <c r="B506" s="147">
        <v>41</v>
      </c>
      <c r="C506" s="244" t="s">
        <v>154</v>
      </c>
      <c r="D506" s="154" t="s">
        <v>525</v>
      </c>
      <c r="E506" s="155"/>
      <c r="F506" s="155">
        <v>400000000</v>
      </c>
      <c r="G506" s="155"/>
      <c r="H506" s="135" t="s">
        <v>604</v>
      </c>
      <c r="I506" s="244" t="s">
        <v>617</v>
      </c>
      <c r="J506" s="137">
        <v>2</v>
      </c>
      <c r="K506" s="138">
        <v>2</v>
      </c>
      <c r="L506" s="139">
        <v>10</v>
      </c>
      <c r="M506" s="132">
        <f t="shared" si="84"/>
        <v>1</v>
      </c>
      <c r="N506" s="140" t="s">
        <v>36</v>
      </c>
      <c r="O506" s="141" t="str">
        <f>IF(ISBLANK(N506),"",VLOOKUP(N506,[24]Parámetros!$G$2:$H$23,2,FALSE))</f>
        <v xml:space="preserve">Contratación directa (con ofertas) </v>
      </c>
      <c r="P506" s="245">
        <f t="shared" si="92"/>
        <v>1</v>
      </c>
      <c r="Q506" s="143">
        <f t="shared" si="85"/>
        <v>400000000</v>
      </c>
      <c r="R506" s="143">
        <f t="shared" si="86"/>
        <v>400000000</v>
      </c>
      <c r="S506" s="246" t="s">
        <v>222</v>
      </c>
      <c r="T506" s="245">
        <f t="shared" si="93"/>
        <v>0</v>
      </c>
      <c r="U506" s="145" t="str">
        <f t="shared" si="87"/>
        <v>SUBDIRECCION DE GESTION CONTRACTUAL</v>
      </c>
      <c r="V506" s="132" t="str">
        <f t="shared" si="88"/>
        <v>CO-DC</v>
      </c>
      <c r="W506" s="245" t="str">
        <f t="shared" si="89"/>
        <v>Distrito Capital de Bogotá</v>
      </c>
      <c r="X506" s="146" t="s">
        <v>307</v>
      </c>
      <c r="Y506" s="132">
        <v>2427400</v>
      </c>
      <c r="Z506" s="148" t="s">
        <v>94</v>
      </c>
      <c r="AA506" s="248"/>
      <c r="AB506" s="248"/>
      <c r="AC506" s="248"/>
      <c r="AD506" s="248"/>
      <c r="AE506" s="248"/>
      <c r="AF506" s="248"/>
      <c r="AG506" s="248"/>
      <c r="AH506" s="248"/>
      <c r="AI506" s="248"/>
      <c r="AJ506" s="248"/>
      <c r="AK506" s="248"/>
      <c r="AL506" s="248"/>
      <c r="AM506" s="248"/>
      <c r="AN506" s="248"/>
      <c r="AO506" s="248"/>
      <c r="AP506" s="248"/>
      <c r="AQ506" s="248"/>
      <c r="AR506" s="248"/>
      <c r="AS506" s="248"/>
      <c r="AT506" s="248"/>
      <c r="AU506" s="152"/>
      <c r="AV506" s="152"/>
      <c r="AW506" s="152"/>
      <c r="AX506" s="152"/>
      <c r="AY506" s="152"/>
      <c r="AZ506" s="152"/>
      <c r="BA506" s="152"/>
      <c r="BB506" s="152"/>
      <c r="BC506" s="152"/>
      <c r="BD506" s="152"/>
      <c r="BE506" s="152"/>
      <c r="BF506" s="152"/>
      <c r="BG506" s="152"/>
      <c r="BH506" s="152"/>
      <c r="BI506" s="152"/>
      <c r="BJ506" s="152"/>
      <c r="BK506" s="152"/>
      <c r="BL506" s="152"/>
      <c r="BM506" s="152"/>
      <c r="BN506" s="152"/>
      <c r="BO506" s="152"/>
      <c r="BP506" s="152"/>
      <c r="BQ506" s="152"/>
      <c r="BR506" s="152"/>
      <c r="BS506" s="152"/>
      <c r="BT506" s="152"/>
      <c r="BU506" s="152"/>
      <c r="BV506" s="152"/>
      <c r="BW506" s="152"/>
      <c r="BX506" s="152"/>
      <c r="BY506" s="152"/>
      <c r="BZ506" s="152"/>
      <c r="CA506" s="152"/>
      <c r="CB506" s="152"/>
      <c r="CC506" s="152"/>
      <c r="CD506" s="152"/>
      <c r="CE506" s="152"/>
      <c r="CF506" s="152"/>
      <c r="CG506" s="252"/>
    </row>
    <row r="507" spans="1:85" s="273" customFormat="1" ht="13.9" customHeight="1" x14ac:dyDescent="0.2">
      <c r="A507" s="266" t="s">
        <v>149</v>
      </c>
      <c r="B507" s="257">
        <v>42</v>
      </c>
      <c r="C507" s="259" t="s">
        <v>155</v>
      </c>
      <c r="D507" s="265" t="s">
        <v>175</v>
      </c>
      <c r="E507" s="267"/>
      <c r="F507" s="267">
        <f>2500000000+2250000000</f>
        <v>4750000000</v>
      </c>
      <c r="G507" s="267"/>
      <c r="H507" s="265" t="s">
        <v>830</v>
      </c>
      <c r="I507" s="259" t="s">
        <v>829</v>
      </c>
      <c r="J507" s="257">
        <v>3</v>
      </c>
      <c r="K507" s="257">
        <v>3</v>
      </c>
      <c r="L507" s="257">
        <v>9</v>
      </c>
      <c r="M507" s="177">
        <v>1</v>
      </c>
      <c r="N507" s="182" t="s">
        <v>36</v>
      </c>
      <c r="O507" s="268" t="s">
        <v>267</v>
      </c>
      <c r="P507" s="269">
        <v>1</v>
      </c>
      <c r="Q507" s="270">
        <v>2500000000</v>
      </c>
      <c r="R507" s="270">
        <v>2500000000</v>
      </c>
      <c r="S507" s="271" t="s">
        <v>222</v>
      </c>
      <c r="T507" s="269">
        <v>0</v>
      </c>
      <c r="U507" s="186" t="s">
        <v>37</v>
      </c>
      <c r="V507" s="269" t="s">
        <v>39</v>
      </c>
      <c r="W507" s="269" t="s">
        <v>38</v>
      </c>
      <c r="X507" s="265" t="s">
        <v>151</v>
      </c>
      <c r="Y507" s="257">
        <v>2427401</v>
      </c>
      <c r="Z507" s="272" t="s">
        <v>152</v>
      </c>
      <c r="AA507" s="248"/>
      <c r="AB507" s="248"/>
      <c r="AC507" s="248"/>
      <c r="AD507" s="248"/>
      <c r="AE507" s="248"/>
      <c r="AF507" s="248"/>
      <c r="AG507" s="248"/>
      <c r="AH507" s="248"/>
      <c r="AI507" s="248"/>
      <c r="AJ507" s="248"/>
      <c r="AK507" s="248"/>
      <c r="AL507" s="248"/>
      <c r="AM507" s="248"/>
      <c r="AN507" s="248"/>
      <c r="AO507" s="248"/>
      <c r="AP507" s="248"/>
      <c r="AQ507" s="248"/>
      <c r="AR507" s="248"/>
      <c r="AS507" s="248"/>
      <c r="AT507" s="248"/>
      <c r="AU507" s="152"/>
      <c r="AV507" s="152"/>
      <c r="AW507" s="152"/>
      <c r="AX507" s="152"/>
      <c r="AY507" s="152"/>
      <c r="AZ507" s="152"/>
      <c r="BA507" s="152"/>
      <c r="BB507" s="152"/>
      <c r="BC507" s="152"/>
      <c r="BD507" s="152"/>
      <c r="BE507" s="152"/>
      <c r="BF507" s="152"/>
      <c r="BG507" s="152"/>
      <c r="BH507" s="152"/>
      <c r="BI507" s="152"/>
      <c r="BJ507" s="152"/>
      <c r="BK507" s="252"/>
    </row>
    <row r="508" spans="1:85" s="273" customFormat="1" ht="13.9" customHeight="1" x14ac:dyDescent="0.2">
      <c r="A508" s="266" t="s">
        <v>149</v>
      </c>
      <c r="B508" s="257">
        <v>43</v>
      </c>
      <c r="C508" s="259" t="s">
        <v>157</v>
      </c>
      <c r="D508" s="265" t="s">
        <v>175</v>
      </c>
      <c r="E508" s="267"/>
      <c r="F508" s="267">
        <v>620000000</v>
      </c>
      <c r="G508" s="267"/>
      <c r="H508" s="265" t="s">
        <v>830</v>
      </c>
      <c r="I508" s="259" t="s">
        <v>829</v>
      </c>
      <c r="J508" s="257">
        <v>3</v>
      </c>
      <c r="K508" s="257">
        <v>3</v>
      </c>
      <c r="L508" s="257">
        <v>9</v>
      </c>
      <c r="M508" s="177">
        <v>1</v>
      </c>
      <c r="N508" s="182" t="s">
        <v>36</v>
      </c>
      <c r="O508" s="268" t="s">
        <v>267</v>
      </c>
      <c r="P508" s="269">
        <v>1</v>
      </c>
      <c r="Q508" s="270">
        <v>2500000000</v>
      </c>
      <c r="R508" s="270">
        <v>2500000000</v>
      </c>
      <c r="S508" s="271" t="s">
        <v>222</v>
      </c>
      <c r="T508" s="269">
        <v>0</v>
      </c>
      <c r="U508" s="186" t="s">
        <v>37</v>
      </c>
      <c r="V508" s="269" t="s">
        <v>39</v>
      </c>
      <c r="W508" s="269" t="s">
        <v>38</v>
      </c>
      <c r="X508" s="265" t="s">
        <v>151</v>
      </c>
      <c r="Y508" s="257">
        <v>2427401</v>
      </c>
      <c r="Z508" s="272" t="s">
        <v>152</v>
      </c>
      <c r="AA508" s="248"/>
      <c r="AB508" s="248"/>
      <c r="AC508" s="248"/>
      <c r="AD508" s="248"/>
      <c r="AE508" s="248"/>
      <c r="AF508" s="248"/>
      <c r="AG508" s="248"/>
      <c r="AH508" s="248"/>
      <c r="AI508" s="248"/>
      <c r="AJ508" s="248"/>
      <c r="AK508" s="248"/>
      <c r="AL508" s="248"/>
      <c r="AM508" s="248"/>
      <c r="AN508" s="248"/>
      <c r="AO508" s="248"/>
      <c r="AP508" s="248"/>
      <c r="AQ508" s="248"/>
      <c r="AR508" s="248"/>
      <c r="AS508" s="248"/>
      <c r="AT508" s="248"/>
      <c r="AU508" s="152"/>
      <c r="AV508" s="152"/>
      <c r="AW508" s="152"/>
      <c r="AX508" s="152"/>
      <c r="AY508" s="152"/>
      <c r="AZ508" s="152"/>
      <c r="BA508" s="152"/>
      <c r="BB508" s="152"/>
      <c r="BC508" s="152"/>
      <c r="BD508" s="152"/>
      <c r="BE508" s="152"/>
      <c r="BF508" s="152"/>
      <c r="BG508" s="152"/>
      <c r="BH508" s="152"/>
      <c r="BI508" s="152"/>
      <c r="BJ508" s="152"/>
      <c r="BK508" s="252"/>
    </row>
    <row r="509" spans="1:85" s="273" customFormat="1" ht="13.9" customHeight="1" x14ac:dyDescent="0.2">
      <c r="A509" s="266" t="s">
        <v>149</v>
      </c>
      <c r="B509" s="257">
        <v>44</v>
      </c>
      <c r="C509" s="259" t="s">
        <v>531</v>
      </c>
      <c r="D509" s="265" t="s">
        <v>806</v>
      </c>
      <c r="E509" s="267"/>
      <c r="F509" s="267">
        <v>864000000</v>
      </c>
      <c r="G509" s="267"/>
      <c r="H509" s="265" t="s">
        <v>830</v>
      </c>
      <c r="I509" s="259" t="s">
        <v>829</v>
      </c>
      <c r="J509" s="257">
        <v>3</v>
      </c>
      <c r="K509" s="257">
        <v>3</v>
      </c>
      <c r="L509" s="257">
        <v>9</v>
      </c>
      <c r="M509" s="177">
        <v>1</v>
      </c>
      <c r="N509" s="182" t="s">
        <v>36</v>
      </c>
      <c r="O509" s="268" t="s">
        <v>267</v>
      </c>
      <c r="P509" s="269">
        <v>1</v>
      </c>
      <c r="Q509" s="270">
        <v>2500000000</v>
      </c>
      <c r="R509" s="270">
        <v>2500000000</v>
      </c>
      <c r="S509" s="271" t="s">
        <v>222</v>
      </c>
      <c r="T509" s="269">
        <v>0</v>
      </c>
      <c r="U509" s="186" t="s">
        <v>37</v>
      </c>
      <c r="V509" s="269" t="s">
        <v>39</v>
      </c>
      <c r="W509" s="269" t="s">
        <v>38</v>
      </c>
      <c r="X509" s="265" t="s">
        <v>151</v>
      </c>
      <c r="Y509" s="257">
        <v>2427401</v>
      </c>
      <c r="Z509" s="272" t="s">
        <v>152</v>
      </c>
      <c r="AA509" s="248"/>
      <c r="AB509" s="248"/>
      <c r="AC509" s="248"/>
      <c r="AD509" s="248"/>
      <c r="AE509" s="248"/>
      <c r="AF509" s="248"/>
      <c r="AG509" s="248"/>
      <c r="AH509" s="248"/>
      <c r="AI509" s="248"/>
      <c r="AJ509" s="248"/>
      <c r="AK509" s="248"/>
      <c r="AL509" s="248"/>
      <c r="AM509" s="248"/>
      <c r="AN509" s="248"/>
      <c r="AO509" s="248"/>
      <c r="AP509" s="248"/>
      <c r="AQ509" s="248"/>
      <c r="AR509" s="248"/>
      <c r="AS509" s="248"/>
      <c r="AT509" s="248"/>
      <c r="AU509" s="152"/>
      <c r="AV509" s="152"/>
      <c r="AW509" s="152"/>
      <c r="AX509" s="152"/>
      <c r="AY509" s="152"/>
      <c r="AZ509" s="152"/>
      <c r="BA509" s="152"/>
      <c r="BB509" s="152"/>
      <c r="BC509" s="152"/>
      <c r="BD509" s="152"/>
      <c r="BE509" s="152"/>
      <c r="BF509" s="152"/>
      <c r="BG509" s="152"/>
      <c r="BH509" s="152"/>
      <c r="BI509" s="152"/>
      <c r="BJ509" s="152"/>
      <c r="BK509" s="252"/>
    </row>
    <row r="510" spans="1:85" s="273" customFormat="1" ht="13.9" customHeight="1" x14ac:dyDescent="0.2">
      <c r="A510" s="266" t="s">
        <v>149</v>
      </c>
      <c r="B510" s="257">
        <v>45</v>
      </c>
      <c r="C510" s="259" t="s">
        <v>532</v>
      </c>
      <c r="D510" s="265" t="s">
        <v>806</v>
      </c>
      <c r="E510" s="267"/>
      <c r="F510" s="267">
        <v>1500000000</v>
      </c>
      <c r="G510" s="267"/>
      <c r="H510" s="265" t="s">
        <v>830</v>
      </c>
      <c r="I510" s="259" t="s">
        <v>829</v>
      </c>
      <c r="J510" s="257">
        <v>3</v>
      </c>
      <c r="K510" s="257">
        <v>3</v>
      </c>
      <c r="L510" s="257">
        <v>9</v>
      </c>
      <c r="M510" s="177">
        <v>1</v>
      </c>
      <c r="N510" s="182" t="s">
        <v>36</v>
      </c>
      <c r="O510" s="268" t="s">
        <v>267</v>
      </c>
      <c r="P510" s="269">
        <v>1</v>
      </c>
      <c r="Q510" s="270">
        <v>2500000000</v>
      </c>
      <c r="R510" s="270">
        <v>2500000000</v>
      </c>
      <c r="S510" s="271" t="s">
        <v>222</v>
      </c>
      <c r="T510" s="269">
        <v>0</v>
      </c>
      <c r="U510" s="186" t="s">
        <v>37</v>
      </c>
      <c r="V510" s="269" t="s">
        <v>39</v>
      </c>
      <c r="W510" s="269" t="s">
        <v>38</v>
      </c>
      <c r="X510" s="265" t="s">
        <v>151</v>
      </c>
      <c r="Y510" s="257">
        <v>2427401</v>
      </c>
      <c r="Z510" s="272" t="s">
        <v>152</v>
      </c>
      <c r="AA510" s="248"/>
      <c r="AB510" s="248"/>
      <c r="AC510" s="248"/>
      <c r="AD510" s="248"/>
      <c r="AE510" s="248"/>
      <c r="AF510" s="248"/>
      <c r="AG510" s="248"/>
      <c r="AH510" s="248"/>
      <c r="AI510" s="248"/>
      <c r="AJ510" s="248"/>
      <c r="AK510" s="248"/>
      <c r="AL510" s="248"/>
      <c r="AM510" s="248"/>
      <c r="AN510" s="248"/>
      <c r="AO510" s="248"/>
      <c r="AP510" s="248"/>
      <c r="AQ510" s="248"/>
      <c r="AR510" s="248"/>
      <c r="AS510" s="248"/>
      <c r="AT510" s="248"/>
      <c r="AU510" s="152"/>
      <c r="AV510" s="152"/>
      <c r="AW510" s="152"/>
      <c r="AX510" s="152"/>
      <c r="AY510" s="152"/>
      <c r="AZ510" s="152"/>
      <c r="BA510" s="152"/>
      <c r="BB510" s="152"/>
      <c r="BC510" s="152"/>
      <c r="BD510" s="152"/>
      <c r="BE510" s="152"/>
      <c r="BF510" s="152"/>
      <c r="BG510" s="152"/>
      <c r="BH510" s="152"/>
      <c r="BI510" s="152"/>
      <c r="BJ510" s="152"/>
      <c r="BK510" s="252"/>
    </row>
    <row r="511" spans="1:85" s="273" customFormat="1" ht="13.9" customHeight="1" x14ac:dyDescent="0.2">
      <c r="A511" s="266" t="s">
        <v>149</v>
      </c>
      <c r="B511" s="257">
        <v>46</v>
      </c>
      <c r="C511" s="259" t="s">
        <v>533</v>
      </c>
      <c r="D511" s="265" t="s">
        <v>806</v>
      </c>
      <c r="E511" s="267"/>
      <c r="F511" s="267">
        <v>438000000</v>
      </c>
      <c r="G511" s="267"/>
      <c r="H511" s="265" t="s">
        <v>830</v>
      </c>
      <c r="I511" s="259" t="s">
        <v>829</v>
      </c>
      <c r="J511" s="257">
        <v>3</v>
      </c>
      <c r="K511" s="257">
        <v>3</v>
      </c>
      <c r="L511" s="257">
        <v>9</v>
      </c>
      <c r="M511" s="177">
        <v>1</v>
      </c>
      <c r="N511" s="182" t="s">
        <v>36</v>
      </c>
      <c r="O511" s="268" t="s">
        <v>267</v>
      </c>
      <c r="P511" s="269">
        <v>1</v>
      </c>
      <c r="Q511" s="270">
        <v>2500000000</v>
      </c>
      <c r="R511" s="270">
        <v>2500000000</v>
      </c>
      <c r="S511" s="271" t="s">
        <v>222</v>
      </c>
      <c r="T511" s="269">
        <v>0</v>
      </c>
      <c r="U511" s="186" t="s">
        <v>37</v>
      </c>
      <c r="V511" s="269" t="s">
        <v>39</v>
      </c>
      <c r="W511" s="269" t="s">
        <v>38</v>
      </c>
      <c r="X511" s="265" t="s">
        <v>151</v>
      </c>
      <c r="Y511" s="257">
        <v>2427401</v>
      </c>
      <c r="Z511" s="272" t="s">
        <v>152</v>
      </c>
      <c r="AA511" s="248"/>
      <c r="AB511" s="248"/>
      <c r="AC511" s="248"/>
      <c r="AD511" s="248"/>
      <c r="AE511" s="248"/>
      <c r="AF511" s="248"/>
      <c r="AG511" s="248"/>
      <c r="AH511" s="248"/>
      <c r="AI511" s="248"/>
      <c r="AJ511" s="248"/>
      <c r="AK511" s="248"/>
      <c r="AL511" s="248"/>
      <c r="AM511" s="248"/>
      <c r="AN511" s="248"/>
      <c r="AO511" s="248"/>
      <c r="AP511" s="248"/>
      <c r="AQ511" s="248"/>
      <c r="AR511" s="248"/>
      <c r="AS511" s="248"/>
      <c r="AT511" s="248"/>
      <c r="AU511" s="152"/>
      <c r="AV511" s="152"/>
      <c r="AW511" s="152"/>
      <c r="AX511" s="152"/>
      <c r="AY511" s="152"/>
      <c r="AZ511" s="152"/>
      <c r="BA511" s="152"/>
      <c r="BB511" s="152"/>
      <c r="BC511" s="152"/>
      <c r="BD511" s="152"/>
      <c r="BE511" s="152"/>
      <c r="BF511" s="152"/>
      <c r="BG511" s="152"/>
      <c r="BH511" s="152"/>
      <c r="BI511" s="152"/>
      <c r="BJ511" s="152"/>
      <c r="BK511" s="252"/>
    </row>
    <row r="512" spans="1:85" s="273" customFormat="1" ht="13.9" customHeight="1" x14ac:dyDescent="0.2">
      <c r="A512" s="266" t="s">
        <v>149</v>
      </c>
      <c r="B512" s="257">
        <v>47</v>
      </c>
      <c r="C512" s="259" t="s">
        <v>534</v>
      </c>
      <c r="D512" s="265" t="s">
        <v>806</v>
      </c>
      <c r="E512" s="267"/>
      <c r="F512" s="267">
        <f>576000000+4000000000+4000000000</f>
        <v>8576000000</v>
      </c>
      <c r="G512" s="267"/>
      <c r="H512" s="265" t="s">
        <v>830</v>
      </c>
      <c r="I512" s="259" t="s">
        <v>829</v>
      </c>
      <c r="J512" s="257">
        <v>3</v>
      </c>
      <c r="K512" s="257">
        <v>3</v>
      </c>
      <c r="L512" s="257">
        <v>9</v>
      </c>
      <c r="M512" s="177">
        <v>1</v>
      </c>
      <c r="N512" s="182" t="s">
        <v>36</v>
      </c>
      <c r="O512" s="268" t="s">
        <v>267</v>
      </c>
      <c r="P512" s="269">
        <v>1</v>
      </c>
      <c r="Q512" s="270">
        <v>2500000000</v>
      </c>
      <c r="R512" s="270">
        <v>2500000000</v>
      </c>
      <c r="S512" s="271" t="s">
        <v>222</v>
      </c>
      <c r="T512" s="269">
        <v>0</v>
      </c>
      <c r="U512" s="186" t="s">
        <v>37</v>
      </c>
      <c r="V512" s="269" t="s">
        <v>39</v>
      </c>
      <c r="W512" s="269" t="s">
        <v>38</v>
      </c>
      <c r="X512" s="265" t="s">
        <v>151</v>
      </c>
      <c r="Y512" s="257">
        <v>2427401</v>
      </c>
      <c r="Z512" s="272" t="s">
        <v>152</v>
      </c>
      <c r="AA512" s="248"/>
      <c r="AB512" s="248"/>
      <c r="AC512" s="248"/>
      <c r="AD512" s="248"/>
      <c r="AE512" s="248"/>
      <c r="AF512" s="248"/>
      <c r="AG512" s="248"/>
      <c r="AH512" s="248"/>
      <c r="AI512" s="248"/>
      <c r="AJ512" s="248"/>
      <c r="AK512" s="248"/>
      <c r="AL512" s="248"/>
      <c r="AM512" s="248"/>
      <c r="AN512" s="248"/>
      <c r="AO512" s="248"/>
      <c r="AP512" s="248"/>
      <c r="AQ512" s="248"/>
      <c r="AR512" s="248"/>
      <c r="AS512" s="248"/>
      <c r="AT512" s="248"/>
      <c r="AU512" s="152"/>
      <c r="AV512" s="152"/>
      <c r="AW512" s="152"/>
      <c r="AX512" s="152"/>
      <c r="AY512" s="152"/>
      <c r="AZ512" s="152"/>
      <c r="BA512" s="152"/>
      <c r="BB512" s="152"/>
      <c r="BC512" s="152"/>
      <c r="BD512" s="152"/>
      <c r="BE512" s="152"/>
      <c r="BF512" s="152"/>
      <c r="BG512" s="152"/>
      <c r="BH512" s="152"/>
      <c r="BI512" s="152"/>
      <c r="BJ512" s="152"/>
      <c r="BK512" s="252"/>
    </row>
    <row r="513" spans="1:85" s="250" customFormat="1" ht="13.9" customHeight="1" x14ac:dyDescent="0.2">
      <c r="A513" s="251" t="s">
        <v>162</v>
      </c>
      <c r="B513" s="147">
        <v>1</v>
      </c>
      <c r="C513" s="244" t="s">
        <v>163</v>
      </c>
      <c r="D513" s="154" t="s">
        <v>164</v>
      </c>
      <c r="E513" s="155"/>
      <c r="F513" s="155">
        <v>70103318</v>
      </c>
      <c r="G513" s="155"/>
      <c r="H513" s="154">
        <v>91111703</v>
      </c>
      <c r="I513" s="244" t="s">
        <v>535</v>
      </c>
      <c r="J513" s="147">
        <v>3</v>
      </c>
      <c r="K513" s="147">
        <v>3</v>
      </c>
      <c r="L513" s="147">
        <v>9</v>
      </c>
      <c r="M513" s="132">
        <f t="shared" si="84"/>
        <v>1</v>
      </c>
      <c r="N513" s="140" t="s">
        <v>53</v>
      </c>
      <c r="O513" s="141" t="s">
        <v>54</v>
      </c>
      <c r="P513" s="245">
        <v>1</v>
      </c>
      <c r="Q513" s="143">
        <f t="shared" si="85"/>
        <v>70103318</v>
      </c>
      <c r="R513" s="143">
        <f t="shared" si="86"/>
        <v>70103318</v>
      </c>
      <c r="S513" s="246" t="s">
        <v>222</v>
      </c>
      <c r="T513" s="245">
        <f t="shared" si="93"/>
        <v>0</v>
      </c>
      <c r="U513" s="145" t="str">
        <f t="shared" si="87"/>
        <v>SUBDIRECCION DE GESTION CONTRACTUAL</v>
      </c>
      <c r="V513" s="245" t="s">
        <v>39</v>
      </c>
      <c r="W513" s="245" t="s">
        <v>38</v>
      </c>
      <c r="X513" s="154" t="s">
        <v>536</v>
      </c>
      <c r="Y513" s="147">
        <v>2427400</v>
      </c>
      <c r="Z513" s="157" t="s">
        <v>537</v>
      </c>
      <c r="AA513" s="248"/>
      <c r="AB513" s="248"/>
      <c r="AC513" s="248"/>
      <c r="AD513" s="248"/>
      <c r="AE513" s="248"/>
      <c r="AF513" s="248"/>
      <c r="AG513" s="248"/>
      <c r="AH513" s="248"/>
      <c r="AI513" s="248"/>
      <c r="AJ513" s="248"/>
      <c r="AK513" s="248"/>
      <c r="AL513" s="248"/>
      <c r="AM513" s="248"/>
      <c r="AN513" s="248"/>
      <c r="AO513" s="248"/>
      <c r="AP513" s="248"/>
      <c r="AQ513" s="248"/>
      <c r="AR513" s="248"/>
      <c r="AS513" s="248"/>
      <c r="AT513" s="248"/>
      <c r="AU513" s="152"/>
      <c r="AV513" s="152"/>
      <c r="AW513" s="152"/>
      <c r="AX513" s="152"/>
      <c r="AY513" s="152"/>
      <c r="AZ513" s="152"/>
      <c r="BA513" s="152"/>
      <c r="BB513" s="152"/>
      <c r="BC513" s="152"/>
      <c r="BD513" s="152"/>
      <c r="BE513" s="152"/>
      <c r="BF513" s="152"/>
      <c r="BG513" s="152"/>
      <c r="BH513" s="152"/>
      <c r="BI513" s="152"/>
      <c r="BJ513" s="152"/>
      <c r="BK513" s="152"/>
      <c r="BL513" s="152"/>
      <c r="BM513" s="152"/>
      <c r="BN513" s="152"/>
      <c r="BO513" s="152"/>
      <c r="BP513" s="152"/>
      <c r="BQ513" s="152"/>
      <c r="BR513" s="152"/>
      <c r="BS513" s="152"/>
      <c r="BT513" s="152"/>
      <c r="BU513" s="152"/>
      <c r="BV513" s="152"/>
      <c r="BW513" s="152"/>
      <c r="BX513" s="152"/>
      <c r="BY513" s="152"/>
      <c r="BZ513" s="152"/>
      <c r="CA513" s="152"/>
      <c r="CB513" s="152"/>
      <c r="CC513" s="152"/>
      <c r="CD513" s="152"/>
      <c r="CE513" s="152"/>
      <c r="CF513" s="152"/>
      <c r="CG513" s="252"/>
    </row>
    <row r="514" spans="1:85" s="250" customFormat="1" ht="13.9" customHeight="1" x14ac:dyDescent="0.2">
      <c r="A514" s="251" t="s">
        <v>162</v>
      </c>
      <c r="B514" s="147">
        <v>2</v>
      </c>
      <c r="C514" s="244" t="s">
        <v>163</v>
      </c>
      <c r="D514" s="154" t="s">
        <v>164</v>
      </c>
      <c r="E514" s="155"/>
      <c r="F514" s="155">
        <v>40392945</v>
      </c>
      <c r="G514" s="155"/>
      <c r="H514" s="154">
        <v>91111703</v>
      </c>
      <c r="I514" s="244" t="s">
        <v>538</v>
      </c>
      <c r="J514" s="147">
        <v>2</v>
      </c>
      <c r="K514" s="147">
        <v>2</v>
      </c>
      <c r="L514" s="147">
        <v>2</v>
      </c>
      <c r="M514" s="132">
        <f t="shared" si="84"/>
        <v>1</v>
      </c>
      <c r="N514" s="140" t="s">
        <v>53</v>
      </c>
      <c r="O514" s="141" t="s">
        <v>54</v>
      </c>
      <c r="P514" s="245">
        <v>1</v>
      </c>
      <c r="Q514" s="143">
        <f t="shared" si="85"/>
        <v>40392945</v>
      </c>
      <c r="R514" s="143">
        <f t="shared" si="86"/>
        <v>40392945</v>
      </c>
      <c r="S514" s="246" t="s">
        <v>222</v>
      </c>
      <c r="T514" s="245">
        <f t="shared" si="93"/>
        <v>0</v>
      </c>
      <c r="U514" s="145" t="str">
        <f t="shared" si="87"/>
        <v>SUBDIRECCION DE GESTION CONTRACTUAL</v>
      </c>
      <c r="V514" s="245" t="s">
        <v>39</v>
      </c>
      <c r="W514" s="245" t="s">
        <v>38</v>
      </c>
      <c r="X514" s="154" t="s">
        <v>536</v>
      </c>
      <c r="Y514" s="147">
        <v>2427400</v>
      </c>
      <c r="Z514" s="157" t="s">
        <v>537</v>
      </c>
      <c r="AA514" s="248"/>
      <c r="AB514" s="248"/>
      <c r="AC514" s="248"/>
      <c r="AD514" s="248"/>
      <c r="AE514" s="248"/>
      <c r="AF514" s="248"/>
      <c r="AG514" s="248"/>
      <c r="AH514" s="248"/>
      <c r="AI514" s="248"/>
      <c r="AJ514" s="248"/>
      <c r="AK514" s="248"/>
      <c r="AL514" s="248"/>
      <c r="AM514" s="248"/>
      <c r="AN514" s="248"/>
      <c r="AO514" s="248"/>
      <c r="AP514" s="248"/>
      <c r="AQ514" s="248"/>
      <c r="AR514" s="248"/>
      <c r="AS514" s="248"/>
      <c r="AT514" s="248"/>
      <c r="AU514" s="152"/>
      <c r="AV514" s="152"/>
      <c r="AW514" s="152"/>
      <c r="AX514" s="152"/>
      <c r="AY514" s="152"/>
      <c r="AZ514" s="152"/>
      <c r="BA514" s="152"/>
      <c r="BB514" s="152"/>
      <c r="BC514" s="152"/>
      <c r="BD514" s="152"/>
      <c r="BE514" s="152"/>
      <c r="BF514" s="152"/>
      <c r="BG514" s="152"/>
      <c r="BH514" s="152"/>
      <c r="BI514" s="152"/>
      <c r="BJ514" s="152"/>
      <c r="BK514" s="152"/>
      <c r="BL514" s="152"/>
      <c r="BM514" s="152"/>
      <c r="BN514" s="152"/>
      <c r="BO514" s="152"/>
      <c r="BP514" s="152"/>
      <c r="BQ514" s="152"/>
      <c r="BR514" s="152"/>
      <c r="BS514" s="152"/>
      <c r="BT514" s="152"/>
      <c r="BU514" s="152"/>
      <c r="BV514" s="152"/>
      <c r="BW514" s="152"/>
      <c r="BX514" s="152"/>
      <c r="BY514" s="152"/>
      <c r="BZ514" s="152"/>
      <c r="CA514" s="152"/>
      <c r="CB514" s="152"/>
      <c r="CC514" s="152"/>
      <c r="CD514" s="152"/>
      <c r="CE514" s="152"/>
      <c r="CF514" s="152"/>
      <c r="CG514" s="252"/>
    </row>
    <row r="515" spans="1:85" s="250" customFormat="1" ht="13.9" customHeight="1" x14ac:dyDescent="0.2">
      <c r="A515" s="251" t="s">
        <v>162</v>
      </c>
      <c r="B515" s="147">
        <v>3</v>
      </c>
      <c r="C515" s="244" t="s">
        <v>165</v>
      </c>
      <c r="D515" s="154" t="s">
        <v>539</v>
      </c>
      <c r="E515" s="155"/>
      <c r="F515" s="155">
        <v>27037500</v>
      </c>
      <c r="G515" s="155"/>
      <c r="H515" s="154">
        <v>85122201</v>
      </c>
      <c r="I515" s="244" t="s">
        <v>540</v>
      </c>
      <c r="J515" s="147">
        <v>2</v>
      </c>
      <c r="K515" s="147">
        <v>2</v>
      </c>
      <c r="L515" s="147">
        <v>10</v>
      </c>
      <c r="M515" s="132">
        <f t="shared" si="84"/>
        <v>1</v>
      </c>
      <c r="N515" s="140" t="s">
        <v>48</v>
      </c>
      <c r="O515" s="141" t="s">
        <v>49</v>
      </c>
      <c r="P515" s="245">
        <v>1</v>
      </c>
      <c r="Q515" s="143">
        <f t="shared" si="85"/>
        <v>27037500</v>
      </c>
      <c r="R515" s="143">
        <f t="shared" si="86"/>
        <v>27037500</v>
      </c>
      <c r="S515" s="246" t="s">
        <v>222</v>
      </c>
      <c r="T515" s="245">
        <f t="shared" si="93"/>
        <v>0</v>
      </c>
      <c r="U515" s="145" t="str">
        <f t="shared" si="87"/>
        <v>SUBDIRECCION DE GESTION CONTRACTUAL</v>
      </c>
      <c r="V515" s="245" t="s">
        <v>39</v>
      </c>
      <c r="W515" s="245" t="s">
        <v>38</v>
      </c>
      <c r="X515" s="154" t="s">
        <v>627</v>
      </c>
      <c r="Y515" s="147">
        <v>2427400</v>
      </c>
      <c r="Z515" s="157" t="s">
        <v>168</v>
      </c>
      <c r="AA515" s="248"/>
      <c r="AB515" s="248"/>
      <c r="AC515" s="248"/>
      <c r="AD515" s="248"/>
      <c r="AE515" s="248"/>
      <c r="AF515" s="248"/>
      <c r="AG515" s="248"/>
      <c r="AH515" s="248"/>
      <c r="AI515" s="248"/>
      <c r="AJ515" s="248"/>
      <c r="AK515" s="248"/>
      <c r="AL515" s="248"/>
      <c r="AM515" s="248"/>
      <c r="AN515" s="248"/>
      <c r="AO515" s="248"/>
      <c r="AP515" s="248"/>
      <c r="AQ515" s="248"/>
      <c r="AR515" s="248"/>
      <c r="AS515" s="248"/>
      <c r="AT515" s="248"/>
      <c r="AU515" s="152"/>
      <c r="AV515" s="152"/>
      <c r="AW515" s="152"/>
      <c r="AX515" s="152"/>
      <c r="AY515" s="152"/>
      <c r="AZ515" s="152"/>
      <c r="BA515" s="152"/>
      <c r="BB515" s="152"/>
      <c r="BC515" s="152"/>
      <c r="BD515" s="152"/>
      <c r="BE515" s="152"/>
      <c r="BF515" s="152"/>
      <c r="BG515" s="152"/>
      <c r="BH515" s="152"/>
      <c r="BI515" s="152"/>
      <c r="BJ515" s="152"/>
      <c r="BK515" s="152"/>
      <c r="BL515" s="152"/>
      <c r="BM515" s="152"/>
      <c r="BN515" s="152"/>
      <c r="BO515" s="152"/>
      <c r="BP515" s="152"/>
      <c r="BQ515" s="152"/>
      <c r="BR515" s="152"/>
      <c r="BS515" s="152"/>
      <c r="BT515" s="152"/>
      <c r="BU515" s="152"/>
      <c r="BV515" s="152"/>
      <c r="BW515" s="152"/>
      <c r="BX515" s="152"/>
      <c r="BY515" s="152"/>
      <c r="BZ515" s="152"/>
      <c r="CA515" s="152"/>
      <c r="CB515" s="152"/>
      <c r="CC515" s="152"/>
      <c r="CD515" s="152"/>
      <c r="CE515" s="152"/>
      <c r="CF515" s="152"/>
      <c r="CG515" s="252"/>
    </row>
    <row r="516" spans="1:85" s="250" customFormat="1" ht="13.9" customHeight="1" x14ac:dyDescent="0.2">
      <c r="A516" s="251" t="s">
        <v>162</v>
      </c>
      <c r="B516" s="147">
        <v>4</v>
      </c>
      <c r="C516" s="244" t="s">
        <v>165</v>
      </c>
      <c r="D516" s="154" t="s">
        <v>539</v>
      </c>
      <c r="E516" s="155"/>
      <c r="F516" s="155">
        <v>79924680</v>
      </c>
      <c r="G516" s="155"/>
      <c r="H516" s="154">
        <v>85122201</v>
      </c>
      <c r="I516" s="244" t="s">
        <v>541</v>
      </c>
      <c r="J516" s="147">
        <v>3</v>
      </c>
      <c r="K516" s="147">
        <v>3</v>
      </c>
      <c r="L516" s="147">
        <v>5</v>
      </c>
      <c r="M516" s="132">
        <f t="shared" si="84"/>
        <v>1</v>
      </c>
      <c r="N516" s="140" t="s">
        <v>216</v>
      </c>
      <c r="O516" s="141" t="s">
        <v>275</v>
      </c>
      <c r="P516" s="245">
        <v>1</v>
      </c>
      <c r="Q516" s="143">
        <f t="shared" si="85"/>
        <v>79924680</v>
      </c>
      <c r="R516" s="143">
        <f t="shared" si="86"/>
        <v>79924680</v>
      </c>
      <c r="S516" s="246" t="s">
        <v>222</v>
      </c>
      <c r="T516" s="245">
        <f t="shared" si="93"/>
        <v>0</v>
      </c>
      <c r="U516" s="145" t="str">
        <f t="shared" si="87"/>
        <v>SUBDIRECCION DE GESTION CONTRACTUAL</v>
      </c>
      <c r="V516" s="245" t="s">
        <v>39</v>
      </c>
      <c r="W516" s="245" t="s">
        <v>38</v>
      </c>
      <c r="X516" s="154" t="s">
        <v>627</v>
      </c>
      <c r="Y516" s="147">
        <v>2427400</v>
      </c>
      <c r="Z516" s="157" t="s">
        <v>168</v>
      </c>
      <c r="AA516" s="248"/>
      <c r="AB516" s="248"/>
      <c r="AC516" s="248"/>
      <c r="AD516" s="248"/>
      <c r="AE516" s="248"/>
      <c r="AF516" s="248"/>
      <c r="AG516" s="248"/>
      <c r="AH516" s="248"/>
      <c r="AI516" s="248"/>
      <c r="AJ516" s="248"/>
      <c r="AK516" s="248"/>
      <c r="AL516" s="248"/>
      <c r="AM516" s="248"/>
      <c r="AN516" s="248"/>
      <c r="AO516" s="248"/>
      <c r="AP516" s="248"/>
      <c r="AQ516" s="248"/>
      <c r="AR516" s="248"/>
      <c r="AS516" s="248"/>
      <c r="AT516" s="248"/>
      <c r="AU516" s="152"/>
      <c r="AV516" s="152"/>
      <c r="AW516" s="152"/>
      <c r="AX516" s="152"/>
      <c r="AY516" s="152"/>
      <c r="AZ516" s="152"/>
      <c r="BA516" s="152"/>
      <c r="BB516" s="152"/>
      <c r="BC516" s="152"/>
      <c r="BD516" s="152"/>
      <c r="BE516" s="152"/>
      <c r="BF516" s="152"/>
      <c r="BG516" s="152"/>
      <c r="BH516" s="152"/>
      <c r="BI516" s="152"/>
      <c r="BJ516" s="152"/>
      <c r="BK516" s="152"/>
      <c r="BL516" s="152"/>
      <c r="BM516" s="152"/>
      <c r="BN516" s="152"/>
      <c r="BO516" s="152"/>
      <c r="BP516" s="152"/>
      <c r="BQ516" s="152"/>
      <c r="BR516" s="152"/>
      <c r="BS516" s="152"/>
      <c r="BT516" s="152"/>
      <c r="BU516" s="152"/>
      <c r="BV516" s="152"/>
      <c r="BW516" s="152"/>
      <c r="BX516" s="152"/>
      <c r="BY516" s="152"/>
      <c r="BZ516" s="152"/>
      <c r="CA516" s="152"/>
      <c r="CB516" s="152"/>
      <c r="CC516" s="152"/>
      <c r="CD516" s="152"/>
      <c r="CE516" s="152"/>
      <c r="CF516" s="152"/>
      <c r="CG516" s="252"/>
    </row>
    <row r="517" spans="1:85" s="250" customFormat="1" ht="13.9" customHeight="1" x14ac:dyDescent="0.2">
      <c r="A517" s="251" t="s">
        <v>162</v>
      </c>
      <c r="B517" s="147">
        <v>5</v>
      </c>
      <c r="C517" s="244" t="s">
        <v>165</v>
      </c>
      <c r="D517" s="154" t="s">
        <v>539</v>
      </c>
      <c r="E517" s="155"/>
      <c r="F517" s="155">
        <v>10500000</v>
      </c>
      <c r="G517" s="155"/>
      <c r="H517" s="154">
        <v>42172001</v>
      </c>
      <c r="I517" s="244" t="s">
        <v>542</v>
      </c>
      <c r="J517" s="147">
        <v>4</v>
      </c>
      <c r="K517" s="147">
        <v>4</v>
      </c>
      <c r="L517" s="147">
        <v>2</v>
      </c>
      <c r="M517" s="132">
        <f t="shared" si="84"/>
        <v>1</v>
      </c>
      <c r="N517" s="140" t="s">
        <v>48</v>
      </c>
      <c r="O517" s="141" t="s">
        <v>49</v>
      </c>
      <c r="P517" s="245">
        <v>1</v>
      </c>
      <c r="Q517" s="143">
        <f t="shared" si="85"/>
        <v>10500000</v>
      </c>
      <c r="R517" s="143">
        <f t="shared" si="86"/>
        <v>10500000</v>
      </c>
      <c r="S517" s="246" t="s">
        <v>222</v>
      </c>
      <c r="T517" s="245">
        <f t="shared" si="93"/>
        <v>0</v>
      </c>
      <c r="U517" s="145" t="str">
        <f t="shared" si="87"/>
        <v>SUBDIRECCION DE GESTION CONTRACTUAL</v>
      </c>
      <c r="V517" s="245" t="s">
        <v>39</v>
      </c>
      <c r="W517" s="245" t="s">
        <v>38</v>
      </c>
      <c r="X517" s="154" t="s">
        <v>627</v>
      </c>
      <c r="Y517" s="147">
        <v>2427400</v>
      </c>
      <c r="Z517" s="157" t="s">
        <v>168</v>
      </c>
      <c r="AA517" s="248"/>
      <c r="AB517" s="248"/>
      <c r="AC517" s="248"/>
      <c r="AD517" s="248"/>
      <c r="AE517" s="248"/>
      <c r="AF517" s="248"/>
      <c r="AG517" s="248"/>
      <c r="AH517" s="248"/>
      <c r="AI517" s="248"/>
      <c r="AJ517" s="248"/>
      <c r="AK517" s="248"/>
      <c r="AL517" s="248"/>
      <c r="AM517" s="248"/>
      <c r="AN517" s="248"/>
      <c r="AO517" s="248"/>
      <c r="AP517" s="248"/>
      <c r="AQ517" s="248"/>
      <c r="AR517" s="248"/>
      <c r="AS517" s="248"/>
      <c r="AT517" s="248"/>
      <c r="AU517" s="152"/>
      <c r="AV517" s="152"/>
      <c r="AW517" s="152"/>
      <c r="AX517" s="152"/>
      <c r="AY517" s="152"/>
      <c r="AZ517" s="152"/>
      <c r="BA517" s="152"/>
      <c r="BB517" s="152"/>
      <c r="BC517" s="152"/>
      <c r="BD517" s="152"/>
      <c r="BE517" s="152"/>
      <c r="BF517" s="152"/>
      <c r="BG517" s="152"/>
      <c r="BH517" s="152"/>
      <c r="BI517" s="152"/>
      <c r="BJ517" s="152"/>
      <c r="BK517" s="152"/>
      <c r="BL517" s="152"/>
      <c r="BM517" s="152"/>
      <c r="BN517" s="152"/>
      <c r="BO517" s="152"/>
      <c r="BP517" s="152"/>
      <c r="BQ517" s="152"/>
      <c r="BR517" s="152"/>
      <c r="BS517" s="152"/>
      <c r="BT517" s="152"/>
      <c r="BU517" s="152"/>
      <c r="BV517" s="152"/>
      <c r="BW517" s="152"/>
      <c r="BX517" s="152"/>
      <c r="BY517" s="152"/>
      <c r="BZ517" s="152"/>
      <c r="CA517" s="152"/>
      <c r="CB517" s="152"/>
      <c r="CC517" s="152"/>
      <c r="CD517" s="152"/>
      <c r="CE517" s="152"/>
      <c r="CF517" s="152"/>
      <c r="CG517" s="252"/>
    </row>
    <row r="518" spans="1:85" s="250" customFormat="1" ht="13.9" customHeight="1" x14ac:dyDescent="0.2">
      <c r="A518" s="251" t="s">
        <v>162</v>
      </c>
      <c r="B518" s="147">
        <v>6</v>
      </c>
      <c r="C518" s="244" t="s">
        <v>165</v>
      </c>
      <c r="D518" s="154" t="s">
        <v>539</v>
      </c>
      <c r="E518" s="155"/>
      <c r="F518" s="155">
        <v>20000000</v>
      </c>
      <c r="G518" s="155"/>
      <c r="H518" s="154">
        <v>46182205</v>
      </c>
      <c r="I518" s="244" t="s">
        <v>543</v>
      </c>
      <c r="J518" s="147">
        <v>5</v>
      </c>
      <c r="K518" s="147">
        <v>5</v>
      </c>
      <c r="L518" s="147">
        <v>3</v>
      </c>
      <c r="M518" s="132">
        <f t="shared" si="84"/>
        <v>1</v>
      </c>
      <c r="N518" s="140" t="s">
        <v>48</v>
      </c>
      <c r="O518" s="141" t="s">
        <v>49</v>
      </c>
      <c r="P518" s="245">
        <v>1</v>
      </c>
      <c r="Q518" s="143">
        <f t="shared" si="85"/>
        <v>20000000</v>
      </c>
      <c r="R518" s="143">
        <f t="shared" si="86"/>
        <v>20000000</v>
      </c>
      <c r="S518" s="246" t="s">
        <v>222</v>
      </c>
      <c r="T518" s="245">
        <f t="shared" si="93"/>
        <v>0</v>
      </c>
      <c r="U518" s="145" t="str">
        <f t="shared" si="87"/>
        <v>SUBDIRECCION DE GESTION CONTRACTUAL</v>
      </c>
      <c r="V518" s="245" t="s">
        <v>39</v>
      </c>
      <c r="W518" s="245" t="s">
        <v>38</v>
      </c>
      <c r="X518" s="154" t="s">
        <v>627</v>
      </c>
      <c r="Y518" s="147">
        <v>2427400</v>
      </c>
      <c r="Z518" s="157" t="s">
        <v>168</v>
      </c>
      <c r="AA518" s="248"/>
      <c r="AB518" s="248"/>
      <c r="AC518" s="248"/>
      <c r="AD518" s="248"/>
      <c r="AE518" s="248"/>
      <c r="AF518" s="248"/>
      <c r="AG518" s="248"/>
      <c r="AH518" s="248"/>
      <c r="AI518" s="248"/>
      <c r="AJ518" s="248"/>
      <c r="AK518" s="248"/>
      <c r="AL518" s="248"/>
      <c r="AM518" s="248"/>
      <c r="AN518" s="248"/>
      <c r="AO518" s="248"/>
      <c r="AP518" s="248"/>
      <c r="AQ518" s="248"/>
      <c r="AR518" s="248"/>
      <c r="AS518" s="248"/>
      <c r="AT518" s="248"/>
      <c r="AU518" s="152"/>
      <c r="AV518" s="152"/>
      <c r="AW518" s="152"/>
      <c r="AX518" s="152"/>
      <c r="AY518" s="152"/>
      <c r="AZ518" s="152"/>
      <c r="BA518" s="152"/>
      <c r="BB518" s="152"/>
      <c r="BC518" s="152"/>
      <c r="BD518" s="152"/>
      <c r="BE518" s="152"/>
      <c r="BF518" s="152"/>
      <c r="BG518" s="152"/>
      <c r="BH518" s="152"/>
      <c r="BI518" s="152"/>
      <c r="BJ518" s="152"/>
      <c r="BK518" s="152"/>
      <c r="BL518" s="152"/>
      <c r="BM518" s="152"/>
      <c r="BN518" s="152"/>
      <c r="BO518" s="152"/>
      <c r="BP518" s="152"/>
      <c r="BQ518" s="152"/>
      <c r="BR518" s="152"/>
      <c r="BS518" s="152"/>
      <c r="BT518" s="152"/>
      <c r="BU518" s="152"/>
      <c r="BV518" s="152"/>
      <c r="BW518" s="152"/>
      <c r="BX518" s="152"/>
      <c r="BY518" s="152"/>
      <c r="BZ518" s="152"/>
      <c r="CA518" s="152"/>
      <c r="CB518" s="152"/>
      <c r="CC518" s="152"/>
      <c r="CD518" s="152"/>
      <c r="CE518" s="152"/>
      <c r="CF518" s="152"/>
      <c r="CG518" s="252"/>
    </row>
    <row r="519" spans="1:85" s="250" customFormat="1" ht="13.9" customHeight="1" x14ac:dyDescent="0.2">
      <c r="A519" s="251" t="s">
        <v>162</v>
      </c>
      <c r="B519" s="147">
        <v>7</v>
      </c>
      <c r="C519" s="244" t="s">
        <v>165</v>
      </c>
      <c r="D519" s="154" t="s">
        <v>539</v>
      </c>
      <c r="E519" s="155"/>
      <c r="F519" s="155">
        <v>10300000</v>
      </c>
      <c r="G519" s="155"/>
      <c r="H519" s="154">
        <v>84111600</v>
      </c>
      <c r="I519" s="244" t="s">
        <v>544</v>
      </c>
      <c r="J519" s="147">
        <v>7</v>
      </c>
      <c r="K519" s="147">
        <v>7</v>
      </c>
      <c r="L519" s="147">
        <v>4</v>
      </c>
      <c r="M519" s="132">
        <f t="shared" si="84"/>
        <v>1</v>
      </c>
      <c r="N519" s="140" t="s">
        <v>48</v>
      </c>
      <c r="O519" s="141" t="s">
        <v>49</v>
      </c>
      <c r="P519" s="245">
        <v>1</v>
      </c>
      <c r="Q519" s="143">
        <f t="shared" si="85"/>
        <v>10300000</v>
      </c>
      <c r="R519" s="143">
        <f t="shared" si="86"/>
        <v>10300000</v>
      </c>
      <c r="S519" s="246" t="s">
        <v>222</v>
      </c>
      <c r="T519" s="245">
        <f t="shared" si="93"/>
        <v>0</v>
      </c>
      <c r="U519" s="145" t="str">
        <f t="shared" si="87"/>
        <v>SUBDIRECCION DE GESTION CONTRACTUAL</v>
      </c>
      <c r="V519" s="245" t="s">
        <v>39</v>
      </c>
      <c r="W519" s="245" t="s">
        <v>38</v>
      </c>
      <c r="X519" s="154" t="s">
        <v>627</v>
      </c>
      <c r="Y519" s="147">
        <v>2427400</v>
      </c>
      <c r="Z519" s="157" t="s">
        <v>168</v>
      </c>
      <c r="AA519" s="248"/>
      <c r="AB519" s="248"/>
      <c r="AC519" s="248"/>
      <c r="AD519" s="248"/>
      <c r="AE519" s="248"/>
      <c r="AF519" s="248"/>
      <c r="AG519" s="248"/>
      <c r="AH519" s="248"/>
      <c r="AI519" s="248"/>
      <c r="AJ519" s="248"/>
      <c r="AK519" s="248"/>
      <c r="AL519" s="248"/>
      <c r="AM519" s="248"/>
      <c r="AN519" s="248"/>
      <c r="AO519" s="248"/>
      <c r="AP519" s="248"/>
      <c r="AQ519" s="248"/>
      <c r="AR519" s="248"/>
      <c r="AS519" s="248"/>
      <c r="AT519" s="248"/>
      <c r="AU519" s="152"/>
      <c r="AV519" s="152"/>
      <c r="AW519" s="152"/>
      <c r="AX519" s="152"/>
      <c r="AY519" s="152"/>
      <c r="AZ519" s="152"/>
      <c r="BA519" s="152"/>
      <c r="BB519" s="152"/>
      <c r="BC519" s="152"/>
      <c r="BD519" s="152"/>
      <c r="BE519" s="152"/>
      <c r="BF519" s="152"/>
      <c r="BG519" s="152"/>
      <c r="BH519" s="152"/>
      <c r="BI519" s="152"/>
      <c r="BJ519" s="152"/>
      <c r="BK519" s="152"/>
      <c r="BL519" s="152"/>
      <c r="BM519" s="152"/>
      <c r="BN519" s="152"/>
      <c r="BO519" s="152"/>
      <c r="BP519" s="152"/>
      <c r="BQ519" s="152"/>
      <c r="BR519" s="152"/>
      <c r="BS519" s="152"/>
      <c r="BT519" s="152"/>
      <c r="BU519" s="152"/>
      <c r="BV519" s="152"/>
      <c r="BW519" s="152"/>
      <c r="BX519" s="152"/>
      <c r="BY519" s="152"/>
      <c r="BZ519" s="152"/>
      <c r="CA519" s="152"/>
      <c r="CB519" s="152"/>
      <c r="CC519" s="152"/>
      <c r="CD519" s="152"/>
      <c r="CE519" s="152"/>
      <c r="CF519" s="152"/>
      <c r="CG519" s="252"/>
    </row>
    <row r="520" spans="1:85" s="250" customFormat="1" ht="13.9" customHeight="1" x14ac:dyDescent="0.2">
      <c r="A520" s="251" t="s">
        <v>162</v>
      </c>
      <c r="B520" s="147">
        <v>8</v>
      </c>
      <c r="C520" s="244" t="s">
        <v>165</v>
      </c>
      <c r="D520" s="154" t="s">
        <v>539</v>
      </c>
      <c r="E520" s="155"/>
      <c r="F520" s="155">
        <v>13800700</v>
      </c>
      <c r="G520" s="155"/>
      <c r="H520" s="154">
        <v>85161502</v>
      </c>
      <c r="I520" s="244" t="s">
        <v>545</v>
      </c>
      <c r="J520" s="147">
        <v>3</v>
      </c>
      <c r="K520" s="147">
        <v>3</v>
      </c>
      <c r="L520" s="147">
        <v>3</v>
      </c>
      <c r="M520" s="132">
        <f t="shared" si="84"/>
        <v>1</v>
      </c>
      <c r="N520" s="140" t="s">
        <v>48</v>
      </c>
      <c r="O520" s="141" t="s">
        <v>49</v>
      </c>
      <c r="P520" s="245">
        <v>1</v>
      </c>
      <c r="Q520" s="143">
        <f t="shared" si="85"/>
        <v>13800700</v>
      </c>
      <c r="R520" s="143">
        <f t="shared" si="86"/>
        <v>13800700</v>
      </c>
      <c r="S520" s="246" t="s">
        <v>222</v>
      </c>
      <c r="T520" s="245">
        <f t="shared" si="93"/>
        <v>0</v>
      </c>
      <c r="U520" s="145" t="str">
        <f t="shared" si="87"/>
        <v>SUBDIRECCION DE GESTION CONTRACTUAL</v>
      </c>
      <c r="V520" s="245" t="s">
        <v>39</v>
      </c>
      <c r="W520" s="245" t="s">
        <v>38</v>
      </c>
      <c r="X520" s="154" t="s">
        <v>627</v>
      </c>
      <c r="Y520" s="147">
        <v>2427400</v>
      </c>
      <c r="Z520" s="157" t="s">
        <v>168</v>
      </c>
      <c r="AA520" s="248"/>
      <c r="AB520" s="248"/>
      <c r="AC520" s="248"/>
      <c r="AD520" s="248"/>
      <c r="AE520" s="248"/>
      <c r="AF520" s="248"/>
      <c r="AG520" s="248"/>
      <c r="AH520" s="248"/>
      <c r="AI520" s="248"/>
      <c r="AJ520" s="248"/>
      <c r="AK520" s="248"/>
      <c r="AL520" s="248"/>
      <c r="AM520" s="248"/>
      <c r="AN520" s="248"/>
      <c r="AO520" s="248"/>
      <c r="AP520" s="248"/>
      <c r="AQ520" s="248"/>
      <c r="AR520" s="248"/>
      <c r="AS520" s="248"/>
      <c r="AT520" s="248"/>
      <c r="AU520" s="152"/>
      <c r="AV520" s="152"/>
      <c r="AW520" s="152"/>
      <c r="AX520" s="152"/>
      <c r="AY520" s="152"/>
      <c r="AZ520" s="152"/>
      <c r="BA520" s="152"/>
      <c r="BB520" s="152"/>
      <c r="BC520" s="152"/>
      <c r="BD520" s="152"/>
      <c r="BE520" s="152"/>
      <c r="BF520" s="152"/>
      <c r="BG520" s="152"/>
      <c r="BH520" s="152"/>
      <c r="BI520" s="152"/>
      <c r="BJ520" s="152"/>
      <c r="BK520" s="152"/>
      <c r="BL520" s="152"/>
      <c r="BM520" s="152"/>
      <c r="BN520" s="152"/>
      <c r="BO520" s="152"/>
      <c r="BP520" s="152"/>
      <c r="BQ520" s="152"/>
      <c r="BR520" s="152"/>
      <c r="BS520" s="152"/>
      <c r="BT520" s="152"/>
      <c r="BU520" s="152"/>
      <c r="BV520" s="152"/>
      <c r="BW520" s="152"/>
      <c r="BX520" s="152"/>
      <c r="BY520" s="152"/>
      <c r="BZ520" s="152"/>
      <c r="CA520" s="152"/>
      <c r="CB520" s="152"/>
      <c r="CC520" s="152"/>
      <c r="CD520" s="152"/>
      <c r="CE520" s="152"/>
      <c r="CF520" s="152"/>
      <c r="CG520" s="252"/>
    </row>
    <row r="521" spans="1:85" s="250" customFormat="1" ht="13.9" customHeight="1" x14ac:dyDescent="0.2">
      <c r="A521" s="251" t="s">
        <v>162</v>
      </c>
      <c r="B521" s="147">
        <v>9</v>
      </c>
      <c r="C521" s="244" t="s">
        <v>165</v>
      </c>
      <c r="D521" s="154" t="s">
        <v>539</v>
      </c>
      <c r="E521" s="155"/>
      <c r="F521" s="155">
        <v>13000000</v>
      </c>
      <c r="G521" s="155"/>
      <c r="H521" s="154">
        <v>85122201</v>
      </c>
      <c r="I521" s="244" t="s">
        <v>546</v>
      </c>
      <c r="J521" s="147">
        <v>6</v>
      </c>
      <c r="K521" s="147">
        <v>6</v>
      </c>
      <c r="L521" s="147">
        <v>5</v>
      </c>
      <c r="M521" s="132">
        <f t="shared" si="84"/>
        <v>1</v>
      </c>
      <c r="N521" s="140" t="s">
        <v>48</v>
      </c>
      <c r="O521" s="141" t="s">
        <v>49</v>
      </c>
      <c r="P521" s="245">
        <v>1</v>
      </c>
      <c r="Q521" s="143">
        <f t="shared" si="85"/>
        <v>13000000</v>
      </c>
      <c r="R521" s="143">
        <f t="shared" si="86"/>
        <v>13000000</v>
      </c>
      <c r="S521" s="246" t="s">
        <v>222</v>
      </c>
      <c r="T521" s="245">
        <f t="shared" si="93"/>
        <v>0</v>
      </c>
      <c r="U521" s="145" t="str">
        <f t="shared" si="87"/>
        <v>SUBDIRECCION DE GESTION CONTRACTUAL</v>
      </c>
      <c r="V521" s="245" t="s">
        <v>39</v>
      </c>
      <c r="W521" s="245" t="s">
        <v>38</v>
      </c>
      <c r="X521" s="154" t="s">
        <v>627</v>
      </c>
      <c r="Y521" s="147">
        <v>2427400</v>
      </c>
      <c r="Z521" s="157" t="s">
        <v>168</v>
      </c>
      <c r="AA521" s="248"/>
      <c r="AB521" s="248"/>
      <c r="AC521" s="248"/>
      <c r="AD521" s="248"/>
      <c r="AE521" s="248"/>
      <c r="AF521" s="248"/>
      <c r="AG521" s="248"/>
      <c r="AH521" s="248"/>
      <c r="AI521" s="248"/>
      <c r="AJ521" s="248"/>
      <c r="AK521" s="248"/>
      <c r="AL521" s="248"/>
      <c r="AM521" s="248"/>
      <c r="AN521" s="248"/>
      <c r="AO521" s="248"/>
      <c r="AP521" s="248"/>
      <c r="AQ521" s="248"/>
      <c r="AR521" s="248"/>
      <c r="AS521" s="248"/>
      <c r="AT521" s="248"/>
      <c r="AU521" s="152"/>
      <c r="AV521" s="152"/>
      <c r="AW521" s="152"/>
      <c r="AX521" s="152"/>
      <c r="AY521" s="152"/>
      <c r="AZ521" s="152"/>
      <c r="BA521" s="152"/>
      <c r="BB521" s="152"/>
      <c r="BC521" s="152"/>
      <c r="BD521" s="152"/>
      <c r="BE521" s="152"/>
      <c r="BF521" s="152"/>
      <c r="BG521" s="152"/>
      <c r="BH521" s="152"/>
      <c r="BI521" s="152"/>
      <c r="BJ521" s="152"/>
      <c r="BK521" s="152"/>
      <c r="BL521" s="152"/>
      <c r="BM521" s="152"/>
      <c r="BN521" s="152"/>
      <c r="BO521" s="152"/>
      <c r="BP521" s="152"/>
      <c r="BQ521" s="152"/>
      <c r="BR521" s="152"/>
      <c r="BS521" s="152"/>
      <c r="BT521" s="152"/>
      <c r="BU521" s="152"/>
      <c r="BV521" s="152"/>
      <c r="BW521" s="152"/>
      <c r="BX521" s="152"/>
      <c r="BY521" s="152"/>
      <c r="BZ521" s="152"/>
      <c r="CA521" s="152"/>
      <c r="CB521" s="152"/>
      <c r="CC521" s="152"/>
      <c r="CD521" s="152"/>
      <c r="CE521" s="152"/>
      <c r="CF521" s="152"/>
      <c r="CG521" s="252"/>
    </row>
    <row r="522" spans="1:85" s="250" customFormat="1" ht="13.9" customHeight="1" x14ac:dyDescent="0.2">
      <c r="A522" s="251" t="s">
        <v>162</v>
      </c>
      <c r="B522" s="147">
        <v>10</v>
      </c>
      <c r="C522" s="244" t="s">
        <v>165</v>
      </c>
      <c r="D522" s="154" t="s">
        <v>166</v>
      </c>
      <c r="E522" s="155"/>
      <c r="F522" s="155">
        <v>38262898</v>
      </c>
      <c r="G522" s="155"/>
      <c r="H522" s="154">
        <v>86111604</v>
      </c>
      <c r="I522" s="244" t="s">
        <v>547</v>
      </c>
      <c r="J522" s="147">
        <v>2</v>
      </c>
      <c r="K522" s="147">
        <v>4</v>
      </c>
      <c r="L522" s="147">
        <v>8</v>
      </c>
      <c r="M522" s="132">
        <f t="shared" si="84"/>
        <v>1</v>
      </c>
      <c r="N522" s="140" t="s">
        <v>48</v>
      </c>
      <c r="O522" s="141" t="s">
        <v>49</v>
      </c>
      <c r="P522" s="245">
        <v>1</v>
      </c>
      <c r="Q522" s="143">
        <f t="shared" si="85"/>
        <v>38262898</v>
      </c>
      <c r="R522" s="143">
        <f t="shared" si="86"/>
        <v>38262898</v>
      </c>
      <c r="S522" s="246" t="s">
        <v>222</v>
      </c>
      <c r="T522" s="245">
        <f t="shared" si="93"/>
        <v>0</v>
      </c>
      <c r="U522" s="145" t="str">
        <f t="shared" si="87"/>
        <v>SUBDIRECCION DE GESTION CONTRACTUAL</v>
      </c>
      <c r="V522" s="245" t="s">
        <v>39</v>
      </c>
      <c r="W522" s="245" t="s">
        <v>38</v>
      </c>
      <c r="X522" s="154" t="s">
        <v>626</v>
      </c>
      <c r="Y522" s="147">
        <v>2427400</v>
      </c>
      <c r="Z522" s="157" t="s">
        <v>116</v>
      </c>
      <c r="AA522" s="248"/>
      <c r="AB522" s="248"/>
      <c r="AC522" s="248"/>
      <c r="AD522" s="248"/>
      <c r="AE522" s="248"/>
      <c r="AF522" s="248"/>
      <c r="AG522" s="248"/>
      <c r="AH522" s="248"/>
      <c r="AI522" s="248"/>
      <c r="AJ522" s="248"/>
      <c r="AK522" s="248"/>
      <c r="AL522" s="248"/>
      <c r="AM522" s="248"/>
      <c r="AN522" s="248"/>
      <c r="AO522" s="248"/>
      <c r="AP522" s="248"/>
      <c r="AQ522" s="248"/>
      <c r="AR522" s="248"/>
      <c r="AS522" s="248"/>
      <c r="AT522" s="248"/>
      <c r="AU522" s="152"/>
      <c r="AV522" s="152"/>
      <c r="AW522" s="152"/>
      <c r="AX522" s="152"/>
      <c r="AY522" s="152"/>
      <c r="AZ522" s="152"/>
      <c r="BA522" s="152"/>
      <c r="BB522" s="152"/>
      <c r="BC522" s="152"/>
      <c r="BD522" s="152"/>
      <c r="BE522" s="152"/>
      <c r="BF522" s="152"/>
      <c r="BG522" s="152"/>
      <c r="BH522" s="152"/>
      <c r="BI522" s="152"/>
      <c r="BJ522" s="152"/>
      <c r="BK522" s="152"/>
      <c r="BL522" s="152"/>
      <c r="BM522" s="152"/>
      <c r="BN522" s="152"/>
      <c r="BO522" s="152"/>
      <c r="BP522" s="152"/>
      <c r="BQ522" s="152"/>
      <c r="BR522" s="152"/>
      <c r="BS522" s="152"/>
      <c r="BT522" s="152"/>
      <c r="BU522" s="152"/>
      <c r="BV522" s="152"/>
      <c r="BW522" s="152"/>
      <c r="BX522" s="152"/>
      <c r="BY522" s="152"/>
      <c r="BZ522" s="152"/>
      <c r="CA522" s="152"/>
      <c r="CB522" s="152"/>
      <c r="CC522" s="152"/>
      <c r="CD522" s="152"/>
      <c r="CE522" s="152"/>
      <c r="CF522" s="152"/>
      <c r="CG522" s="252"/>
    </row>
    <row r="523" spans="1:85" s="250" customFormat="1" ht="13.9" customHeight="1" x14ac:dyDescent="0.2">
      <c r="A523" s="251" t="s">
        <v>162</v>
      </c>
      <c r="B523" s="147">
        <v>11</v>
      </c>
      <c r="C523" s="244" t="s">
        <v>165</v>
      </c>
      <c r="D523" s="154" t="s">
        <v>166</v>
      </c>
      <c r="E523" s="155"/>
      <c r="F523" s="155">
        <v>89280096</v>
      </c>
      <c r="G523" s="155"/>
      <c r="H523" s="154">
        <v>86111604</v>
      </c>
      <c r="I523" s="244" t="s">
        <v>548</v>
      </c>
      <c r="J523" s="147">
        <v>3</v>
      </c>
      <c r="K523" s="147">
        <v>4</v>
      </c>
      <c r="L523" s="147">
        <v>8</v>
      </c>
      <c r="M523" s="132">
        <f t="shared" si="84"/>
        <v>1</v>
      </c>
      <c r="N523" s="140" t="s">
        <v>36</v>
      </c>
      <c r="O523" s="141" t="s">
        <v>267</v>
      </c>
      <c r="P523" s="245">
        <v>1</v>
      </c>
      <c r="Q523" s="143">
        <f t="shared" si="85"/>
        <v>89280096</v>
      </c>
      <c r="R523" s="143">
        <f t="shared" si="86"/>
        <v>89280096</v>
      </c>
      <c r="S523" s="246" t="s">
        <v>222</v>
      </c>
      <c r="T523" s="245">
        <f t="shared" si="93"/>
        <v>0</v>
      </c>
      <c r="U523" s="145" t="str">
        <f t="shared" si="87"/>
        <v>SUBDIRECCION DE GESTION CONTRACTUAL</v>
      </c>
      <c r="V523" s="245" t="s">
        <v>39</v>
      </c>
      <c r="W523" s="245" t="s">
        <v>38</v>
      </c>
      <c r="X523" s="154" t="s">
        <v>626</v>
      </c>
      <c r="Y523" s="147">
        <v>2427400</v>
      </c>
      <c r="Z523" s="157" t="s">
        <v>116</v>
      </c>
      <c r="AA523" s="248"/>
      <c r="AB523" s="248"/>
      <c r="AC523" s="248"/>
      <c r="AD523" s="248"/>
      <c r="AE523" s="248"/>
      <c r="AF523" s="248"/>
      <c r="AG523" s="248"/>
      <c r="AH523" s="248"/>
      <c r="AI523" s="248"/>
      <c r="AJ523" s="248"/>
      <c r="AK523" s="248"/>
      <c r="AL523" s="248"/>
      <c r="AM523" s="248"/>
      <c r="AN523" s="248"/>
      <c r="AO523" s="248"/>
      <c r="AP523" s="248"/>
      <c r="AQ523" s="248"/>
      <c r="AR523" s="248"/>
      <c r="AS523" s="248"/>
      <c r="AT523" s="248"/>
      <c r="AU523" s="152"/>
      <c r="AV523" s="152"/>
      <c r="AW523" s="152"/>
      <c r="AX523" s="152"/>
      <c r="AY523" s="152"/>
      <c r="AZ523" s="152"/>
      <c r="BA523" s="152"/>
      <c r="BB523" s="152"/>
      <c r="BC523" s="152"/>
      <c r="BD523" s="152"/>
      <c r="BE523" s="152"/>
      <c r="BF523" s="152"/>
      <c r="BG523" s="152"/>
      <c r="BH523" s="152"/>
      <c r="BI523" s="152"/>
      <c r="BJ523" s="152"/>
      <c r="BK523" s="152"/>
      <c r="BL523" s="152"/>
      <c r="BM523" s="152"/>
      <c r="BN523" s="152"/>
      <c r="BO523" s="152"/>
      <c r="BP523" s="152"/>
      <c r="BQ523" s="152"/>
      <c r="BR523" s="152"/>
      <c r="BS523" s="152"/>
      <c r="BT523" s="152"/>
      <c r="BU523" s="152"/>
      <c r="BV523" s="152"/>
      <c r="BW523" s="152"/>
      <c r="BX523" s="152"/>
      <c r="BY523" s="152"/>
      <c r="BZ523" s="152"/>
      <c r="CA523" s="152"/>
      <c r="CB523" s="152"/>
      <c r="CC523" s="152"/>
      <c r="CD523" s="152"/>
      <c r="CE523" s="152"/>
      <c r="CF523" s="152"/>
      <c r="CG523" s="252"/>
    </row>
    <row r="524" spans="1:85" s="250" customFormat="1" ht="13.9" customHeight="1" x14ac:dyDescent="0.2">
      <c r="A524" s="251" t="s">
        <v>162</v>
      </c>
      <c r="B524" s="147">
        <v>12</v>
      </c>
      <c r="C524" s="244" t="s">
        <v>165</v>
      </c>
      <c r="D524" s="154" t="s">
        <v>167</v>
      </c>
      <c r="E524" s="155"/>
      <c r="F524" s="155">
        <v>211356248</v>
      </c>
      <c r="G524" s="155"/>
      <c r="H524" s="154">
        <v>93141506</v>
      </c>
      <c r="I524" s="244" t="s">
        <v>549</v>
      </c>
      <c r="J524" s="147">
        <v>4</v>
      </c>
      <c r="K524" s="147">
        <v>4</v>
      </c>
      <c r="L524" s="147">
        <v>8</v>
      </c>
      <c r="M524" s="132">
        <f t="shared" si="84"/>
        <v>1</v>
      </c>
      <c r="N524" s="140" t="s">
        <v>36</v>
      </c>
      <c r="O524" s="141" t="s">
        <v>267</v>
      </c>
      <c r="P524" s="245">
        <v>1</v>
      </c>
      <c r="Q524" s="143">
        <f t="shared" si="85"/>
        <v>211356248</v>
      </c>
      <c r="R524" s="143">
        <f t="shared" si="86"/>
        <v>211356248</v>
      </c>
      <c r="S524" s="246" t="s">
        <v>222</v>
      </c>
      <c r="T524" s="245">
        <f t="shared" si="93"/>
        <v>0</v>
      </c>
      <c r="U524" s="145" t="str">
        <f t="shared" si="87"/>
        <v>SUBDIRECCION DE GESTION CONTRACTUAL</v>
      </c>
      <c r="V524" s="245" t="s">
        <v>39</v>
      </c>
      <c r="W524" s="245" t="s">
        <v>38</v>
      </c>
      <c r="X524" s="154" t="s">
        <v>626</v>
      </c>
      <c r="Y524" s="147">
        <v>2427400</v>
      </c>
      <c r="Z524" s="157" t="s">
        <v>116</v>
      </c>
      <c r="AA524" s="248"/>
      <c r="AB524" s="248"/>
      <c r="AC524" s="248"/>
      <c r="AD524" s="248"/>
      <c r="AE524" s="248"/>
      <c r="AF524" s="248"/>
      <c r="AG524" s="248"/>
      <c r="AH524" s="248"/>
      <c r="AI524" s="248"/>
      <c r="AJ524" s="248"/>
      <c r="AK524" s="248"/>
      <c r="AL524" s="248"/>
      <c r="AM524" s="248"/>
      <c r="AN524" s="248"/>
      <c r="AO524" s="248"/>
      <c r="AP524" s="248"/>
      <c r="AQ524" s="248"/>
      <c r="AR524" s="248"/>
      <c r="AS524" s="248"/>
      <c r="AT524" s="248"/>
      <c r="AU524" s="152"/>
      <c r="AV524" s="152"/>
      <c r="AW524" s="152"/>
      <c r="AX524" s="152"/>
      <c r="AY524" s="152"/>
      <c r="AZ524" s="152"/>
      <c r="BA524" s="152"/>
      <c r="BB524" s="152"/>
      <c r="BC524" s="152"/>
      <c r="BD524" s="152"/>
      <c r="BE524" s="152"/>
      <c r="BF524" s="152"/>
      <c r="BG524" s="152"/>
      <c r="BH524" s="152"/>
      <c r="BI524" s="152"/>
      <c r="BJ524" s="152"/>
      <c r="BK524" s="152"/>
      <c r="BL524" s="152"/>
      <c r="BM524" s="152"/>
      <c r="BN524" s="152"/>
      <c r="BO524" s="152"/>
      <c r="BP524" s="152"/>
      <c r="BQ524" s="152"/>
      <c r="BR524" s="152"/>
      <c r="BS524" s="152"/>
      <c r="BT524" s="152"/>
      <c r="BU524" s="152"/>
      <c r="BV524" s="152"/>
      <c r="BW524" s="152"/>
      <c r="BX524" s="152"/>
      <c r="BY524" s="152"/>
      <c r="BZ524" s="152"/>
      <c r="CA524" s="152"/>
      <c r="CB524" s="152"/>
      <c r="CC524" s="152"/>
      <c r="CD524" s="152"/>
      <c r="CE524" s="152"/>
      <c r="CF524" s="152"/>
      <c r="CG524" s="252"/>
    </row>
    <row r="525" spans="1:85" s="250" customFormat="1" ht="13.9" customHeight="1" x14ac:dyDescent="0.2">
      <c r="A525" s="251" t="s">
        <v>162</v>
      </c>
      <c r="B525" s="147">
        <v>13</v>
      </c>
      <c r="C525" s="244" t="s">
        <v>550</v>
      </c>
      <c r="D525" s="154" t="s">
        <v>65</v>
      </c>
      <c r="E525" s="155"/>
      <c r="F525" s="155">
        <v>487520379</v>
      </c>
      <c r="G525" s="155"/>
      <c r="H525" s="135" t="s">
        <v>42</v>
      </c>
      <c r="I525" s="244" t="s">
        <v>551</v>
      </c>
      <c r="J525" s="137">
        <v>3</v>
      </c>
      <c r="K525" s="138">
        <v>4</v>
      </c>
      <c r="L525" s="139">
        <v>9</v>
      </c>
      <c r="M525" s="132">
        <f t="shared" si="84"/>
        <v>1</v>
      </c>
      <c r="N525" s="140" t="s">
        <v>61</v>
      </c>
      <c r="O525" s="141" t="str">
        <f>IF(ISBLANK(N525),"",VLOOKUP(N525,[24]Parámetros!$G$2:$H$23,2,FALSE))</f>
        <v>Contratación régimen especial - Selección de comisionista</v>
      </c>
      <c r="P525" s="245">
        <v>1</v>
      </c>
      <c r="Q525" s="143">
        <f t="shared" si="85"/>
        <v>487520379</v>
      </c>
      <c r="R525" s="143">
        <f t="shared" si="86"/>
        <v>487520379</v>
      </c>
      <c r="S525" s="246" t="s">
        <v>222</v>
      </c>
      <c r="T525" s="245">
        <f t="shared" si="93"/>
        <v>0</v>
      </c>
      <c r="U525" s="145" t="str">
        <f t="shared" si="87"/>
        <v>SUBDIRECCION DE GESTION CONTRACTUAL</v>
      </c>
      <c r="V525" s="132" t="str">
        <f t="shared" ref="V525:V556" si="94">IF(ISBLANK(N525),"","CO-DC")</f>
        <v>CO-DC</v>
      </c>
      <c r="W525" s="145" t="str">
        <f t="shared" ref="W525:W556" si="95">IF(ISBLANK(N525),"","Distrito Capital de Bogotá")</f>
        <v>Distrito Capital de Bogotá</v>
      </c>
      <c r="X525" s="146" t="s">
        <v>331</v>
      </c>
      <c r="Y525" s="147">
        <v>2427400</v>
      </c>
      <c r="Z525" s="157" t="s">
        <v>75</v>
      </c>
      <c r="AA525" s="248"/>
      <c r="AB525" s="248"/>
      <c r="AC525" s="248"/>
      <c r="AD525" s="248"/>
      <c r="AE525" s="248"/>
      <c r="AF525" s="248"/>
      <c r="AG525" s="248"/>
      <c r="AH525" s="248"/>
      <c r="AI525" s="248"/>
      <c r="AJ525" s="248"/>
      <c r="AK525" s="248"/>
      <c r="AL525" s="248"/>
      <c r="AM525" s="248"/>
      <c r="AN525" s="248"/>
      <c r="AO525" s="248"/>
      <c r="AP525" s="248"/>
      <c r="AQ525" s="248"/>
      <c r="AR525" s="248"/>
      <c r="AS525" s="248"/>
      <c r="AT525" s="248"/>
      <c r="AU525" s="152"/>
      <c r="AV525" s="152"/>
      <c r="AW525" s="152"/>
      <c r="AX525" s="152"/>
      <c r="AY525" s="152"/>
      <c r="AZ525" s="152"/>
      <c r="BA525" s="152"/>
      <c r="BB525" s="152"/>
      <c r="BC525" s="152"/>
      <c r="BD525" s="152"/>
      <c r="BE525" s="152"/>
      <c r="BF525" s="152"/>
      <c r="BG525" s="152"/>
      <c r="BH525" s="152"/>
      <c r="BI525" s="152"/>
      <c r="BJ525" s="152"/>
      <c r="BK525" s="152"/>
      <c r="BL525" s="152"/>
      <c r="BM525" s="152"/>
      <c r="BN525" s="152"/>
      <c r="BO525" s="152"/>
      <c r="BP525" s="152"/>
      <c r="BQ525" s="152"/>
      <c r="BR525" s="152"/>
      <c r="BS525" s="152"/>
      <c r="BT525" s="152"/>
      <c r="BU525" s="152"/>
      <c r="BV525" s="152"/>
      <c r="BW525" s="152"/>
      <c r="BX525" s="152"/>
      <c r="BY525" s="152"/>
      <c r="BZ525" s="152"/>
      <c r="CA525" s="152"/>
      <c r="CB525" s="152"/>
      <c r="CC525" s="152"/>
      <c r="CD525" s="152"/>
      <c r="CE525" s="152"/>
      <c r="CF525" s="152"/>
      <c r="CG525" s="252"/>
    </row>
    <row r="526" spans="1:85" s="250" customFormat="1" ht="13.9" customHeight="1" x14ac:dyDescent="0.2">
      <c r="A526" s="251" t="s">
        <v>158</v>
      </c>
      <c r="B526" s="147">
        <v>1</v>
      </c>
      <c r="C526" s="244" t="s">
        <v>583</v>
      </c>
      <c r="D526" s="154" t="s">
        <v>159</v>
      </c>
      <c r="E526" s="155"/>
      <c r="F526" s="155">
        <v>3707485959</v>
      </c>
      <c r="G526" s="155"/>
      <c r="H526" s="154" t="s">
        <v>749</v>
      </c>
      <c r="I526" s="244" t="s">
        <v>552</v>
      </c>
      <c r="J526" s="147">
        <v>1</v>
      </c>
      <c r="K526" s="147">
        <v>1</v>
      </c>
      <c r="L526" s="147">
        <v>12</v>
      </c>
      <c r="M526" s="132">
        <f t="shared" si="84"/>
        <v>1</v>
      </c>
      <c r="N526" s="140" t="s">
        <v>36</v>
      </c>
      <c r="O526" s="141" t="str">
        <f>IF(ISBLANK(N526),"",VLOOKUP(N526,[25]Parámetros!$G$2:$H$23,2,FALSE))</f>
        <v xml:space="preserve">Contratación directa (con ofertas) </v>
      </c>
      <c r="P526" s="245">
        <f t="shared" ref="P526:P557" si="96">IF(ISBLANK(N526),"",1)</f>
        <v>1</v>
      </c>
      <c r="Q526" s="143">
        <f t="shared" si="85"/>
        <v>3707485959</v>
      </c>
      <c r="R526" s="143">
        <f t="shared" si="86"/>
        <v>3707485959</v>
      </c>
      <c r="S526" s="246" t="s">
        <v>222</v>
      </c>
      <c r="T526" s="245">
        <f t="shared" si="93"/>
        <v>0</v>
      </c>
      <c r="U526" s="145" t="str">
        <f t="shared" si="87"/>
        <v>SUBDIRECCION DE GESTION CONTRACTUAL</v>
      </c>
      <c r="V526" s="245" t="str">
        <f t="shared" si="94"/>
        <v>CO-DC</v>
      </c>
      <c r="W526" s="245" t="str">
        <f t="shared" si="95"/>
        <v>Distrito Capital de Bogotá</v>
      </c>
      <c r="X526" s="154" t="s">
        <v>553</v>
      </c>
      <c r="Y526" s="147">
        <v>2427400</v>
      </c>
      <c r="Z526" s="157" t="s">
        <v>160</v>
      </c>
      <c r="AA526" s="248"/>
      <c r="AB526" s="248"/>
      <c r="AC526" s="248"/>
      <c r="AD526" s="248"/>
      <c r="AE526" s="248"/>
      <c r="AF526" s="248"/>
      <c r="AG526" s="248"/>
      <c r="AH526" s="248"/>
      <c r="AI526" s="248"/>
      <c r="AJ526" s="248"/>
      <c r="AK526" s="248"/>
      <c r="AL526" s="248"/>
      <c r="AM526" s="248"/>
      <c r="AN526" s="248"/>
      <c r="AO526" s="248"/>
      <c r="AP526" s="248"/>
      <c r="AQ526" s="248"/>
      <c r="AR526" s="248"/>
      <c r="AS526" s="248"/>
      <c r="AT526" s="248"/>
      <c r="AU526" s="152"/>
      <c r="AV526" s="152"/>
      <c r="AW526" s="152"/>
      <c r="AX526" s="152"/>
      <c r="AY526" s="152"/>
      <c r="AZ526" s="152"/>
      <c r="BA526" s="152"/>
      <c r="BB526" s="152"/>
      <c r="BC526" s="152"/>
      <c r="BD526" s="152"/>
      <c r="BE526" s="152"/>
      <c r="BF526" s="152"/>
      <c r="BG526" s="152"/>
      <c r="BH526" s="152"/>
      <c r="BI526" s="152"/>
      <c r="BJ526" s="152"/>
      <c r="BK526" s="152"/>
      <c r="BL526" s="152"/>
      <c r="BM526" s="152"/>
      <c r="BN526" s="152"/>
      <c r="BO526" s="152"/>
      <c r="BP526" s="152"/>
      <c r="BQ526" s="152"/>
      <c r="BR526" s="152"/>
      <c r="BS526" s="152"/>
      <c r="BT526" s="152"/>
      <c r="BU526" s="152"/>
      <c r="BV526" s="152"/>
      <c r="BW526" s="152"/>
      <c r="BX526" s="152"/>
      <c r="BY526" s="152"/>
      <c r="BZ526" s="152"/>
      <c r="CA526" s="152"/>
      <c r="CB526" s="152"/>
      <c r="CC526" s="152"/>
      <c r="CD526" s="152"/>
      <c r="CE526" s="152"/>
      <c r="CF526" s="152"/>
      <c r="CG526" s="252"/>
    </row>
    <row r="527" spans="1:85" s="250" customFormat="1" ht="13.9" customHeight="1" x14ac:dyDescent="0.2">
      <c r="A527" s="251" t="s">
        <v>158</v>
      </c>
      <c r="B527" s="147">
        <v>2</v>
      </c>
      <c r="C527" s="244" t="s">
        <v>583</v>
      </c>
      <c r="D527" s="154" t="s">
        <v>159</v>
      </c>
      <c r="E527" s="155"/>
      <c r="F527" s="155">
        <v>4613461369</v>
      </c>
      <c r="G527" s="155"/>
      <c r="H527" s="154">
        <v>45121500</v>
      </c>
      <c r="I527" s="244" t="s">
        <v>554</v>
      </c>
      <c r="J527" s="147">
        <v>1</v>
      </c>
      <c r="K527" s="147">
        <v>1</v>
      </c>
      <c r="L527" s="147">
        <v>12</v>
      </c>
      <c r="M527" s="132">
        <f t="shared" si="84"/>
        <v>1</v>
      </c>
      <c r="N527" s="140" t="s">
        <v>36</v>
      </c>
      <c r="O527" s="141" t="str">
        <f>IF(ISBLANK(N527),"",VLOOKUP(N527,[25]Parámetros!$G$2:$H$23,2,FALSE))</f>
        <v xml:space="preserve">Contratación directa (con ofertas) </v>
      </c>
      <c r="P527" s="245">
        <f t="shared" si="96"/>
        <v>1</v>
      </c>
      <c r="Q527" s="143">
        <f t="shared" si="85"/>
        <v>4613461369</v>
      </c>
      <c r="R527" s="143">
        <f t="shared" si="86"/>
        <v>4613461369</v>
      </c>
      <c r="S527" s="246" t="s">
        <v>222</v>
      </c>
      <c r="T527" s="245">
        <f t="shared" si="93"/>
        <v>0</v>
      </c>
      <c r="U527" s="145" t="str">
        <f t="shared" si="87"/>
        <v>SUBDIRECCION DE GESTION CONTRACTUAL</v>
      </c>
      <c r="V527" s="245" t="str">
        <f t="shared" si="94"/>
        <v>CO-DC</v>
      </c>
      <c r="W527" s="245" t="str">
        <f t="shared" si="95"/>
        <v>Distrito Capital de Bogotá</v>
      </c>
      <c r="X527" s="154" t="s">
        <v>553</v>
      </c>
      <c r="Y527" s="147">
        <v>2427400</v>
      </c>
      <c r="Z527" s="157" t="s">
        <v>160</v>
      </c>
      <c r="AA527" s="248"/>
      <c r="AB527" s="248"/>
      <c r="AC527" s="248"/>
      <c r="AD527" s="248"/>
      <c r="AE527" s="248"/>
      <c r="AF527" s="248"/>
      <c r="AG527" s="248"/>
      <c r="AH527" s="248"/>
      <c r="AI527" s="248"/>
      <c r="AJ527" s="248"/>
      <c r="AK527" s="248"/>
      <c r="AL527" s="248"/>
      <c r="AM527" s="248"/>
      <c r="AN527" s="248"/>
      <c r="AO527" s="248"/>
      <c r="AP527" s="248"/>
      <c r="AQ527" s="248"/>
      <c r="AR527" s="248"/>
      <c r="AS527" s="248"/>
      <c r="AT527" s="248"/>
      <c r="AU527" s="152"/>
      <c r="AV527" s="152"/>
      <c r="AW527" s="152"/>
      <c r="AX527" s="152"/>
      <c r="AY527" s="152"/>
      <c r="AZ527" s="152"/>
      <c r="BA527" s="152"/>
      <c r="BB527" s="152"/>
      <c r="BC527" s="152"/>
      <c r="BD527" s="152"/>
      <c r="BE527" s="152"/>
      <c r="BF527" s="152"/>
      <c r="BG527" s="152"/>
      <c r="BH527" s="152"/>
      <c r="BI527" s="152"/>
      <c r="BJ527" s="152"/>
      <c r="BK527" s="152"/>
      <c r="BL527" s="152"/>
      <c r="BM527" s="152"/>
      <c r="BN527" s="152"/>
      <c r="BO527" s="152"/>
      <c r="BP527" s="152"/>
      <c r="BQ527" s="152"/>
      <c r="BR527" s="152"/>
      <c r="BS527" s="152"/>
      <c r="BT527" s="152"/>
      <c r="BU527" s="152"/>
      <c r="BV527" s="152"/>
      <c r="BW527" s="152"/>
      <c r="BX527" s="152"/>
      <c r="BY527" s="152"/>
      <c r="BZ527" s="152"/>
      <c r="CA527" s="152"/>
      <c r="CB527" s="152"/>
      <c r="CC527" s="152"/>
      <c r="CD527" s="152"/>
      <c r="CE527" s="152"/>
      <c r="CF527" s="152"/>
      <c r="CG527" s="252"/>
    </row>
    <row r="528" spans="1:85" s="250" customFormat="1" ht="13.9" customHeight="1" x14ac:dyDescent="0.2">
      <c r="A528" s="251" t="s">
        <v>158</v>
      </c>
      <c r="B528" s="147">
        <v>3</v>
      </c>
      <c r="C528" s="244" t="s">
        <v>583</v>
      </c>
      <c r="D528" s="154" t="s">
        <v>159</v>
      </c>
      <c r="E528" s="155"/>
      <c r="F528" s="155">
        <v>7993465398.3800001</v>
      </c>
      <c r="G528" s="155"/>
      <c r="H528" s="154" t="s">
        <v>749</v>
      </c>
      <c r="I528" s="244" t="s">
        <v>555</v>
      </c>
      <c r="J528" s="147">
        <v>1</v>
      </c>
      <c r="K528" s="147">
        <v>1</v>
      </c>
      <c r="L528" s="147">
        <v>12</v>
      </c>
      <c r="M528" s="132">
        <f t="shared" si="84"/>
        <v>1</v>
      </c>
      <c r="N528" s="140" t="s">
        <v>36</v>
      </c>
      <c r="O528" s="141" t="str">
        <f>IF(ISBLANK(N528),"",VLOOKUP(N528,[25]Parámetros!$G$2:$H$23,2,FALSE))</f>
        <v xml:space="preserve">Contratación directa (con ofertas) </v>
      </c>
      <c r="P528" s="245">
        <f t="shared" si="96"/>
        <v>1</v>
      </c>
      <c r="Q528" s="143">
        <f t="shared" si="85"/>
        <v>7993465398.3800001</v>
      </c>
      <c r="R528" s="143">
        <f t="shared" si="86"/>
        <v>7993465398.3800001</v>
      </c>
      <c r="S528" s="246" t="s">
        <v>222</v>
      </c>
      <c r="T528" s="245">
        <f t="shared" si="93"/>
        <v>0</v>
      </c>
      <c r="U528" s="145" t="str">
        <f t="shared" si="87"/>
        <v>SUBDIRECCION DE GESTION CONTRACTUAL</v>
      </c>
      <c r="V528" s="245" t="str">
        <f t="shared" si="94"/>
        <v>CO-DC</v>
      </c>
      <c r="W528" s="245" t="str">
        <f t="shared" si="95"/>
        <v>Distrito Capital de Bogotá</v>
      </c>
      <c r="X528" s="154" t="s">
        <v>553</v>
      </c>
      <c r="Y528" s="147">
        <v>2427400</v>
      </c>
      <c r="Z528" s="157" t="s">
        <v>160</v>
      </c>
      <c r="AA528" s="248"/>
      <c r="AB528" s="248"/>
      <c r="AC528" s="248"/>
      <c r="AD528" s="248"/>
      <c r="AE528" s="248"/>
      <c r="AF528" s="248"/>
      <c r="AG528" s="248"/>
      <c r="AH528" s="248"/>
      <c r="AI528" s="248"/>
      <c r="AJ528" s="248"/>
      <c r="AK528" s="248"/>
      <c r="AL528" s="248"/>
      <c r="AM528" s="248"/>
      <c r="AN528" s="248"/>
      <c r="AO528" s="248"/>
      <c r="AP528" s="248"/>
      <c r="AQ528" s="248"/>
      <c r="AR528" s="248"/>
      <c r="AS528" s="248"/>
      <c r="AT528" s="248"/>
      <c r="AU528" s="152"/>
      <c r="AV528" s="152"/>
      <c r="AW528" s="152"/>
      <c r="AX528" s="152"/>
      <c r="AY528" s="152"/>
      <c r="AZ528" s="152"/>
      <c r="BA528" s="152"/>
      <c r="BB528" s="152"/>
      <c r="BC528" s="152"/>
      <c r="BD528" s="152"/>
      <c r="BE528" s="152"/>
      <c r="BF528" s="152"/>
      <c r="BG528" s="152"/>
      <c r="BH528" s="152"/>
      <c r="BI528" s="152"/>
      <c r="BJ528" s="152"/>
      <c r="BK528" s="152"/>
      <c r="BL528" s="152"/>
      <c r="BM528" s="152"/>
      <c r="BN528" s="152"/>
      <c r="BO528" s="152"/>
      <c r="BP528" s="152"/>
      <c r="BQ528" s="152"/>
      <c r="BR528" s="152"/>
      <c r="BS528" s="152"/>
      <c r="BT528" s="152"/>
      <c r="BU528" s="152"/>
      <c r="BV528" s="152"/>
      <c r="BW528" s="152"/>
      <c r="BX528" s="152"/>
      <c r="BY528" s="152"/>
      <c r="BZ528" s="152"/>
      <c r="CA528" s="152"/>
      <c r="CB528" s="152"/>
      <c r="CC528" s="152"/>
      <c r="CD528" s="152"/>
      <c r="CE528" s="152"/>
      <c r="CF528" s="152"/>
      <c r="CG528" s="252"/>
    </row>
    <row r="529" spans="1:85" s="250" customFormat="1" ht="13.9" customHeight="1" x14ac:dyDescent="0.2">
      <c r="A529" s="251" t="s">
        <v>158</v>
      </c>
      <c r="B529" s="147">
        <v>4</v>
      </c>
      <c r="C529" s="244" t="s">
        <v>583</v>
      </c>
      <c r="D529" s="154" t="s">
        <v>159</v>
      </c>
      <c r="E529" s="155"/>
      <c r="F529" s="155">
        <v>4200003823</v>
      </c>
      <c r="G529" s="155"/>
      <c r="H529" s="154">
        <v>45121500</v>
      </c>
      <c r="I529" s="244" t="s">
        <v>556</v>
      </c>
      <c r="J529" s="147">
        <v>1</v>
      </c>
      <c r="K529" s="147">
        <v>1</v>
      </c>
      <c r="L529" s="147">
        <v>12</v>
      </c>
      <c r="M529" s="132">
        <f t="shared" si="84"/>
        <v>1</v>
      </c>
      <c r="N529" s="140" t="s">
        <v>36</v>
      </c>
      <c r="O529" s="141" t="str">
        <f>IF(ISBLANK(N529),"",VLOOKUP(N529,[25]Parámetros!$G$2:$H$23,2,FALSE))</f>
        <v xml:space="preserve">Contratación directa (con ofertas) </v>
      </c>
      <c r="P529" s="245">
        <f t="shared" si="96"/>
        <v>1</v>
      </c>
      <c r="Q529" s="143">
        <f t="shared" si="85"/>
        <v>4200003823</v>
      </c>
      <c r="R529" s="143">
        <f t="shared" si="86"/>
        <v>4200003823</v>
      </c>
      <c r="S529" s="246" t="s">
        <v>222</v>
      </c>
      <c r="T529" s="245">
        <f t="shared" si="93"/>
        <v>0</v>
      </c>
      <c r="U529" s="145" t="str">
        <f t="shared" si="87"/>
        <v>SUBDIRECCION DE GESTION CONTRACTUAL</v>
      </c>
      <c r="V529" s="245" t="str">
        <f t="shared" si="94"/>
        <v>CO-DC</v>
      </c>
      <c r="W529" s="245" t="str">
        <f t="shared" si="95"/>
        <v>Distrito Capital de Bogotá</v>
      </c>
      <c r="X529" s="154" t="s">
        <v>553</v>
      </c>
      <c r="Y529" s="147">
        <v>2427400</v>
      </c>
      <c r="Z529" s="157" t="s">
        <v>160</v>
      </c>
      <c r="AA529" s="248"/>
      <c r="AB529" s="248"/>
      <c r="AC529" s="248"/>
      <c r="AD529" s="248"/>
      <c r="AE529" s="248"/>
      <c r="AF529" s="248"/>
      <c r="AG529" s="248"/>
      <c r="AH529" s="248"/>
      <c r="AI529" s="248"/>
      <c r="AJ529" s="248"/>
      <c r="AK529" s="248"/>
      <c r="AL529" s="248"/>
      <c r="AM529" s="248"/>
      <c r="AN529" s="248"/>
      <c r="AO529" s="248"/>
      <c r="AP529" s="248"/>
      <c r="AQ529" s="248"/>
      <c r="AR529" s="248"/>
      <c r="AS529" s="248"/>
      <c r="AT529" s="248"/>
      <c r="AU529" s="152"/>
      <c r="AV529" s="152"/>
      <c r="AW529" s="152"/>
      <c r="AX529" s="152"/>
      <c r="AY529" s="152"/>
      <c r="AZ529" s="152"/>
      <c r="BA529" s="152"/>
      <c r="BB529" s="152"/>
      <c r="BC529" s="152"/>
      <c r="BD529" s="152"/>
      <c r="BE529" s="152"/>
      <c r="BF529" s="152"/>
      <c r="BG529" s="152"/>
      <c r="BH529" s="152"/>
      <c r="BI529" s="152"/>
      <c r="BJ529" s="152"/>
      <c r="BK529" s="152"/>
      <c r="BL529" s="152"/>
      <c r="BM529" s="152"/>
      <c r="BN529" s="152"/>
      <c r="BO529" s="152"/>
      <c r="BP529" s="152"/>
      <c r="BQ529" s="152"/>
      <c r="BR529" s="152"/>
      <c r="BS529" s="152"/>
      <c r="BT529" s="152"/>
      <c r="BU529" s="152"/>
      <c r="BV529" s="152"/>
      <c r="BW529" s="152"/>
      <c r="BX529" s="152"/>
      <c r="BY529" s="152"/>
      <c r="BZ529" s="152"/>
      <c r="CA529" s="152"/>
      <c r="CB529" s="152"/>
      <c r="CC529" s="152"/>
      <c r="CD529" s="152"/>
      <c r="CE529" s="152"/>
      <c r="CF529" s="152"/>
      <c r="CG529" s="252"/>
    </row>
    <row r="530" spans="1:85" s="250" customFormat="1" ht="13.9" customHeight="1" x14ac:dyDescent="0.2">
      <c r="A530" s="251" t="s">
        <v>158</v>
      </c>
      <c r="B530" s="147">
        <v>5</v>
      </c>
      <c r="C530" s="244" t="s">
        <v>583</v>
      </c>
      <c r="D530" s="154" t="s">
        <v>159</v>
      </c>
      <c r="E530" s="155"/>
      <c r="F530" s="155">
        <v>1906418842</v>
      </c>
      <c r="G530" s="155"/>
      <c r="H530" s="154" t="s">
        <v>745</v>
      </c>
      <c r="I530" s="244" t="s">
        <v>557</v>
      </c>
      <c r="J530" s="147">
        <v>1</v>
      </c>
      <c r="K530" s="147">
        <v>1</v>
      </c>
      <c r="L530" s="147">
        <v>12</v>
      </c>
      <c r="M530" s="132">
        <f t="shared" si="84"/>
        <v>1</v>
      </c>
      <c r="N530" s="140" t="s">
        <v>36</v>
      </c>
      <c r="O530" s="141" t="str">
        <f>IF(ISBLANK(N530),"",VLOOKUP(N530,[25]Parámetros!$G$2:$H$23,2,FALSE))</f>
        <v xml:space="preserve">Contratación directa (con ofertas) </v>
      </c>
      <c r="P530" s="245">
        <f t="shared" si="96"/>
        <v>1</v>
      </c>
      <c r="Q530" s="143">
        <f t="shared" si="85"/>
        <v>1906418842</v>
      </c>
      <c r="R530" s="143">
        <f t="shared" si="86"/>
        <v>1906418842</v>
      </c>
      <c r="S530" s="246" t="s">
        <v>222</v>
      </c>
      <c r="T530" s="245">
        <f t="shared" si="93"/>
        <v>0</v>
      </c>
      <c r="U530" s="145" t="str">
        <f t="shared" si="87"/>
        <v>SUBDIRECCION DE GESTION CONTRACTUAL</v>
      </c>
      <c r="V530" s="245" t="str">
        <f t="shared" si="94"/>
        <v>CO-DC</v>
      </c>
      <c r="W530" s="245" t="str">
        <f t="shared" si="95"/>
        <v>Distrito Capital de Bogotá</v>
      </c>
      <c r="X530" s="154" t="s">
        <v>553</v>
      </c>
      <c r="Y530" s="147">
        <v>2427400</v>
      </c>
      <c r="Z530" s="157" t="s">
        <v>160</v>
      </c>
      <c r="AA530" s="248"/>
      <c r="AB530" s="248"/>
      <c r="AC530" s="248"/>
      <c r="AD530" s="248"/>
      <c r="AE530" s="248"/>
      <c r="AF530" s="248"/>
      <c r="AG530" s="248"/>
      <c r="AH530" s="248"/>
      <c r="AI530" s="248"/>
      <c r="AJ530" s="248"/>
      <c r="AK530" s="248"/>
      <c r="AL530" s="248"/>
      <c r="AM530" s="248"/>
      <c r="AN530" s="248"/>
      <c r="AO530" s="248"/>
      <c r="AP530" s="248"/>
      <c r="AQ530" s="248"/>
      <c r="AR530" s="248"/>
      <c r="AS530" s="248"/>
      <c r="AT530" s="248"/>
      <c r="AU530" s="152"/>
      <c r="AV530" s="152"/>
      <c r="AW530" s="152"/>
      <c r="AX530" s="152"/>
      <c r="AY530" s="152"/>
      <c r="AZ530" s="152"/>
      <c r="BA530" s="152"/>
      <c r="BB530" s="152"/>
      <c r="BC530" s="152"/>
      <c r="BD530" s="152"/>
      <c r="BE530" s="152"/>
      <c r="BF530" s="152"/>
      <c r="BG530" s="152"/>
      <c r="BH530" s="152"/>
      <c r="BI530" s="152"/>
      <c r="BJ530" s="152"/>
      <c r="BK530" s="152"/>
      <c r="BL530" s="152"/>
      <c r="BM530" s="152"/>
      <c r="BN530" s="152"/>
      <c r="BO530" s="152"/>
      <c r="BP530" s="152"/>
      <c r="BQ530" s="152"/>
      <c r="BR530" s="152"/>
      <c r="BS530" s="152"/>
      <c r="BT530" s="152"/>
      <c r="BU530" s="152"/>
      <c r="BV530" s="152"/>
      <c r="BW530" s="152"/>
      <c r="BX530" s="152"/>
      <c r="BY530" s="152"/>
      <c r="BZ530" s="152"/>
      <c r="CA530" s="152"/>
      <c r="CB530" s="152"/>
      <c r="CC530" s="152"/>
      <c r="CD530" s="152"/>
      <c r="CE530" s="152"/>
      <c r="CF530" s="152"/>
      <c r="CG530" s="252"/>
    </row>
    <row r="531" spans="1:85" s="250" customFormat="1" ht="13.9" customHeight="1" x14ac:dyDescent="0.2">
      <c r="A531" s="251" t="s">
        <v>158</v>
      </c>
      <c r="B531" s="147">
        <v>6</v>
      </c>
      <c r="C531" s="244" t="s">
        <v>583</v>
      </c>
      <c r="D531" s="154" t="s">
        <v>159</v>
      </c>
      <c r="E531" s="155"/>
      <c r="F531" s="155">
        <v>2327373330</v>
      </c>
      <c r="G531" s="155"/>
      <c r="H531" s="154" t="s">
        <v>745</v>
      </c>
      <c r="I531" s="244" t="s">
        <v>558</v>
      </c>
      <c r="J531" s="147">
        <v>1</v>
      </c>
      <c r="K531" s="147">
        <v>1</v>
      </c>
      <c r="L531" s="147">
        <v>12</v>
      </c>
      <c r="M531" s="132">
        <f t="shared" si="84"/>
        <v>1</v>
      </c>
      <c r="N531" s="140" t="s">
        <v>36</v>
      </c>
      <c r="O531" s="141" t="str">
        <f>IF(ISBLANK(N531),"",VLOOKUP(N531,[25]Parámetros!$G$2:$H$23,2,FALSE))</f>
        <v xml:space="preserve">Contratación directa (con ofertas) </v>
      </c>
      <c r="P531" s="245">
        <f t="shared" si="96"/>
        <v>1</v>
      </c>
      <c r="Q531" s="143">
        <f t="shared" si="85"/>
        <v>2327373330</v>
      </c>
      <c r="R531" s="143">
        <f t="shared" si="86"/>
        <v>2327373330</v>
      </c>
      <c r="S531" s="246" t="s">
        <v>222</v>
      </c>
      <c r="T531" s="245">
        <f t="shared" si="93"/>
        <v>0</v>
      </c>
      <c r="U531" s="145" t="str">
        <f t="shared" si="87"/>
        <v>SUBDIRECCION DE GESTION CONTRACTUAL</v>
      </c>
      <c r="V531" s="245" t="str">
        <f t="shared" si="94"/>
        <v>CO-DC</v>
      </c>
      <c r="W531" s="245" t="str">
        <f t="shared" si="95"/>
        <v>Distrito Capital de Bogotá</v>
      </c>
      <c r="X531" s="154" t="s">
        <v>553</v>
      </c>
      <c r="Y531" s="147">
        <v>2427400</v>
      </c>
      <c r="Z531" s="157" t="s">
        <v>160</v>
      </c>
      <c r="AA531" s="248"/>
      <c r="AB531" s="248"/>
      <c r="AC531" s="248"/>
      <c r="AD531" s="248"/>
      <c r="AE531" s="248"/>
      <c r="AF531" s="248"/>
      <c r="AG531" s="248"/>
      <c r="AH531" s="248"/>
      <c r="AI531" s="248"/>
      <c r="AJ531" s="248"/>
      <c r="AK531" s="248"/>
      <c r="AL531" s="248"/>
      <c r="AM531" s="248"/>
      <c r="AN531" s="248"/>
      <c r="AO531" s="248"/>
      <c r="AP531" s="248"/>
      <c r="AQ531" s="248"/>
      <c r="AR531" s="248"/>
      <c r="AS531" s="248"/>
      <c r="AT531" s="248"/>
      <c r="AU531" s="152"/>
      <c r="AV531" s="152"/>
      <c r="AW531" s="152"/>
      <c r="AX531" s="152"/>
      <c r="AY531" s="152"/>
      <c r="AZ531" s="152"/>
      <c r="BA531" s="152"/>
      <c r="BB531" s="152"/>
      <c r="BC531" s="152"/>
      <c r="BD531" s="152"/>
      <c r="BE531" s="152"/>
      <c r="BF531" s="152"/>
      <c r="BG531" s="152"/>
      <c r="BH531" s="152"/>
      <c r="BI531" s="152"/>
      <c r="BJ531" s="152"/>
      <c r="BK531" s="152"/>
      <c r="BL531" s="152"/>
      <c r="BM531" s="152"/>
      <c r="BN531" s="152"/>
      <c r="BO531" s="152"/>
      <c r="BP531" s="152"/>
      <c r="BQ531" s="152"/>
      <c r="BR531" s="152"/>
      <c r="BS531" s="152"/>
      <c r="BT531" s="152"/>
      <c r="BU531" s="152"/>
      <c r="BV531" s="152"/>
      <c r="BW531" s="152"/>
      <c r="BX531" s="152"/>
      <c r="BY531" s="152"/>
      <c r="BZ531" s="152"/>
      <c r="CA531" s="152"/>
      <c r="CB531" s="152"/>
      <c r="CC531" s="152"/>
      <c r="CD531" s="152"/>
      <c r="CE531" s="152"/>
      <c r="CF531" s="152"/>
      <c r="CG531" s="252"/>
    </row>
    <row r="532" spans="1:85" s="250" customFormat="1" ht="13.9" customHeight="1" x14ac:dyDescent="0.2">
      <c r="A532" s="251" t="s">
        <v>158</v>
      </c>
      <c r="B532" s="147">
        <v>7</v>
      </c>
      <c r="C532" s="244" t="s">
        <v>583</v>
      </c>
      <c r="D532" s="154" t="s">
        <v>159</v>
      </c>
      <c r="E532" s="155"/>
      <c r="F532" s="155">
        <v>1310662954</v>
      </c>
      <c r="G532" s="155"/>
      <c r="H532" s="154" t="s">
        <v>745</v>
      </c>
      <c r="I532" s="244" t="s">
        <v>559</v>
      </c>
      <c r="J532" s="147">
        <v>1</v>
      </c>
      <c r="K532" s="147">
        <v>1</v>
      </c>
      <c r="L532" s="147">
        <v>12</v>
      </c>
      <c r="M532" s="132">
        <f t="shared" si="84"/>
        <v>1</v>
      </c>
      <c r="N532" s="140" t="s">
        <v>36</v>
      </c>
      <c r="O532" s="141" t="str">
        <f>IF(ISBLANK(N532),"",VLOOKUP(N532,[25]Parámetros!$G$2:$H$23,2,FALSE))</f>
        <v xml:space="preserve">Contratación directa (con ofertas) </v>
      </c>
      <c r="P532" s="245">
        <f t="shared" si="96"/>
        <v>1</v>
      </c>
      <c r="Q532" s="143">
        <f t="shared" si="85"/>
        <v>1310662954</v>
      </c>
      <c r="R532" s="143">
        <f t="shared" si="86"/>
        <v>1310662954</v>
      </c>
      <c r="S532" s="246" t="s">
        <v>222</v>
      </c>
      <c r="T532" s="245">
        <f t="shared" si="93"/>
        <v>0</v>
      </c>
      <c r="U532" s="145" t="str">
        <f t="shared" si="87"/>
        <v>SUBDIRECCION DE GESTION CONTRACTUAL</v>
      </c>
      <c r="V532" s="245" t="str">
        <f t="shared" si="94"/>
        <v>CO-DC</v>
      </c>
      <c r="W532" s="245" t="str">
        <f t="shared" si="95"/>
        <v>Distrito Capital de Bogotá</v>
      </c>
      <c r="X532" s="154" t="s">
        <v>553</v>
      </c>
      <c r="Y532" s="147">
        <v>2427400</v>
      </c>
      <c r="Z532" s="157" t="s">
        <v>160</v>
      </c>
      <c r="AA532" s="248"/>
      <c r="AB532" s="248"/>
      <c r="AC532" s="248"/>
      <c r="AD532" s="248"/>
      <c r="AE532" s="248"/>
      <c r="AF532" s="248"/>
      <c r="AG532" s="248"/>
      <c r="AH532" s="248"/>
      <c r="AI532" s="248"/>
      <c r="AJ532" s="248"/>
      <c r="AK532" s="248"/>
      <c r="AL532" s="248"/>
      <c r="AM532" s="248"/>
      <c r="AN532" s="248"/>
      <c r="AO532" s="248"/>
      <c r="AP532" s="248"/>
      <c r="AQ532" s="248"/>
      <c r="AR532" s="248"/>
      <c r="AS532" s="248"/>
      <c r="AT532" s="248"/>
      <c r="AU532" s="152"/>
      <c r="AV532" s="152"/>
      <c r="AW532" s="152"/>
      <c r="AX532" s="152"/>
      <c r="AY532" s="152"/>
      <c r="AZ532" s="152"/>
      <c r="BA532" s="152"/>
      <c r="BB532" s="152"/>
      <c r="BC532" s="152"/>
      <c r="BD532" s="152"/>
      <c r="BE532" s="152"/>
      <c r="BF532" s="152"/>
      <c r="BG532" s="152"/>
      <c r="BH532" s="152"/>
      <c r="BI532" s="152"/>
      <c r="BJ532" s="152"/>
      <c r="BK532" s="152"/>
      <c r="BL532" s="152"/>
      <c r="BM532" s="152"/>
      <c r="BN532" s="152"/>
      <c r="BO532" s="152"/>
      <c r="BP532" s="152"/>
      <c r="BQ532" s="152"/>
      <c r="BR532" s="152"/>
      <c r="BS532" s="152"/>
      <c r="BT532" s="152"/>
      <c r="BU532" s="152"/>
      <c r="BV532" s="152"/>
      <c r="BW532" s="152"/>
      <c r="BX532" s="152"/>
      <c r="BY532" s="152"/>
      <c r="BZ532" s="152"/>
      <c r="CA532" s="152"/>
      <c r="CB532" s="152"/>
      <c r="CC532" s="152"/>
      <c r="CD532" s="152"/>
      <c r="CE532" s="152"/>
      <c r="CF532" s="152"/>
      <c r="CG532" s="252"/>
    </row>
    <row r="533" spans="1:85" s="250" customFormat="1" ht="13.9" customHeight="1" x14ac:dyDescent="0.2">
      <c r="A533" s="251" t="s">
        <v>158</v>
      </c>
      <c r="B533" s="147">
        <v>8</v>
      </c>
      <c r="C533" s="244" t="s">
        <v>583</v>
      </c>
      <c r="D533" s="154" t="s">
        <v>159</v>
      </c>
      <c r="E533" s="155"/>
      <c r="F533" s="155">
        <v>1600069165</v>
      </c>
      <c r="G533" s="155"/>
      <c r="H533" s="154" t="s">
        <v>745</v>
      </c>
      <c r="I533" s="244" t="s">
        <v>560</v>
      </c>
      <c r="J533" s="147">
        <v>1</v>
      </c>
      <c r="K533" s="147">
        <v>1</v>
      </c>
      <c r="L533" s="147">
        <v>12</v>
      </c>
      <c r="M533" s="132">
        <f t="shared" si="84"/>
        <v>1</v>
      </c>
      <c r="N533" s="140" t="s">
        <v>36</v>
      </c>
      <c r="O533" s="141" t="str">
        <f>IF(ISBLANK(N533),"",VLOOKUP(N533,[25]Parámetros!$G$2:$H$23,2,FALSE))</f>
        <v xml:space="preserve">Contratación directa (con ofertas) </v>
      </c>
      <c r="P533" s="245">
        <f t="shared" si="96"/>
        <v>1</v>
      </c>
      <c r="Q533" s="143">
        <f t="shared" si="85"/>
        <v>1600069165</v>
      </c>
      <c r="R533" s="143">
        <f t="shared" si="86"/>
        <v>1600069165</v>
      </c>
      <c r="S533" s="246" t="s">
        <v>222</v>
      </c>
      <c r="T533" s="245">
        <f t="shared" si="93"/>
        <v>0</v>
      </c>
      <c r="U533" s="145" t="str">
        <f t="shared" si="87"/>
        <v>SUBDIRECCION DE GESTION CONTRACTUAL</v>
      </c>
      <c r="V533" s="245" t="str">
        <f t="shared" si="94"/>
        <v>CO-DC</v>
      </c>
      <c r="W533" s="245" t="str">
        <f t="shared" si="95"/>
        <v>Distrito Capital de Bogotá</v>
      </c>
      <c r="X533" s="154" t="s">
        <v>553</v>
      </c>
      <c r="Y533" s="147">
        <v>2427400</v>
      </c>
      <c r="Z533" s="157" t="s">
        <v>160</v>
      </c>
      <c r="AA533" s="248"/>
      <c r="AB533" s="248"/>
      <c r="AC533" s="248"/>
      <c r="AD533" s="248"/>
      <c r="AE533" s="248"/>
      <c r="AF533" s="248"/>
      <c r="AG533" s="248"/>
      <c r="AH533" s="248"/>
      <c r="AI533" s="248"/>
      <c r="AJ533" s="248"/>
      <c r="AK533" s="248"/>
      <c r="AL533" s="248"/>
      <c r="AM533" s="248"/>
      <c r="AN533" s="248"/>
      <c r="AO533" s="248"/>
      <c r="AP533" s="248"/>
      <c r="AQ533" s="248"/>
      <c r="AR533" s="248"/>
      <c r="AS533" s="248"/>
      <c r="AT533" s="248"/>
      <c r="AU533" s="152"/>
      <c r="AV533" s="152"/>
      <c r="AW533" s="152"/>
      <c r="AX533" s="152"/>
      <c r="AY533" s="152"/>
      <c r="AZ533" s="152"/>
      <c r="BA533" s="152"/>
      <c r="BB533" s="152"/>
      <c r="BC533" s="152"/>
      <c r="BD533" s="152"/>
      <c r="BE533" s="152"/>
      <c r="BF533" s="152"/>
      <c r="BG533" s="152"/>
      <c r="BH533" s="152"/>
      <c r="BI533" s="152"/>
      <c r="BJ533" s="152"/>
      <c r="BK533" s="152"/>
      <c r="BL533" s="152"/>
      <c r="BM533" s="152"/>
      <c r="BN533" s="152"/>
      <c r="BO533" s="152"/>
      <c r="BP533" s="152"/>
      <c r="BQ533" s="152"/>
      <c r="BR533" s="152"/>
      <c r="BS533" s="152"/>
      <c r="BT533" s="152"/>
      <c r="BU533" s="152"/>
      <c r="BV533" s="152"/>
      <c r="BW533" s="152"/>
      <c r="BX533" s="152"/>
      <c r="BY533" s="152"/>
      <c r="BZ533" s="152"/>
      <c r="CA533" s="152"/>
      <c r="CB533" s="152"/>
      <c r="CC533" s="152"/>
      <c r="CD533" s="152"/>
      <c r="CE533" s="152"/>
      <c r="CF533" s="152"/>
      <c r="CG533" s="252"/>
    </row>
    <row r="534" spans="1:85" s="250" customFormat="1" ht="13.9" customHeight="1" x14ac:dyDescent="0.2">
      <c r="A534" s="251" t="s">
        <v>158</v>
      </c>
      <c r="B534" s="147">
        <v>9</v>
      </c>
      <c r="C534" s="244" t="s">
        <v>583</v>
      </c>
      <c r="D534" s="154" t="s">
        <v>159</v>
      </c>
      <c r="E534" s="155"/>
      <c r="F534" s="155">
        <v>2560694474</v>
      </c>
      <c r="G534" s="155"/>
      <c r="H534" s="154" t="s">
        <v>749</v>
      </c>
      <c r="I534" s="244" t="s">
        <v>561</v>
      </c>
      <c r="J534" s="147">
        <v>1</v>
      </c>
      <c r="K534" s="147">
        <v>1</v>
      </c>
      <c r="L534" s="147">
        <v>12</v>
      </c>
      <c r="M534" s="132">
        <f t="shared" si="84"/>
        <v>1</v>
      </c>
      <c r="N534" s="140" t="s">
        <v>36</v>
      </c>
      <c r="O534" s="141" t="str">
        <f>IF(ISBLANK(N534),"",VLOOKUP(N534,[25]Parámetros!$G$2:$H$23,2,FALSE))</f>
        <v xml:space="preserve">Contratación directa (con ofertas) </v>
      </c>
      <c r="P534" s="245">
        <f t="shared" si="96"/>
        <v>1</v>
      </c>
      <c r="Q534" s="143">
        <f t="shared" si="85"/>
        <v>2560694474</v>
      </c>
      <c r="R534" s="143">
        <f t="shared" si="86"/>
        <v>2560694474</v>
      </c>
      <c r="S534" s="246" t="s">
        <v>222</v>
      </c>
      <c r="T534" s="245">
        <f t="shared" si="93"/>
        <v>0</v>
      </c>
      <c r="U534" s="145" t="str">
        <f t="shared" si="87"/>
        <v>SUBDIRECCION DE GESTION CONTRACTUAL</v>
      </c>
      <c r="V534" s="245" t="str">
        <f t="shared" si="94"/>
        <v>CO-DC</v>
      </c>
      <c r="W534" s="245" t="str">
        <f t="shared" si="95"/>
        <v>Distrito Capital de Bogotá</v>
      </c>
      <c r="X534" s="154" t="s">
        <v>553</v>
      </c>
      <c r="Y534" s="147">
        <v>2427400</v>
      </c>
      <c r="Z534" s="157" t="s">
        <v>160</v>
      </c>
      <c r="AA534" s="248"/>
      <c r="AB534" s="248"/>
      <c r="AC534" s="248"/>
      <c r="AD534" s="248"/>
      <c r="AE534" s="248"/>
      <c r="AF534" s="248"/>
      <c r="AG534" s="248"/>
      <c r="AH534" s="248"/>
      <c r="AI534" s="248"/>
      <c r="AJ534" s="248"/>
      <c r="AK534" s="248"/>
      <c r="AL534" s="248"/>
      <c r="AM534" s="248"/>
      <c r="AN534" s="248"/>
      <c r="AO534" s="248"/>
      <c r="AP534" s="248"/>
      <c r="AQ534" s="248"/>
      <c r="AR534" s="248"/>
      <c r="AS534" s="248"/>
      <c r="AT534" s="248"/>
      <c r="AU534" s="152"/>
      <c r="AV534" s="152"/>
      <c r="AW534" s="152"/>
      <c r="AX534" s="152"/>
      <c r="AY534" s="152"/>
      <c r="AZ534" s="152"/>
      <c r="BA534" s="152"/>
      <c r="BB534" s="152"/>
      <c r="BC534" s="152"/>
      <c r="BD534" s="152"/>
      <c r="BE534" s="152"/>
      <c r="BF534" s="152"/>
      <c r="BG534" s="152"/>
      <c r="BH534" s="152"/>
      <c r="BI534" s="152"/>
      <c r="BJ534" s="152"/>
      <c r="BK534" s="152"/>
      <c r="BL534" s="152"/>
      <c r="BM534" s="152"/>
      <c r="BN534" s="152"/>
      <c r="BO534" s="152"/>
      <c r="BP534" s="152"/>
      <c r="BQ534" s="152"/>
      <c r="BR534" s="152"/>
      <c r="BS534" s="152"/>
      <c r="BT534" s="152"/>
      <c r="BU534" s="152"/>
      <c r="BV534" s="152"/>
      <c r="BW534" s="152"/>
      <c r="BX534" s="152"/>
      <c r="BY534" s="152"/>
      <c r="BZ534" s="152"/>
      <c r="CA534" s="152"/>
      <c r="CB534" s="152"/>
      <c r="CC534" s="152"/>
      <c r="CD534" s="152"/>
      <c r="CE534" s="152"/>
      <c r="CF534" s="152"/>
      <c r="CG534" s="252"/>
    </row>
    <row r="535" spans="1:85" s="250" customFormat="1" ht="13.9" customHeight="1" x14ac:dyDescent="0.2">
      <c r="A535" s="251" t="s">
        <v>158</v>
      </c>
      <c r="B535" s="147">
        <v>10</v>
      </c>
      <c r="C535" s="244" t="s">
        <v>583</v>
      </c>
      <c r="D535" s="154" t="s">
        <v>159</v>
      </c>
      <c r="E535" s="155"/>
      <c r="F535" s="155">
        <v>1906418842</v>
      </c>
      <c r="G535" s="155"/>
      <c r="H535" s="154" t="s">
        <v>745</v>
      </c>
      <c r="I535" s="244" t="s">
        <v>562</v>
      </c>
      <c r="J535" s="147">
        <v>1</v>
      </c>
      <c r="K535" s="147">
        <v>1</v>
      </c>
      <c r="L535" s="147">
        <v>12</v>
      </c>
      <c r="M535" s="132">
        <f t="shared" si="84"/>
        <v>1</v>
      </c>
      <c r="N535" s="140" t="s">
        <v>36</v>
      </c>
      <c r="O535" s="141" t="str">
        <f>IF(ISBLANK(N535),"",VLOOKUP(N535,[25]Parámetros!$G$2:$H$23,2,FALSE))</f>
        <v xml:space="preserve">Contratación directa (con ofertas) </v>
      </c>
      <c r="P535" s="245">
        <f t="shared" si="96"/>
        <v>1</v>
      </c>
      <c r="Q535" s="143">
        <f t="shared" si="85"/>
        <v>1906418842</v>
      </c>
      <c r="R535" s="143">
        <f t="shared" si="86"/>
        <v>1906418842</v>
      </c>
      <c r="S535" s="246" t="s">
        <v>222</v>
      </c>
      <c r="T535" s="245">
        <f t="shared" si="93"/>
        <v>0</v>
      </c>
      <c r="U535" s="145" t="str">
        <f t="shared" si="87"/>
        <v>SUBDIRECCION DE GESTION CONTRACTUAL</v>
      </c>
      <c r="V535" s="245" t="str">
        <f t="shared" si="94"/>
        <v>CO-DC</v>
      </c>
      <c r="W535" s="245" t="str">
        <f t="shared" si="95"/>
        <v>Distrito Capital de Bogotá</v>
      </c>
      <c r="X535" s="154" t="s">
        <v>553</v>
      </c>
      <c r="Y535" s="147">
        <v>2427400</v>
      </c>
      <c r="Z535" s="157" t="s">
        <v>160</v>
      </c>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152"/>
      <c r="AV535" s="152"/>
      <c r="AW535" s="152"/>
      <c r="AX535" s="152"/>
      <c r="AY535" s="152"/>
      <c r="AZ535" s="152"/>
      <c r="BA535" s="152"/>
      <c r="BB535" s="152"/>
      <c r="BC535" s="152"/>
      <c r="BD535" s="152"/>
      <c r="BE535" s="152"/>
      <c r="BF535" s="152"/>
      <c r="BG535" s="152"/>
      <c r="BH535" s="152"/>
      <c r="BI535" s="152"/>
      <c r="BJ535" s="152"/>
      <c r="BK535" s="152"/>
      <c r="BL535" s="152"/>
      <c r="BM535" s="152"/>
      <c r="BN535" s="152"/>
      <c r="BO535" s="152"/>
      <c r="BP535" s="152"/>
      <c r="BQ535" s="152"/>
      <c r="BR535" s="152"/>
      <c r="BS535" s="152"/>
      <c r="BT535" s="152"/>
      <c r="BU535" s="152"/>
      <c r="BV535" s="152"/>
      <c r="BW535" s="152"/>
      <c r="BX535" s="152"/>
      <c r="BY535" s="152"/>
      <c r="BZ535" s="152"/>
      <c r="CA535" s="152"/>
      <c r="CB535" s="152"/>
      <c r="CC535" s="152"/>
      <c r="CD535" s="152"/>
      <c r="CE535" s="152"/>
      <c r="CF535" s="152"/>
      <c r="CG535" s="252"/>
    </row>
    <row r="536" spans="1:85" s="250" customFormat="1" ht="13.9" customHeight="1" x14ac:dyDescent="0.2">
      <c r="A536" s="251" t="s">
        <v>158</v>
      </c>
      <c r="B536" s="147">
        <v>11</v>
      </c>
      <c r="C536" s="244" t="s">
        <v>583</v>
      </c>
      <c r="D536" s="154" t="s">
        <v>159</v>
      </c>
      <c r="E536" s="155"/>
      <c r="F536" s="155">
        <v>3484003648</v>
      </c>
      <c r="G536" s="155"/>
      <c r="H536" s="154" t="s">
        <v>749</v>
      </c>
      <c r="I536" s="244" t="s">
        <v>563</v>
      </c>
      <c r="J536" s="147">
        <v>1</v>
      </c>
      <c r="K536" s="147">
        <v>1</v>
      </c>
      <c r="L536" s="147">
        <v>12</v>
      </c>
      <c r="M536" s="132">
        <f t="shared" si="84"/>
        <v>1</v>
      </c>
      <c r="N536" s="140" t="s">
        <v>36</v>
      </c>
      <c r="O536" s="141" t="str">
        <f>IF(ISBLANK(N536),"",VLOOKUP(N536,[25]Parámetros!$G$2:$H$23,2,FALSE))</f>
        <v xml:space="preserve">Contratación directa (con ofertas) </v>
      </c>
      <c r="P536" s="245">
        <f t="shared" si="96"/>
        <v>1</v>
      </c>
      <c r="Q536" s="143">
        <f t="shared" si="85"/>
        <v>3484003648</v>
      </c>
      <c r="R536" s="143">
        <f t="shared" si="86"/>
        <v>3484003648</v>
      </c>
      <c r="S536" s="246" t="s">
        <v>222</v>
      </c>
      <c r="T536" s="245">
        <f t="shared" si="93"/>
        <v>0</v>
      </c>
      <c r="U536" s="145" t="str">
        <f t="shared" si="87"/>
        <v>SUBDIRECCION DE GESTION CONTRACTUAL</v>
      </c>
      <c r="V536" s="245" t="str">
        <f t="shared" si="94"/>
        <v>CO-DC</v>
      </c>
      <c r="W536" s="245" t="str">
        <f t="shared" si="95"/>
        <v>Distrito Capital de Bogotá</v>
      </c>
      <c r="X536" s="154" t="s">
        <v>553</v>
      </c>
      <c r="Y536" s="147">
        <v>2427400</v>
      </c>
      <c r="Z536" s="157" t="s">
        <v>160</v>
      </c>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152"/>
      <c r="AV536" s="152"/>
      <c r="AW536" s="152"/>
      <c r="AX536" s="152"/>
      <c r="AY536" s="152"/>
      <c r="AZ536" s="152"/>
      <c r="BA536" s="152"/>
      <c r="BB536" s="152"/>
      <c r="BC536" s="152"/>
      <c r="BD536" s="152"/>
      <c r="BE536" s="152"/>
      <c r="BF536" s="152"/>
      <c r="BG536" s="152"/>
      <c r="BH536" s="152"/>
      <c r="BI536" s="152"/>
      <c r="BJ536" s="152"/>
      <c r="BK536" s="152"/>
      <c r="BL536" s="152"/>
      <c r="BM536" s="152"/>
      <c r="BN536" s="152"/>
      <c r="BO536" s="152"/>
      <c r="BP536" s="152"/>
      <c r="BQ536" s="152"/>
      <c r="BR536" s="152"/>
      <c r="BS536" s="152"/>
      <c r="BT536" s="152"/>
      <c r="BU536" s="152"/>
      <c r="BV536" s="152"/>
      <c r="BW536" s="152"/>
      <c r="BX536" s="152"/>
      <c r="BY536" s="152"/>
      <c r="BZ536" s="152"/>
      <c r="CA536" s="152"/>
      <c r="CB536" s="152"/>
      <c r="CC536" s="152"/>
      <c r="CD536" s="152"/>
      <c r="CE536" s="152"/>
      <c r="CF536" s="152"/>
      <c r="CG536" s="252"/>
    </row>
    <row r="537" spans="1:85" s="250" customFormat="1" ht="13.9" customHeight="1" x14ac:dyDescent="0.2">
      <c r="A537" s="251" t="s">
        <v>158</v>
      </c>
      <c r="B537" s="147">
        <v>12</v>
      </c>
      <c r="C537" s="244" t="s">
        <v>583</v>
      </c>
      <c r="D537" s="154" t="s">
        <v>159</v>
      </c>
      <c r="E537" s="155"/>
      <c r="F537" s="155">
        <v>1749472667</v>
      </c>
      <c r="G537" s="155"/>
      <c r="H537" s="154" t="s">
        <v>745</v>
      </c>
      <c r="I537" s="244" t="s">
        <v>564</v>
      </c>
      <c r="J537" s="147">
        <v>1</v>
      </c>
      <c r="K537" s="147">
        <v>1</v>
      </c>
      <c r="L537" s="147">
        <v>12</v>
      </c>
      <c r="M537" s="132">
        <f t="shared" si="84"/>
        <v>1</v>
      </c>
      <c r="N537" s="140" t="s">
        <v>36</v>
      </c>
      <c r="O537" s="141" t="str">
        <f>IF(ISBLANK(N537),"",VLOOKUP(N537,[25]Parámetros!$G$2:$H$23,2,FALSE))</f>
        <v xml:space="preserve">Contratación directa (con ofertas) </v>
      </c>
      <c r="P537" s="245">
        <f t="shared" si="96"/>
        <v>1</v>
      </c>
      <c r="Q537" s="143">
        <f t="shared" si="85"/>
        <v>1749472667</v>
      </c>
      <c r="R537" s="143">
        <f t="shared" si="86"/>
        <v>1749472667</v>
      </c>
      <c r="S537" s="246" t="s">
        <v>222</v>
      </c>
      <c r="T537" s="245">
        <f t="shared" ref="T537:T568" si="97">IF(ISBLANK(S537),"",IF(VALUE(S537)=0,0,IF(VALUE(S537)=1,3,"")))</f>
        <v>0</v>
      </c>
      <c r="U537" s="145" t="str">
        <f t="shared" si="87"/>
        <v>SUBDIRECCION DE GESTION CONTRACTUAL</v>
      </c>
      <c r="V537" s="245" t="str">
        <f t="shared" si="94"/>
        <v>CO-DC</v>
      </c>
      <c r="W537" s="245" t="str">
        <f t="shared" si="95"/>
        <v>Distrito Capital de Bogotá</v>
      </c>
      <c r="X537" s="154" t="s">
        <v>553</v>
      </c>
      <c r="Y537" s="147">
        <v>2427400</v>
      </c>
      <c r="Z537" s="157" t="s">
        <v>160</v>
      </c>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152"/>
      <c r="AV537" s="152"/>
      <c r="AW537" s="152"/>
      <c r="AX537" s="152"/>
      <c r="AY537" s="152"/>
      <c r="AZ537" s="152"/>
      <c r="BA537" s="152"/>
      <c r="BB537" s="152"/>
      <c r="BC537" s="152"/>
      <c r="BD537" s="152"/>
      <c r="BE537" s="152"/>
      <c r="BF537" s="152"/>
      <c r="BG537" s="152"/>
      <c r="BH537" s="152"/>
      <c r="BI537" s="152"/>
      <c r="BJ537" s="152"/>
      <c r="BK537" s="152"/>
      <c r="BL537" s="152"/>
      <c r="BM537" s="152"/>
      <c r="BN537" s="152"/>
      <c r="BO537" s="152"/>
      <c r="BP537" s="152"/>
      <c r="BQ537" s="152"/>
      <c r="BR537" s="152"/>
      <c r="BS537" s="152"/>
      <c r="BT537" s="152"/>
      <c r="BU537" s="152"/>
      <c r="BV537" s="152"/>
      <c r="BW537" s="152"/>
      <c r="BX537" s="152"/>
      <c r="BY537" s="152"/>
      <c r="BZ537" s="152"/>
      <c r="CA537" s="152"/>
      <c r="CB537" s="152"/>
      <c r="CC537" s="152"/>
      <c r="CD537" s="152"/>
      <c r="CE537" s="152"/>
      <c r="CF537" s="152"/>
      <c r="CG537" s="252"/>
    </row>
    <row r="538" spans="1:85" s="250" customFormat="1" ht="13.9" customHeight="1" x14ac:dyDescent="0.2">
      <c r="A538" s="251" t="s">
        <v>158</v>
      </c>
      <c r="B538" s="147">
        <v>13</v>
      </c>
      <c r="C538" s="244" t="s">
        <v>583</v>
      </c>
      <c r="D538" s="154" t="s">
        <v>159</v>
      </c>
      <c r="E538" s="155"/>
      <c r="F538" s="155">
        <v>1600069165</v>
      </c>
      <c r="G538" s="155"/>
      <c r="H538" s="154" t="s">
        <v>745</v>
      </c>
      <c r="I538" s="244" t="s">
        <v>565</v>
      </c>
      <c r="J538" s="147">
        <v>1</v>
      </c>
      <c r="K538" s="147">
        <v>1</v>
      </c>
      <c r="L538" s="147">
        <v>12</v>
      </c>
      <c r="M538" s="132">
        <f t="shared" si="84"/>
        <v>1</v>
      </c>
      <c r="N538" s="140" t="s">
        <v>36</v>
      </c>
      <c r="O538" s="141" t="str">
        <f>IF(ISBLANK(N538),"",VLOOKUP(N538,[25]Parámetros!$G$2:$H$23,2,FALSE))</f>
        <v xml:space="preserve">Contratación directa (con ofertas) </v>
      </c>
      <c r="P538" s="245">
        <f t="shared" si="96"/>
        <v>1</v>
      </c>
      <c r="Q538" s="143">
        <f t="shared" si="85"/>
        <v>1600069165</v>
      </c>
      <c r="R538" s="143">
        <f t="shared" si="86"/>
        <v>1600069165</v>
      </c>
      <c r="S538" s="246" t="s">
        <v>222</v>
      </c>
      <c r="T538" s="245">
        <f t="shared" si="97"/>
        <v>0</v>
      </c>
      <c r="U538" s="145" t="str">
        <f t="shared" si="87"/>
        <v>SUBDIRECCION DE GESTION CONTRACTUAL</v>
      </c>
      <c r="V538" s="245" t="str">
        <f t="shared" si="94"/>
        <v>CO-DC</v>
      </c>
      <c r="W538" s="245" t="str">
        <f t="shared" si="95"/>
        <v>Distrito Capital de Bogotá</v>
      </c>
      <c r="X538" s="154" t="s">
        <v>553</v>
      </c>
      <c r="Y538" s="147">
        <v>2427400</v>
      </c>
      <c r="Z538" s="157" t="s">
        <v>160</v>
      </c>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152"/>
      <c r="AV538" s="152"/>
      <c r="AW538" s="152"/>
      <c r="AX538" s="152"/>
      <c r="AY538" s="152"/>
      <c r="AZ538" s="152"/>
      <c r="BA538" s="152"/>
      <c r="BB538" s="152"/>
      <c r="BC538" s="152"/>
      <c r="BD538" s="152"/>
      <c r="BE538" s="152"/>
      <c r="BF538" s="152"/>
      <c r="BG538" s="152"/>
      <c r="BH538" s="152"/>
      <c r="BI538" s="152"/>
      <c r="BJ538" s="152"/>
      <c r="BK538" s="152"/>
      <c r="BL538" s="152"/>
      <c r="BM538" s="152"/>
      <c r="BN538" s="152"/>
      <c r="BO538" s="152"/>
      <c r="BP538" s="152"/>
      <c r="BQ538" s="152"/>
      <c r="BR538" s="152"/>
      <c r="BS538" s="152"/>
      <c r="BT538" s="152"/>
      <c r="BU538" s="152"/>
      <c r="BV538" s="152"/>
      <c r="BW538" s="152"/>
      <c r="BX538" s="152"/>
      <c r="BY538" s="152"/>
      <c r="BZ538" s="152"/>
      <c r="CA538" s="152"/>
      <c r="CB538" s="152"/>
      <c r="CC538" s="152"/>
      <c r="CD538" s="152"/>
      <c r="CE538" s="152"/>
      <c r="CF538" s="152"/>
      <c r="CG538" s="252"/>
    </row>
    <row r="539" spans="1:85" s="250" customFormat="1" ht="13.9" customHeight="1" x14ac:dyDescent="0.2">
      <c r="A539" s="251" t="s">
        <v>158</v>
      </c>
      <c r="B539" s="147">
        <v>14</v>
      </c>
      <c r="C539" s="244" t="s">
        <v>583</v>
      </c>
      <c r="D539" s="154" t="s">
        <v>159</v>
      </c>
      <c r="E539" s="155"/>
      <c r="F539" s="155">
        <v>1310662954</v>
      </c>
      <c r="G539" s="155"/>
      <c r="H539" s="154" t="s">
        <v>745</v>
      </c>
      <c r="I539" s="244" t="s">
        <v>566</v>
      </c>
      <c r="J539" s="147">
        <v>1</v>
      </c>
      <c r="K539" s="147">
        <v>1</v>
      </c>
      <c r="L539" s="147">
        <v>12</v>
      </c>
      <c r="M539" s="132">
        <f t="shared" si="84"/>
        <v>1</v>
      </c>
      <c r="N539" s="140" t="s">
        <v>36</v>
      </c>
      <c r="O539" s="141" t="str">
        <f>IF(ISBLANK(N539),"",VLOOKUP(N539,[25]Parámetros!$G$2:$H$23,2,FALSE))</f>
        <v xml:space="preserve">Contratación directa (con ofertas) </v>
      </c>
      <c r="P539" s="245">
        <f t="shared" si="96"/>
        <v>1</v>
      </c>
      <c r="Q539" s="143">
        <f t="shared" si="85"/>
        <v>1310662954</v>
      </c>
      <c r="R539" s="143">
        <f t="shared" si="86"/>
        <v>1310662954</v>
      </c>
      <c r="S539" s="246" t="s">
        <v>222</v>
      </c>
      <c r="T539" s="245">
        <f t="shared" si="97"/>
        <v>0</v>
      </c>
      <c r="U539" s="145" t="str">
        <f t="shared" si="87"/>
        <v>SUBDIRECCION DE GESTION CONTRACTUAL</v>
      </c>
      <c r="V539" s="245" t="str">
        <f t="shared" si="94"/>
        <v>CO-DC</v>
      </c>
      <c r="W539" s="245" t="str">
        <f t="shared" si="95"/>
        <v>Distrito Capital de Bogotá</v>
      </c>
      <c r="X539" s="154" t="s">
        <v>553</v>
      </c>
      <c r="Y539" s="147">
        <v>2427400</v>
      </c>
      <c r="Z539" s="157" t="s">
        <v>160</v>
      </c>
      <c r="AA539" s="248"/>
      <c r="AB539" s="248"/>
      <c r="AC539" s="248"/>
      <c r="AD539" s="248"/>
      <c r="AE539" s="248"/>
      <c r="AF539" s="248"/>
      <c r="AG539" s="248"/>
      <c r="AH539" s="248"/>
      <c r="AI539" s="248"/>
      <c r="AJ539" s="248"/>
      <c r="AK539" s="248"/>
      <c r="AL539" s="248"/>
      <c r="AM539" s="248"/>
      <c r="AN539" s="248"/>
      <c r="AO539" s="248"/>
      <c r="AP539" s="248"/>
      <c r="AQ539" s="248"/>
      <c r="AR539" s="248"/>
      <c r="AS539" s="248"/>
      <c r="AT539" s="248"/>
      <c r="AU539" s="152"/>
      <c r="AV539" s="152"/>
      <c r="AW539" s="152"/>
      <c r="AX539" s="152"/>
      <c r="AY539" s="152"/>
      <c r="AZ539" s="152"/>
      <c r="BA539" s="152"/>
      <c r="BB539" s="152"/>
      <c r="BC539" s="152"/>
      <c r="BD539" s="152"/>
      <c r="BE539" s="152"/>
      <c r="BF539" s="152"/>
      <c r="BG539" s="152"/>
      <c r="BH539" s="152"/>
      <c r="BI539" s="152"/>
      <c r="BJ539" s="152"/>
      <c r="BK539" s="152"/>
      <c r="BL539" s="152"/>
      <c r="BM539" s="152"/>
      <c r="BN539" s="152"/>
      <c r="BO539" s="152"/>
      <c r="BP539" s="152"/>
      <c r="BQ539" s="152"/>
      <c r="BR539" s="152"/>
      <c r="BS539" s="152"/>
      <c r="BT539" s="152"/>
      <c r="BU539" s="152"/>
      <c r="BV539" s="152"/>
      <c r="BW539" s="152"/>
      <c r="BX539" s="152"/>
      <c r="BY539" s="152"/>
      <c r="BZ539" s="152"/>
      <c r="CA539" s="152"/>
      <c r="CB539" s="152"/>
      <c r="CC539" s="152"/>
      <c r="CD539" s="152"/>
      <c r="CE539" s="152"/>
      <c r="CF539" s="152"/>
      <c r="CG539" s="252"/>
    </row>
    <row r="540" spans="1:85" s="250" customFormat="1" ht="13.9" customHeight="1" x14ac:dyDescent="0.2">
      <c r="A540" s="251" t="s">
        <v>158</v>
      </c>
      <c r="B540" s="147">
        <v>15</v>
      </c>
      <c r="C540" s="244" t="s">
        <v>583</v>
      </c>
      <c r="D540" s="154" t="s">
        <v>159</v>
      </c>
      <c r="E540" s="155"/>
      <c r="F540" s="155">
        <v>2553967515</v>
      </c>
      <c r="G540" s="155"/>
      <c r="H540" s="154" t="s">
        <v>745</v>
      </c>
      <c r="I540" s="244" t="s">
        <v>632</v>
      </c>
      <c r="J540" s="147">
        <v>1</v>
      </c>
      <c r="K540" s="147">
        <v>1</v>
      </c>
      <c r="L540" s="147">
        <v>12</v>
      </c>
      <c r="M540" s="132">
        <f t="shared" si="84"/>
        <v>1</v>
      </c>
      <c r="N540" s="140" t="s">
        <v>36</v>
      </c>
      <c r="O540" s="141" t="str">
        <f>IF(ISBLANK(N540),"",VLOOKUP(N540,[25]Parámetros!$G$2:$H$23,2,FALSE))</f>
        <v xml:space="preserve">Contratación directa (con ofertas) </v>
      </c>
      <c r="P540" s="245">
        <f t="shared" si="96"/>
        <v>1</v>
      </c>
      <c r="Q540" s="143">
        <f t="shared" si="85"/>
        <v>2553967515</v>
      </c>
      <c r="R540" s="143">
        <f t="shared" si="86"/>
        <v>2553967515</v>
      </c>
      <c r="S540" s="246" t="s">
        <v>222</v>
      </c>
      <c r="T540" s="245">
        <f t="shared" si="97"/>
        <v>0</v>
      </c>
      <c r="U540" s="145" t="str">
        <f t="shared" si="87"/>
        <v>SUBDIRECCION DE GESTION CONTRACTUAL</v>
      </c>
      <c r="V540" s="245" t="str">
        <f t="shared" si="94"/>
        <v>CO-DC</v>
      </c>
      <c r="W540" s="245" t="str">
        <f t="shared" si="95"/>
        <v>Distrito Capital de Bogotá</v>
      </c>
      <c r="X540" s="154" t="s">
        <v>553</v>
      </c>
      <c r="Y540" s="147">
        <v>2427400</v>
      </c>
      <c r="Z540" s="157" t="s">
        <v>160</v>
      </c>
      <c r="AA540" s="248"/>
      <c r="AB540" s="248"/>
      <c r="AC540" s="248"/>
      <c r="AD540" s="248"/>
      <c r="AE540" s="248"/>
      <c r="AF540" s="248"/>
      <c r="AG540" s="248"/>
      <c r="AH540" s="248"/>
      <c r="AI540" s="248"/>
      <c r="AJ540" s="248"/>
      <c r="AK540" s="248"/>
      <c r="AL540" s="248"/>
      <c r="AM540" s="248"/>
      <c r="AN540" s="248"/>
      <c r="AO540" s="248"/>
      <c r="AP540" s="248"/>
      <c r="AQ540" s="248"/>
      <c r="AR540" s="248"/>
      <c r="AS540" s="248"/>
      <c r="AT540" s="248"/>
      <c r="AU540" s="152"/>
      <c r="AV540" s="152"/>
      <c r="AW540" s="152"/>
      <c r="AX540" s="152"/>
      <c r="AY540" s="152"/>
      <c r="AZ540" s="152"/>
      <c r="BA540" s="152"/>
      <c r="BB540" s="152"/>
      <c r="BC540" s="152"/>
      <c r="BD540" s="152"/>
      <c r="BE540" s="152"/>
      <c r="BF540" s="152"/>
      <c r="BG540" s="152"/>
      <c r="BH540" s="152"/>
      <c r="BI540" s="152"/>
      <c r="BJ540" s="152"/>
      <c r="BK540" s="152"/>
      <c r="BL540" s="152"/>
      <c r="BM540" s="152"/>
      <c r="BN540" s="152"/>
      <c r="BO540" s="152"/>
      <c r="BP540" s="152"/>
      <c r="BQ540" s="152"/>
      <c r="BR540" s="152"/>
      <c r="BS540" s="152"/>
      <c r="BT540" s="152"/>
      <c r="BU540" s="152"/>
      <c r="BV540" s="152"/>
      <c r="BW540" s="152"/>
      <c r="BX540" s="152"/>
      <c r="BY540" s="152"/>
      <c r="BZ540" s="152"/>
      <c r="CA540" s="152"/>
      <c r="CB540" s="152"/>
      <c r="CC540" s="152"/>
      <c r="CD540" s="152"/>
      <c r="CE540" s="152"/>
      <c r="CF540" s="152"/>
      <c r="CG540" s="252"/>
    </row>
    <row r="541" spans="1:85" s="250" customFormat="1" ht="13.9" customHeight="1" x14ac:dyDescent="0.2">
      <c r="A541" s="251" t="s">
        <v>158</v>
      </c>
      <c r="B541" s="147">
        <v>16</v>
      </c>
      <c r="C541" s="244" t="s">
        <v>583</v>
      </c>
      <c r="D541" s="154" t="s">
        <v>159</v>
      </c>
      <c r="E541" s="155"/>
      <c r="F541" s="155">
        <v>2544687516</v>
      </c>
      <c r="G541" s="155"/>
      <c r="H541" s="154" t="s">
        <v>745</v>
      </c>
      <c r="I541" s="244" t="s">
        <v>633</v>
      </c>
      <c r="J541" s="147">
        <v>1</v>
      </c>
      <c r="K541" s="147">
        <v>1</v>
      </c>
      <c r="L541" s="147">
        <v>12</v>
      </c>
      <c r="M541" s="132">
        <f t="shared" si="84"/>
        <v>1</v>
      </c>
      <c r="N541" s="140" t="s">
        <v>36</v>
      </c>
      <c r="O541" s="141" t="str">
        <f>IF(ISBLANK(N541),"",VLOOKUP(N541,[25]Parámetros!$G$2:$H$23,2,FALSE))</f>
        <v xml:space="preserve">Contratación directa (con ofertas) </v>
      </c>
      <c r="P541" s="245">
        <f t="shared" si="96"/>
        <v>1</v>
      </c>
      <c r="Q541" s="143">
        <f t="shared" si="85"/>
        <v>2544687516</v>
      </c>
      <c r="R541" s="143">
        <f t="shared" si="86"/>
        <v>2544687516</v>
      </c>
      <c r="S541" s="246" t="s">
        <v>222</v>
      </c>
      <c r="T541" s="245">
        <f t="shared" si="97"/>
        <v>0</v>
      </c>
      <c r="U541" s="145" t="str">
        <f t="shared" si="87"/>
        <v>SUBDIRECCION DE GESTION CONTRACTUAL</v>
      </c>
      <c r="V541" s="245" t="str">
        <f t="shared" si="94"/>
        <v>CO-DC</v>
      </c>
      <c r="W541" s="245" t="str">
        <f t="shared" si="95"/>
        <v>Distrito Capital de Bogotá</v>
      </c>
      <c r="X541" s="154" t="s">
        <v>553</v>
      </c>
      <c r="Y541" s="147">
        <v>2427400</v>
      </c>
      <c r="Z541" s="157" t="s">
        <v>160</v>
      </c>
      <c r="AA541" s="248"/>
      <c r="AB541" s="248"/>
      <c r="AC541" s="248"/>
      <c r="AD541" s="248"/>
      <c r="AE541" s="248"/>
      <c r="AF541" s="248"/>
      <c r="AG541" s="248"/>
      <c r="AH541" s="248"/>
      <c r="AI541" s="248"/>
      <c r="AJ541" s="248"/>
      <c r="AK541" s="248"/>
      <c r="AL541" s="248"/>
      <c r="AM541" s="248"/>
      <c r="AN541" s="248"/>
      <c r="AO541" s="248"/>
      <c r="AP541" s="248"/>
      <c r="AQ541" s="248"/>
      <c r="AR541" s="248"/>
      <c r="AS541" s="248"/>
      <c r="AT541" s="248"/>
      <c r="AU541" s="152"/>
      <c r="AV541" s="152"/>
      <c r="AW541" s="152"/>
      <c r="AX541" s="152"/>
      <c r="AY541" s="152"/>
      <c r="AZ541" s="152"/>
      <c r="BA541" s="152"/>
      <c r="BB541" s="152"/>
      <c r="BC541" s="152"/>
      <c r="BD541" s="152"/>
      <c r="BE541" s="152"/>
      <c r="BF541" s="152"/>
      <c r="BG541" s="152"/>
      <c r="BH541" s="152"/>
      <c r="BI541" s="152"/>
      <c r="BJ541" s="152"/>
      <c r="BK541" s="152"/>
      <c r="BL541" s="152"/>
      <c r="BM541" s="152"/>
      <c r="BN541" s="152"/>
      <c r="BO541" s="152"/>
      <c r="BP541" s="152"/>
      <c r="BQ541" s="152"/>
      <c r="BR541" s="152"/>
      <c r="BS541" s="152"/>
      <c r="BT541" s="152"/>
      <c r="BU541" s="152"/>
      <c r="BV541" s="152"/>
      <c r="BW541" s="152"/>
      <c r="BX541" s="152"/>
      <c r="BY541" s="152"/>
      <c r="BZ541" s="152"/>
      <c r="CA541" s="152"/>
      <c r="CB541" s="152"/>
      <c r="CC541" s="152"/>
      <c r="CD541" s="152"/>
      <c r="CE541" s="152"/>
      <c r="CF541" s="152"/>
      <c r="CG541" s="252"/>
    </row>
    <row r="542" spans="1:85" s="250" customFormat="1" ht="13.9" customHeight="1" x14ac:dyDescent="0.2">
      <c r="A542" s="251" t="s">
        <v>158</v>
      </c>
      <c r="B542" s="147">
        <v>17</v>
      </c>
      <c r="C542" s="244" t="s">
        <v>583</v>
      </c>
      <c r="D542" s="154" t="s">
        <v>159</v>
      </c>
      <c r="E542" s="155"/>
      <c r="F542" s="155">
        <v>1310662954</v>
      </c>
      <c r="G542" s="155"/>
      <c r="H542" s="154" t="s">
        <v>745</v>
      </c>
      <c r="I542" s="244" t="s">
        <v>634</v>
      </c>
      <c r="J542" s="147">
        <v>1</v>
      </c>
      <c r="K542" s="147">
        <v>1</v>
      </c>
      <c r="L542" s="147">
        <v>12</v>
      </c>
      <c r="M542" s="132">
        <f t="shared" si="84"/>
        <v>1</v>
      </c>
      <c r="N542" s="140" t="s">
        <v>36</v>
      </c>
      <c r="O542" s="141" t="str">
        <f>IF(ISBLANK(N542),"",VLOOKUP(N542,[25]Parámetros!$G$2:$H$23,2,FALSE))</f>
        <v xml:space="preserve">Contratación directa (con ofertas) </v>
      </c>
      <c r="P542" s="245">
        <f t="shared" si="96"/>
        <v>1</v>
      </c>
      <c r="Q542" s="143">
        <f t="shared" si="85"/>
        <v>1310662954</v>
      </c>
      <c r="R542" s="143">
        <f t="shared" si="86"/>
        <v>1310662954</v>
      </c>
      <c r="S542" s="246" t="s">
        <v>222</v>
      </c>
      <c r="T542" s="245">
        <f t="shared" si="97"/>
        <v>0</v>
      </c>
      <c r="U542" s="145" t="str">
        <f t="shared" si="87"/>
        <v>SUBDIRECCION DE GESTION CONTRACTUAL</v>
      </c>
      <c r="V542" s="245" t="str">
        <f t="shared" si="94"/>
        <v>CO-DC</v>
      </c>
      <c r="W542" s="245" t="str">
        <f t="shared" si="95"/>
        <v>Distrito Capital de Bogotá</v>
      </c>
      <c r="X542" s="154" t="s">
        <v>553</v>
      </c>
      <c r="Y542" s="147">
        <v>2427400</v>
      </c>
      <c r="Z542" s="157" t="s">
        <v>160</v>
      </c>
      <c r="AA542" s="248"/>
      <c r="AB542" s="248"/>
      <c r="AC542" s="248"/>
      <c r="AD542" s="248"/>
      <c r="AE542" s="248"/>
      <c r="AF542" s="248"/>
      <c r="AG542" s="248"/>
      <c r="AH542" s="248"/>
      <c r="AI542" s="248"/>
      <c r="AJ542" s="248"/>
      <c r="AK542" s="248"/>
      <c r="AL542" s="248"/>
      <c r="AM542" s="248"/>
      <c r="AN542" s="248"/>
      <c r="AO542" s="248"/>
      <c r="AP542" s="248"/>
      <c r="AQ542" s="248"/>
      <c r="AR542" s="248"/>
      <c r="AS542" s="248"/>
      <c r="AT542" s="248"/>
      <c r="AU542" s="152"/>
      <c r="AV542" s="152"/>
      <c r="AW542" s="152"/>
      <c r="AX542" s="152"/>
      <c r="AY542" s="152"/>
      <c r="AZ542" s="152"/>
      <c r="BA542" s="152"/>
      <c r="BB542" s="152"/>
      <c r="BC542" s="152"/>
      <c r="BD542" s="152"/>
      <c r="BE542" s="152"/>
      <c r="BF542" s="152"/>
      <c r="BG542" s="152"/>
      <c r="BH542" s="152"/>
      <c r="BI542" s="152"/>
      <c r="BJ542" s="152"/>
      <c r="BK542" s="152"/>
      <c r="BL542" s="152"/>
      <c r="BM542" s="152"/>
      <c r="BN542" s="152"/>
      <c r="BO542" s="152"/>
      <c r="BP542" s="152"/>
      <c r="BQ542" s="152"/>
      <c r="BR542" s="152"/>
      <c r="BS542" s="152"/>
      <c r="BT542" s="152"/>
      <c r="BU542" s="152"/>
      <c r="BV542" s="152"/>
      <c r="BW542" s="152"/>
      <c r="BX542" s="152"/>
      <c r="BY542" s="152"/>
      <c r="BZ542" s="152"/>
      <c r="CA542" s="152"/>
      <c r="CB542" s="152"/>
      <c r="CC542" s="152"/>
      <c r="CD542" s="152"/>
      <c r="CE542" s="152"/>
      <c r="CF542" s="152"/>
      <c r="CG542" s="252"/>
    </row>
    <row r="543" spans="1:85" s="250" customFormat="1" ht="13.9" customHeight="1" x14ac:dyDescent="0.2">
      <c r="A543" s="251" t="s">
        <v>158</v>
      </c>
      <c r="B543" s="147">
        <v>18</v>
      </c>
      <c r="C543" s="244" t="s">
        <v>583</v>
      </c>
      <c r="D543" s="154" t="s">
        <v>159</v>
      </c>
      <c r="E543" s="155"/>
      <c r="F543" s="155">
        <v>305440000</v>
      </c>
      <c r="G543" s="155"/>
      <c r="H543" s="154" t="s">
        <v>745</v>
      </c>
      <c r="I543" s="244" t="s">
        <v>635</v>
      </c>
      <c r="J543" s="147">
        <v>1</v>
      </c>
      <c r="K543" s="147">
        <v>1</v>
      </c>
      <c r="L543" s="147">
        <v>12</v>
      </c>
      <c r="M543" s="132">
        <f t="shared" si="84"/>
        <v>1</v>
      </c>
      <c r="N543" s="140" t="s">
        <v>36</v>
      </c>
      <c r="O543" s="141" t="str">
        <f>IF(ISBLANK(N543),"",VLOOKUP(N543,[25]Parámetros!$G$2:$H$23,2,FALSE))</f>
        <v xml:space="preserve">Contratación directa (con ofertas) </v>
      </c>
      <c r="P543" s="245">
        <f t="shared" si="96"/>
        <v>1</v>
      </c>
      <c r="Q543" s="143">
        <f t="shared" si="85"/>
        <v>305440000</v>
      </c>
      <c r="R543" s="143">
        <f t="shared" si="86"/>
        <v>305440000</v>
      </c>
      <c r="S543" s="246" t="s">
        <v>222</v>
      </c>
      <c r="T543" s="245">
        <f t="shared" si="97"/>
        <v>0</v>
      </c>
      <c r="U543" s="145" t="str">
        <f t="shared" si="87"/>
        <v>SUBDIRECCION DE GESTION CONTRACTUAL</v>
      </c>
      <c r="V543" s="245" t="str">
        <f t="shared" si="94"/>
        <v>CO-DC</v>
      </c>
      <c r="W543" s="245" t="str">
        <f t="shared" si="95"/>
        <v>Distrito Capital de Bogotá</v>
      </c>
      <c r="X543" s="154" t="s">
        <v>553</v>
      </c>
      <c r="Y543" s="147">
        <v>2427400</v>
      </c>
      <c r="Z543" s="157" t="s">
        <v>160</v>
      </c>
      <c r="AA543" s="248"/>
      <c r="AB543" s="248"/>
      <c r="AC543" s="248"/>
      <c r="AD543" s="248"/>
      <c r="AE543" s="248"/>
      <c r="AF543" s="248"/>
      <c r="AG543" s="248"/>
      <c r="AH543" s="248"/>
      <c r="AI543" s="248"/>
      <c r="AJ543" s="248"/>
      <c r="AK543" s="248"/>
      <c r="AL543" s="248"/>
      <c r="AM543" s="248"/>
      <c r="AN543" s="248"/>
      <c r="AO543" s="248"/>
      <c r="AP543" s="248"/>
      <c r="AQ543" s="248"/>
      <c r="AR543" s="248"/>
      <c r="AS543" s="248"/>
      <c r="AT543" s="248"/>
      <c r="AU543" s="152"/>
      <c r="AV543" s="152"/>
      <c r="AW543" s="152"/>
      <c r="AX543" s="152"/>
      <c r="AY543" s="152"/>
      <c r="AZ543" s="152"/>
      <c r="BA543" s="152"/>
      <c r="BB543" s="152"/>
      <c r="BC543" s="152"/>
      <c r="BD543" s="152"/>
      <c r="BE543" s="152"/>
      <c r="BF543" s="152"/>
      <c r="BG543" s="152"/>
      <c r="BH543" s="152"/>
      <c r="BI543" s="152"/>
      <c r="BJ543" s="152"/>
      <c r="BK543" s="152"/>
      <c r="BL543" s="152"/>
      <c r="BM543" s="152"/>
      <c r="BN543" s="152"/>
      <c r="BO543" s="152"/>
      <c r="BP543" s="152"/>
      <c r="BQ543" s="152"/>
      <c r="BR543" s="152"/>
      <c r="BS543" s="152"/>
      <c r="BT543" s="152"/>
      <c r="BU543" s="152"/>
      <c r="BV543" s="152"/>
      <c r="BW543" s="152"/>
      <c r="BX543" s="152"/>
      <c r="BY543" s="152"/>
      <c r="BZ543" s="152"/>
      <c r="CA543" s="152"/>
      <c r="CB543" s="152"/>
      <c r="CC543" s="152"/>
      <c r="CD543" s="152"/>
      <c r="CE543" s="152"/>
      <c r="CF543" s="152"/>
      <c r="CG543" s="252"/>
    </row>
    <row r="544" spans="1:85" s="250" customFormat="1" ht="13.9" customHeight="1" x14ac:dyDescent="0.2">
      <c r="A544" s="251" t="s">
        <v>158</v>
      </c>
      <c r="B544" s="147">
        <v>19</v>
      </c>
      <c r="C544" s="244" t="s">
        <v>583</v>
      </c>
      <c r="D544" s="154" t="s">
        <v>159</v>
      </c>
      <c r="E544" s="155"/>
      <c r="F544" s="155">
        <v>1988398580</v>
      </c>
      <c r="G544" s="155"/>
      <c r="H544" s="154" t="s">
        <v>749</v>
      </c>
      <c r="I544" s="244" t="s">
        <v>636</v>
      </c>
      <c r="J544" s="147">
        <v>1</v>
      </c>
      <c r="K544" s="147">
        <v>1</v>
      </c>
      <c r="L544" s="147">
        <v>12</v>
      </c>
      <c r="M544" s="132">
        <f t="shared" si="84"/>
        <v>1</v>
      </c>
      <c r="N544" s="140" t="s">
        <v>36</v>
      </c>
      <c r="O544" s="141" t="str">
        <f>IF(ISBLANK(N544),"",VLOOKUP(N544,[25]Parámetros!$G$2:$H$23,2,FALSE))</f>
        <v xml:space="preserve">Contratación directa (con ofertas) </v>
      </c>
      <c r="P544" s="245">
        <f t="shared" si="96"/>
        <v>1</v>
      </c>
      <c r="Q544" s="143">
        <f t="shared" si="85"/>
        <v>1988398580</v>
      </c>
      <c r="R544" s="143">
        <f t="shared" si="86"/>
        <v>1988398580</v>
      </c>
      <c r="S544" s="246" t="s">
        <v>222</v>
      </c>
      <c r="T544" s="245">
        <f t="shared" si="97"/>
        <v>0</v>
      </c>
      <c r="U544" s="145" t="str">
        <f t="shared" si="87"/>
        <v>SUBDIRECCION DE GESTION CONTRACTUAL</v>
      </c>
      <c r="V544" s="245" t="str">
        <f t="shared" si="94"/>
        <v>CO-DC</v>
      </c>
      <c r="W544" s="245" t="str">
        <f t="shared" si="95"/>
        <v>Distrito Capital de Bogotá</v>
      </c>
      <c r="X544" s="154" t="s">
        <v>553</v>
      </c>
      <c r="Y544" s="147">
        <v>2427400</v>
      </c>
      <c r="Z544" s="157" t="s">
        <v>160</v>
      </c>
      <c r="AA544" s="248"/>
      <c r="AB544" s="248"/>
      <c r="AC544" s="248"/>
      <c r="AD544" s="248"/>
      <c r="AE544" s="248"/>
      <c r="AF544" s="248"/>
      <c r="AG544" s="248"/>
      <c r="AH544" s="248"/>
      <c r="AI544" s="248"/>
      <c r="AJ544" s="248"/>
      <c r="AK544" s="248"/>
      <c r="AL544" s="248"/>
      <c r="AM544" s="248"/>
      <c r="AN544" s="248"/>
      <c r="AO544" s="248"/>
      <c r="AP544" s="248"/>
      <c r="AQ544" s="248"/>
      <c r="AR544" s="248"/>
      <c r="AS544" s="248"/>
      <c r="AT544" s="248"/>
      <c r="AU544" s="152"/>
      <c r="AV544" s="152"/>
      <c r="AW544" s="152"/>
      <c r="AX544" s="152"/>
      <c r="AY544" s="152"/>
      <c r="AZ544" s="152"/>
      <c r="BA544" s="152"/>
      <c r="BB544" s="152"/>
      <c r="BC544" s="152"/>
      <c r="BD544" s="152"/>
      <c r="BE544" s="152"/>
      <c r="BF544" s="152"/>
      <c r="BG544" s="152"/>
      <c r="BH544" s="152"/>
      <c r="BI544" s="152"/>
      <c r="BJ544" s="152"/>
      <c r="BK544" s="152"/>
      <c r="BL544" s="152"/>
      <c r="BM544" s="152"/>
      <c r="BN544" s="152"/>
      <c r="BO544" s="152"/>
      <c r="BP544" s="152"/>
      <c r="BQ544" s="152"/>
      <c r="BR544" s="152"/>
      <c r="BS544" s="152"/>
      <c r="BT544" s="152"/>
      <c r="BU544" s="152"/>
      <c r="BV544" s="152"/>
      <c r="BW544" s="152"/>
      <c r="BX544" s="152"/>
      <c r="BY544" s="152"/>
      <c r="BZ544" s="152"/>
      <c r="CA544" s="152"/>
      <c r="CB544" s="152"/>
      <c r="CC544" s="152"/>
      <c r="CD544" s="152"/>
      <c r="CE544" s="152"/>
      <c r="CF544" s="152"/>
      <c r="CG544" s="252"/>
    </row>
    <row r="545" spans="1:85" s="250" customFormat="1" ht="13.9" customHeight="1" x14ac:dyDescent="0.2">
      <c r="A545" s="251" t="s">
        <v>158</v>
      </c>
      <c r="B545" s="147">
        <v>20</v>
      </c>
      <c r="C545" s="244" t="s">
        <v>583</v>
      </c>
      <c r="D545" s="154" t="s">
        <v>159</v>
      </c>
      <c r="E545" s="155"/>
      <c r="F545" s="155">
        <v>397679715</v>
      </c>
      <c r="G545" s="155"/>
      <c r="H545" s="154" t="s">
        <v>749</v>
      </c>
      <c r="I545" s="244" t="s">
        <v>636</v>
      </c>
      <c r="J545" s="147">
        <v>1</v>
      </c>
      <c r="K545" s="147">
        <v>1</v>
      </c>
      <c r="L545" s="147">
        <v>12</v>
      </c>
      <c r="M545" s="132">
        <f t="shared" si="84"/>
        <v>1</v>
      </c>
      <c r="N545" s="140" t="s">
        <v>36</v>
      </c>
      <c r="O545" s="141" t="str">
        <f>IF(ISBLANK(N545),"",VLOOKUP(N545,[25]Parámetros!$G$2:$H$23,2,FALSE))</f>
        <v xml:space="preserve">Contratación directa (con ofertas) </v>
      </c>
      <c r="P545" s="245">
        <f t="shared" si="96"/>
        <v>1</v>
      </c>
      <c r="Q545" s="143">
        <f t="shared" si="85"/>
        <v>397679715</v>
      </c>
      <c r="R545" s="143">
        <f t="shared" si="86"/>
        <v>397679715</v>
      </c>
      <c r="S545" s="246" t="s">
        <v>222</v>
      </c>
      <c r="T545" s="245">
        <f t="shared" si="97"/>
        <v>0</v>
      </c>
      <c r="U545" s="145" t="str">
        <f t="shared" si="87"/>
        <v>SUBDIRECCION DE GESTION CONTRACTUAL</v>
      </c>
      <c r="V545" s="245" t="str">
        <f t="shared" si="94"/>
        <v>CO-DC</v>
      </c>
      <c r="W545" s="245" t="str">
        <f t="shared" si="95"/>
        <v>Distrito Capital de Bogotá</v>
      </c>
      <c r="X545" s="154" t="s">
        <v>553</v>
      </c>
      <c r="Y545" s="147">
        <v>2427400</v>
      </c>
      <c r="Z545" s="157" t="s">
        <v>160</v>
      </c>
      <c r="AA545" s="248"/>
      <c r="AB545" s="248"/>
      <c r="AC545" s="248"/>
      <c r="AD545" s="248"/>
      <c r="AE545" s="248"/>
      <c r="AF545" s="248"/>
      <c r="AG545" s="248"/>
      <c r="AH545" s="248"/>
      <c r="AI545" s="248"/>
      <c r="AJ545" s="248"/>
      <c r="AK545" s="248"/>
      <c r="AL545" s="248"/>
      <c r="AM545" s="248"/>
      <c r="AN545" s="248"/>
      <c r="AO545" s="248"/>
      <c r="AP545" s="248"/>
      <c r="AQ545" s="248"/>
      <c r="AR545" s="248"/>
      <c r="AS545" s="248"/>
      <c r="AT545" s="248"/>
      <c r="AU545" s="152"/>
      <c r="AV545" s="152"/>
      <c r="AW545" s="152"/>
      <c r="AX545" s="152"/>
      <c r="AY545" s="152"/>
      <c r="AZ545" s="152"/>
      <c r="BA545" s="152"/>
      <c r="BB545" s="152"/>
      <c r="BC545" s="152"/>
      <c r="BD545" s="152"/>
      <c r="BE545" s="152"/>
      <c r="BF545" s="152"/>
      <c r="BG545" s="152"/>
      <c r="BH545" s="152"/>
      <c r="BI545" s="152"/>
      <c r="BJ545" s="152"/>
      <c r="BK545" s="152"/>
      <c r="BL545" s="152"/>
      <c r="BM545" s="152"/>
      <c r="BN545" s="152"/>
      <c r="BO545" s="152"/>
      <c r="BP545" s="152"/>
      <c r="BQ545" s="152"/>
      <c r="BR545" s="152"/>
      <c r="BS545" s="152"/>
      <c r="BT545" s="152"/>
      <c r="BU545" s="152"/>
      <c r="BV545" s="152"/>
      <c r="BW545" s="152"/>
      <c r="BX545" s="152"/>
      <c r="BY545" s="152"/>
      <c r="BZ545" s="152"/>
      <c r="CA545" s="152"/>
      <c r="CB545" s="152"/>
      <c r="CC545" s="152"/>
      <c r="CD545" s="152"/>
      <c r="CE545" s="152"/>
      <c r="CF545" s="152"/>
      <c r="CG545" s="252"/>
    </row>
    <row r="546" spans="1:85" s="250" customFormat="1" ht="13.9" customHeight="1" x14ac:dyDescent="0.2">
      <c r="A546" s="251" t="s">
        <v>158</v>
      </c>
      <c r="B546" s="147">
        <v>21</v>
      </c>
      <c r="C546" s="244" t="s">
        <v>583</v>
      </c>
      <c r="D546" s="154" t="s">
        <v>159</v>
      </c>
      <c r="E546" s="155"/>
      <c r="F546" s="155">
        <v>250000000</v>
      </c>
      <c r="G546" s="155"/>
      <c r="H546" s="154" t="s">
        <v>745</v>
      </c>
      <c r="I546" s="244" t="s">
        <v>638</v>
      </c>
      <c r="J546" s="147">
        <v>1</v>
      </c>
      <c r="K546" s="147">
        <v>1</v>
      </c>
      <c r="L546" s="147">
        <v>12</v>
      </c>
      <c r="M546" s="132">
        <f t="shared" si="84"/>
        <v>1</v>
      </c>
      <c r="N546" s="140" t="s">
        <v>36</v>
      </c>
      <c r="O546" s="141" t="str">
        <f>IF(ISBLANK(N546),"",VLOOKUP(N546,[25]Parámetros!$G$2:$H$23,2,FALSE))</f>
        <v xml:space="preserve">Contratación directa (con ofertas) </v>
      </c>
      <c r="P546" s="245">
        <f t="shared" si="96"/>
        <v>1</v>
      </c>
      <c r="Q546" s="143">
        <f t="shared" si="85"/>
        <v>250000000</v>
      </c>
      <c r="R546" s="143">
        <f t="shared" si="86"/>
        <v>250000000</v>
      </c>
      <c r="S546" s="246" t="s">
        <v>222</v>
      </c>
      <c r="T546" s="245">
        <f t="shared" si="97"/>
        <v>0</v>
      </c>
      <c r="U546" s="145" t="str">
        <f t="shared" si="87"/>
        <v>SUBDIRECCION DE GESTION CONTRACTUAL</v>
      </c>
      <c r="V546" s="245" t="str">
        <f t="shared" si="94"/>
        <v>CO-DC</v>
      </c>
      <c r="W546" s="245" t="str">
        <f t="shared" si="95"/>
        <v>Distrito Capital de Bogotá</v>
      </c>
      <c r="X546" s="154" t="s">
        <v>553</v>
      </c>
      <c r="Y546" s="147">
        <v>2427400</v>
      </c>
      <c r="Z546" s="157" t="s">
        <v>160</v>
      </c>
      <c r="AA546" s="248"/>
      <c r="AB546" s="248"/>
      <c r="AC546" s="248"/>
      <c r="AD546" s="248"/>
      <c r="AE546" s="248"/>
      <c r="AF546" s="248"/>
      <c r="AG546" s="248"/>
      <c r="AH546" s="248"/>
      <c r="AI546" s="248"/>
      <c r="AJ546" s="248"/>
      <c r="AK546" s="248"/>
      <c r="AL546" s="248"/>
      <c r="AM546" s="248"/>
      <c r="AN546" s="248"/>
      <c r="AO546" s="248"/>
      <c r="AP546" s="248"/>
      <c r="AQ546" s="248"/>
      <c r="AR546" s="248"/>
      <c r="AS546" s="248"/>
      <c r="AT546" s="248"/>
      <c r="AU546" s="152"/>
      <c r="AV546" s="152"/>
      <c r="AW546" s="152"/>
      <c r="AX546" s="152"/>
      <c r="AY546" s="152"/>
      <c r="AZ546" s="152"/>
      <c r="BA546" s="152"/>
      <c r="BB546" s="152"/>
      <c r="BC546" s="152"/>
      <c r="BD546" s="152"/>
      <c r="BE546" s="152"/>
      <c r="BF546" s="152"/>
      <c r="BG546" s="152"/>
      <c r="BH546" s="152"/>
      <c r="BI546" s="152"/>
      <c r="BJ546" s="152"/>
      <c r="BK546" s="152"/>
      <c r="BL546" s="152"/>
      <c r="BM546" s="152"/>
      <c r="BN546" s="152"/>
      <c r="BO546" s="152"/>
      <c r="BP546" s="152"/>
      <c r="BQ546" s="152"/>
      <c r="BR546" s="152"/>
      <c r="BS546" s="152"/>
      <c r="BT546" s="152"/>
      <c r="BU546" s="152"/>
      <c r="BV546" s="152"/>
      <c r="BW546" s="152"/>
      <c r="BX546" s="152"/>
      <c r="BY546" s="152"/>
      <c r="BZ546" s="152"/>
      <c r="CA546" s="152"/>
      <c r="CB546" s="152"/>
      <c r="CC546" s="152"/>
      <c r="CD546" s="152"/>
      <c r="CE546" s="152"/>
      <c r="CF546" s="152"/>
      <c r="CG546" s="252"/>
    </row>
    <row r="547" spans="1:85" s="250" customFormat="1" ht="13.9" customHeight="1" x14ac:dyDescent="0.2">
      <c r="A547" s="251" t="s">
        <v>158</v>
      </c>
      <c r="B547" s="147">
        <v>22</v>
      </c>
      <c r="C547" s="244" t="s">
        <v>583</v>
      </c>
      <c r="D547" s="154" t="s">
        <v>159</v>
      </c>
      <c r="E547" s="155"/>
      <c r="F547" s="155">
        <v>250000000</v>
      </c>
      <c r="G547" s="155"/>
      <c r="H547" s="154" t="s">
        <v>745</v>
      </c>
      <c r="I547" s="244" t="s">
        <v>637</v>
      </c>
      <c r="J547" s="147">
        <v>1</v>
      </c>
      <c r="K547" s="147">
        <v>1</v>
      </c>
      <c r="L547" s="147">
        <v>12</v>
      </c>
      <c r="M547" s="132">
        <f t="shared" si="84"/>
        <v>1</v>
      </c>
      <c r="N547" s="140" t="s">
        <v>36</v>
      </c>
      <c r="O547" s="141" t="str">
        <f>IF(ISBLANK(N547),"",VLOOKUP(N547,[25]Parámetros!$G$2:$H$23,2,FALSE))</f>
        <v xml:space="preserve">Contratación directa (con ofertas) </v>
      </c>
      <c r="P547" s="245">
        <f t="shared" si="96"/>
        <v>1</v>
      </c>
      <c r="Q547" s="143">
        <f t="shared" si="85"/>
        <v>250000000</v>
      </c>
      <c r="R547" s="143">
        <f t="shared" si="86"/>
        <v>250000000</v>
      </c>
      <c r="S547" s="246" t="s">
        <v>222</v>
      </c>
      <c r="T547" s="245">
        <f t="shared" si="97"/>
        <v>0</v>
      </c>
      <c r="U547" s="145" t="str">
        <f t="shared" si="87"/>
        <v>SUBDIRECCION DE GESTION CONTRACTUAL</v>
      </c>
      <c r="V547" s="245" t="str">
        <f t="shared" si="94"/>
        <v>CO-DC</v>
      </c>
      <c r="W547" s="245" t="str">
        <f t="shared" si="95"/>
        <v>Distrito Capital de Bogotá</v>
      </c>
      <c r="X547" s="154" t="s">
        <v>553</v>
      </c>
      <c r="Y547" s="147">
        <v>2427400</v>
      </c>
      <c r="Z547" s="157" t="s">
        <v>160</v>
      </c>
      <c r="AA547" s="248"/>
      <c r="AB547" s="248"/>
      <c r="AC547" s="248"/>
      <c r="AD547" s="248"/>
      <c r="AE547" s="248"/>
      <c r="AF547" s="248"/>
      <c r="AG547" s="248"/>
      <c r="AH547" s="248"/>
      <c r="AI547" s="248"/>
      <c r="AJ547" s="248"/>
      <c r="AK547" s="248"/>
      <c r="AL547" s="248"/>
      <c r="AM547" s="248"/>
      <c r="AN547" s="248"/>
      <c r="AO547" s="248"/>
      <c r="AP547" s="248"/>
      <c r="AQ547" s="248"/>
      <c r="AR547" s="248"/>
      <c r="AS547" s="248"/>
      <c r="AT547" s="248"/>
      <c r="AU547" s="152"/>
      <c r="AV547" s="152"/>
      <c r="AW547" s="152"/>
      <c r="AX547" s="152"/>
      <c r="AY547" s="152"/>
      <c r="AZ547" s="152"/>
      <c r="BA547" s="152"/>
      <c r="BB547" s="152"/>
      <c r="BC547" s="152"/>
      <c r="BD547" s="152"/>
      <c r="BE547" s="152"/>
      <c r="BF547" s="152"/>
      <c r="BG547" s="152"/>
      <c r="BH547" s="152"/>
      <c r="BI547" s="152"/>
      <c r="BJ547" s="152"/>
      <c r="BK547" s="152"/>
      <c r="BL547" s="152"/>
      <c r="BM547" s="152"/>
      <c r="BN547" s="152"/>
      <c r="BO547" s="152"/>
      <c r="BP547" s="152"/>
      <c r="BQ547" s="152"/>
      <c r="BR547" s="152"/>
      <c r="BS547" s="152"/>
      <c r="BT547" s="152"/>
      <c r="BU547" s="152"/>
      <c r="BV547" s="152"/>
      <c r="BW547" s="152"/>
      <c r="BX547" s="152"/>
      <c r="BY547" s="152"/>
      <c r="BZ547" s="152"/>
      <c r="CA547" s="152"/>
      <c r="CB547" s="152"/>
      <c r="CC547" s="152"/>
      <c r="CD547" s="152"/>
      <c r="CE547" s="152"/>
      <c r="CF547" s="152"/>
      <c r="CG547" s="252"/>
    </row>
    <row r="548" spans="1:85" s="250" customFormat="1" ht="13.9" customHeight="1" x14ac:dyDescent="0.2">
      <c r="A548" s="251" t="s">
        <v>158</v>
      </c>
      <c r="B548" s="147">
        <v>23</v>
      </c>
      <c r="C548" s="244" t="s">
        <v>583</v>
      </c>
      <c r="D548" s="154" t="s">
        <v>159</v>
      </c>
      <c r="E548" s="155"/>
      <c r="F548" s="155">
        <v>196577560</v>
      </c>
      <c r="G548" s="155"/>
      <c r="H548" s="154" t="s">
        <v>745</v>
      </c>
      <c r="I548" s="244" t="s">
        <v>639</v>
      </c>
      <c r="J548" s="147">
        <v>1</v>
      </c>
      <c r="K548" s="147">
        <v>1</v>
      </c>
      <c r="L548" s="147">
        <v>12</v>
      </c>
      <c r="M548" s="132">
        <f t="shared" si="84"/>
        <v>1</v>
      </c>
      <c r="N548" s="140" t="s">
        <v>36</v>
      </c>
      <c r="O548" s="141" t="str">
        <f>IF(ISBLANK(N548),"",VLOOKUP(N548,[25]Parámetros!$G$2:$H$23,2,FALSE))</f>
        <v xml:space="preserve">Contratación directa (con ofertas) </v>
      </c>
      <c r="P548" s="245">
        <f t="shared" si="96"/>
        <v>1</v>
      </c>
      <c r="Q548" s="143">
        <f t="shared" si="85"/>
        <v>196577560</v>
      </c>
      <c r="R548" s="143">
        <f t="shared" si="86"/>
        <v>196577560</v>
      </c>
      <c r="S548" s="246" t="s">
        <v>222</v>
      </c>
      <c r="T548" s="245">
        <f t="shared" si="97"/>
        <v>0</v>
      </c>
      <c r="U548" s="145" t="str">
        <f t="shared" si="87"/>
        <v>SUBDIRECCION DE GESTION CONTRACTUAL</v>
      </c>
      <c r="V548" s="245" t="str">
        <f t="shared" si="94"/>
        <v>CO-DC</v>
      </c>
      <c r="W548" s="245" t="str">
        <f t="shared" si="95"/>
        <v>Distrito Capital de Bogotá</v>
      </c>
      <c r="X548" s="154" t="s">
        <v>553</v>
      </c>
      <c r="Y548" s="147">
        <v>2427400</v>
      </c>
      <c r="Z548" s="157" t="s">
        <v>160</v>
      </c>
      <c r="AA548" s="248"/>
      <c r="AB548" s="248"/>
      <c r="AC548" s="248"/>
      <c r="AD548" s="248"/>
      <c r="AE548" s="248"/>
      <c r="AF548" s="248"/>
      <c r="AG548" s="248"/>
      <c r="AH548" s="248"/>
      <c r="AI548" s="248"/>
      <c r="AJ548" s="248"/>
      <c r="AK548" s="248"/>
      <c r="AL548" s="248"/>
      <c r="AM548" s="248"/>
      <c r="AN548" s="248"/>
      <c r="AO548" s="248"/>
      <c r="AP548" s="248"/>
      <c r="AQ548" s="248"/>
      <c r="AR548" s="248"/>
      <c r="AS548" s="248"/>
      <c r="AT548" s="248"/>
      <c r="AU548" s="152"/>
      <c r="AV548" s="152"/>
      <c r="AW548" s="152"/>
      <c r="AX548" s="152"/>
      <c r="AY548" s="152"/>
      <c r="AZ548" s="152"/>
      <c r="BA548" s="152"/>
      <c r="BB548" s="152"/>
      <c r="BC548" s="152"/>
      <c r="BD548" s="152"/>
      <c r="BE548" s="152"/>
      <c r="BF548" s="152"/>
      <c r="BG548" s="152"/>
      <c r="BH548" s="152"/>
      <c r="BI548" s="152"/>
      <c r="BJ548" s="152"/>
      <c r="BK548" s="152"/>
      <c r="BL548" s="152"/>
      <c r="BM548" s="152"/>
      <c r="BN548" s="152"/>
      <c r="BO548" s="152"/>
      <c r="BP548" s="152"/>
      <c r="BQ548" s="152"/>
      <c r="BR548" s="152"/>
      <c r="BS548" s="152"/>
      <c r="BT548" s="152"/>
      <c r="BU548" s="152"/>
      <c r="BV548" s="152"/>
      <c r="BW548" s="152"/>
      <c r="BX548" s="152"/>
      <c r="BY548" s="152"/>
      <c r="BZ548" s="152"/>
      <c r="CA548" s="152"/>
      <c r="CB548" s="152"/>
      <c r="CC548" s="152"/>
      <c r="CD548" s="152"/>
      <c r="CE548" s="152"/>
      <c r="CF548" s="152"/>
      <c r="CG548" s="252"/>
    </row>
    <row r="549" spans="1:85" s="250" customFormat="1" ht="13.9" customHeight="1" x14ac:dyDescent="0.2">
      <c r="A549" s="251" t="s">
        <v>158</v>
      </c>
      <c r="B549" s="147">
        <v>24</v>
      </c>
      <c r="C549" s="244" t="s">
        <v>583</v>
      </c>
      <c r="D549" s="154" t="s">
        <v>159</v>
      </c>
      <c r="E549" s="155"/>
      <c r="F549" s="155">
        <v>205000000</v>
      </c>
      <c r="G549" s="155"/>
      <c r="H549" s="154" t="s">
        <v>745</v>
      </c>
      <c r="I549" s="244" t="s">
        <v>640</v>
      </c>
      <c r="J549" s="147">
        <v>1</v>
      </c>
      <c r="K549" s="147">
        <v>1</v>
      </c>
      <c r="L549" s="147">
        <v>12</v>
      </c>
      <c r="M549" s="132">
        <f t="shared" si="84"/>
        <v>1</v>
      </c>
      <c r="N549" s="140" t="s">
        <v>36</v>
      </c>
      <c r="O549" s="141" t="str">
        <f>IF(ISBLANK(N549),"",VLOOKUP(N549,[25]Parámetros!$G$2:$H$23,2,FALSE))</f>
        <v xml:space="preserve">Contratación directa (con ofertas) </v>
      </c>
      <c r="P549" s="245">
        <f t="shared" si="96"/>
        <v>1</v>
      </c>
      <c r="Q549" s="143">
        <f t="shared" si="85"/>
        <v>205000000</v>
      </c>
      <c r="R549" s="143">
        <f t="shared" si="86"/>
        <v>205000000</v>
      </c>
      <c r="S549" s="246" t="s">
        <v>222</v>
      </c>
      <c r="T549" s="245">
        <f t="shared" si="97"/>
        <v>0</v>
      </c>
      <c r="U549" s="145" t="str">
        <f t="shared" si="87"/>
        <v>SUBDIRECCION DE GESTION CONTRACTUAL</v>
      </c>
      <c r="V549" s="245" t="str">
        <f t="shared" si="94"/>
        <v>CO-DC</v>
      </c>
      <c r="W549" s="245" t="str">
        <f t="shared" si="95"/>
        <v>Distrito Capital de Bogotá</v>
      </c>
      <c r="X549" s="154" t="s">
        <v>553</v>
      </c>
      <c r="Y549" s="147">
        <v>2427400</v>
      </c>
      <c r="Z549" s="157" t="s">
        <v>160</v>
      </c>
      <c r="AA549" s="248"/>
      <c r="AB549" s="248"/>
      <c r="AC549" s="248"/>
      <c r="AD549" s="248"/>
      <c r="AE549" s="248"/>
      <c r="AF549" s="248"/>
      <c r="AG549" s="248"/>
      <c r="AH549" s="248"/>
      <c r="AI549" s="248"/>
      <c r="AJ549" s="248"/>
      <c r="AK549" s="248"/>
      <c r="AL549" s="248"/>
      <c r="AM549" s="248"/>
      <c r="AN549" s="248"/>
      <c r="AO549" s="248"/>
      <c r="AP549" s="248"/>
      <c r="AQ549" s="248"/>
      <c r="AR549" s="248"/>
      <c r="AS549" s="248"/>
      <c r="AT549" s="248"/>
      <c r="AU549" s="152"/>
      <c r="AV549" s="152"/>
      <c r="AW549" s="152"/>
      <c r="AX549" s="152"/>
      <c r="AY549" s="152"/>
      <c r="AZ549" s="152"/>
      <c r="BA549" s="152"/>
      <c r="BB549" s="152"/>
      <c r="BC549" s="152"/>
      <c r="BD549" s="152"/>
      <c r="BE549" s="152"/>
      <c r="BF549" s="152"/>
      <c r="BG549" s="152"/>
      <c r="BH549" s="152"/>
      <c r="BI549" s="152"/>
      <c r="BJ549" s="152"/>
      <c r="BK549" s="152"/>
      <c r="BL549" s="152"/>
      <c r="BM549" s="152"/>
      <c r="BN549" s="152"/>
      <c r="BO549" s="152"/>
      <c r="BP549" s="152"/>
      <c r="BQ549" s="152"/>
      <c r="BR549" s="152"/>
      <c r="BS549" s="152"/>
      <c r="BT549" s="152"/>
      <c r="BU549" s="152"/>
      <c r="BV549" s="152"/>
      <c r="BW549" s="152"/>
      <c r="BX549" s="152"/>
      <c r="BY549" s="152"/>
      <c r="BZ549" s="152"/>
      <c r="CA549" s="152"/>
      <c r="CB549" s="152"/>
      <c r="CC549" s="152"/>
      <c r="CD549" s="152"/>
      <c r="CE549" s="152"/>
      <c r="CF549" s="152"/>
      <c r="CG549" s="252"/>
    </row>
    <row r="550" spans="1:85" s="250" customFormat="1" ht="13.9" customHeight="1" x14ac:dyDescent="0.2">
      <c r="A550" s="251" t="s">
        <v>158</v>
      </c>
      <c r="B550" s="147">
        <v>25</v>
      </c>
      <c r="C550" s="244" t="s">
        <v>583</v>
      </c>
      <c r="D550" s="154" t="s">
        <v>159</v>
      </c>
      <c r="E550" s="155"/>
      <c r="F550" s="155">
        <v>205000000</v>
      </c>
      <c r="G550" s="155"/>
      <c r="H550" s="154" t="s">
        <v>745</v>
      </c>
      <c r="I550" s="244" t="s">
        <v>641</v>
      </c>
      <c r="J550" s="147">
        <v>1</v>
      </c>
      <c r="K550" s="147">
        <v>1</v>
      </c>
      <c r="L550" s="147">
        <v>12</v>
      </c>
      <c r="M550" s="132">
        <f t="shared" ref="M550:M613" si="98">IF(ISBLANK(J550),"",1)</f>
        <v>1</v>
      </c>
      <c r="N550" s="140" t="s">
        <v>36</v>
      </c>
      <c r="O550" s="141" t="str">
        <f>IF(ISBLANK(N550),"",VLOOKUP(N550,[25]Parámetros!$G$2:$H$23,2,FALSE))</f>
        <v xml:space="preserve">Contratación directa (con ofertas) </v>
      </c>
      <c r="P550" s="245">
        <f t="shared" si="96"/>
        <v>1</v>
      </c>
      <c r="Q550" s="143">
        <f t="shared" ref="Q550:Q613" si="99">+E550+F550+G550</f>
        <v>205000000</v>
      </c>
      <c r="R550" s="143">
        <f t="shared" ref="R550:R613" si="100">+F550</f>
        <v>205000000</v>
      </c>
      <c r="S550" s="246" t="s">
        <v>222</v>
      </c>
      <c r="T550" s="245">
        <f t="shared" si="97"/>
        <v>0</v>
      </c>
      <c r="U550" s="145" t="str">
        <f t="shared" ref="U550:U613" si="101">IF(ISBLANK(N550),"","SUBDIRECCION DE GESTION CONTRACTUAL")</f>
        <v>SUBDIRECCION DE GESTION CONTRACTUAL</v>
      </c>
      <c r="V550" s="245" t="str">
        <f t="shared" si="94"/>
        <v>CO-DC</v>
      </c>
      <c r="W550" s="245" t="str">
        <f t="shared" si="95"/>
        <v>Distrito Capital de Bogotá</v>
      </c>
      <c r="X550" s="154" t="s">
        <v>553</v>
      </c>
      <c r="Y550" s="147">
        <v>2427400</v>
      </c>
      <c r="Z550" s="157" t="s">
        <v>160</v>
      </c>
      <c r="AA550" s="248"/>
      <c r="AB550" s="248"/>
      <c r="AC550" s="248"/>
      <c r="AD550" s="248"/>
      <c r="AE550" s="248"/>
      <c r="AF550" s="248"/>
      <c r="AG550" s="248"/>
      <c r="AH550" s="248"/>
      <c r="AI550" s="248"/>
      <c r="AJ550" s="248"/>
      <c r="AK550" s="248"/>
      <c r="AL550" s="248"/>
      <c r="AM550" s="248"/>
      <c r="AN550" s="248"/>
      <c r="AO550" s="248"/>
      <c r="AP550" s="248"/>
      <c r="AQ550" s="248"/>
      <c r="AR550" s="248"/>
      <c r="AS550" s="248"/>
      <c r="AT550" s="248"/>
      <c r="AU550" s="152"/>
      <c r="AV550" s="152"/>
      <c r="AW550" s="152"/>
      <c r="AX550" s="152"/>
      <c r="AY550" s="152"/>
      <c r="AZ550" s="152"/>
      <c r="BA550" s="152"/>
      <c r="BB550" s="152"/>
      <c r="BC550" s="152"/>
      <c r="BD550" s="152"/>
      <c r="BE550" s="152"/>
      <c r="BF550" s="152"/>
      <c r="BG550" s="152"/>
      <c r="BH550" s="152"/>
      <c r="BI550" s="152"/>
      <c r="BJ550" s="152"/>
      <c r="BK550" s="152"/>
      <c r="BL550" s="152"/>
      <c r="BM550" s="152"/>
      <c r="BN550" s="152"/>
      <c r="BO550" s="152"/>
      <c r="BP550" s="152"/>
      <c r="BQ550" s="152"/>
      <c r="BR550" s="152"/>
      <c r="BS550" s="152"/>
      <c r="BT550" s="152"/>
      <c r="BU550" s="152"/>
      <c r="BV550" s="152"/>
      <c r="BW550" s="152"/>
      <c r="BX550" s="152"/>
      <c r="BY550" s="152"/>
      <c r="BZ550" s="152"/>
      <c r="CA550" s="152"/>
      <c r="CB550" s="152"/>
      <c r="CC550" s="152"/>
      <c r="CD550" s="152"/>
      <c r="CE550" s="152"/>
      <c r="CF550" s="152"/>
      <c r="CG550" s="252"/>
    </row>
    <row r="551" spans="1:85" s="250" customFormat="1" ht="13.9" customHeight="1" x14ac:dyDescent="0.2">
      <c r="A551" s="251" t="s">
        <v>158</v>
      </c>
      <c r="B551" s="147">
        <v>26</v>
      </c>
      <c r="C551" s="244" t="s">
        <v>583</v>
      </c>
      <c r="D551" s="154" t="s">
        <v>159</v>
      </c>
      <c r="E551" s="155"/>
      <c r="F551" s="155">
        <v>250000000</v>
      </c>
      <c r="G551" s="155"/>
      <c r="H551" s="154" t="s">
        <v>745</v>
      </c>
      <c r="I551" s="244" t="s">
        <v>642</v>
      </c>
      <c r="J551" s="147">
        <v>1</v>
      </c>
      <c r="K551" s="147">
        <v>1</v>
      </c>
      <c r="L551" s="147">
        <v>12</v>
      </c>
      <c r="M551" s="132">
        <f t="shared" si="98"/>
        <v>1</v>
      </c>
      <c r="N551" s="140" t="s">
        <v>36</v>
      </c>
      <c r="O551" s="141" t="str">
        <f>IF(ISBLANK(N551),"",VLOOKUP(N551,[25]Parámetros!$G$2:$H$23,2,FALSE))</f>
        <v xml:space="preserve">Contratación directa (con ofertas) </v>
      </c>
      <c r="P551" s="245">
        <f t="shared" si="96"/>
        <v>1</v>
      </c>
      <c r="Q551" s="143">
        <f t="shared" si="99"/>
        <v>250000000</v>
      </c>
      <c r="R551" s="143">
        <f t="shared" si="100"/>
        <v>250000000</v>
      </c>
      <c r="S551" s="246" t="s">
        <v>222</v>
      </c>
      <c r="T551" s="245">
        <f t="shared" si="97"/>
        <v>0</v>
      </c>
      <c r="U551" s="145" t="str">
        <f t="shared" si="101"/>
        <v>SUBDIRECCION DE GESTION CONTRACTUAL</v>
      </c>
      <c r="V551" s="245" t="str">
        <f t="shared" si="94"/>
        <v>CO-DC</v>
      </c>
      <c r="W551" s="245" t="str">
        <f t="shared" si="95"/>
        <v>Distrito Capital de Bogotá</v>
      </c>
      <c r="X551" s="154" t="s">
        <v>553</v>
      </c>
      <c r="Y551" s="147">
        <v>2427400</v>
      </c>
      <c r="Z551" s="157" t="s">
        <v>160</v>
      </c>
      <c r="AA551" s="248"/>
      <c r="AB551" s="248"/>
      <c r="AC551" s="248"/>
      <c r="AD551" s="248"/>
      <c r="AE551" s="248"/>
      <c r="AF551" s="248"/>
      <c r="AG551" s="248"/>
      <c r="AH551" s="248"/>
      <c r="AI551" s="248"/>
      <c r="AJ551" s="248"/>
      <c r="AK551" s="248"/>
      <c r="AL551" s="248"/>
      <c r="AM551" s="248"/>
      <c r="AN551" s="248"/>
      <c r="AO551" s="248"/>
      <c r="AP551" s="248"/>
      <c r="AQ551" s="248"/>
      <c r="AR551" s="248"/>
      <c r="AS551" s="248"/>
      <c r="AT551" s="248"/>
      <c r="AU551" s="152"/>
      <c r="AV551" s="152"/>
      <c r="AW551" s="152"/>
      <c r="AX551" s="152"/>
      <c r="AY551" s="152"/>
      <c r="AZ551" s="152"/>
      <c r="BA551" s="152"/>
      <c r="BB551" s="152"/>
      <c r="BC551" s="152"/>
      <c r="BD551" s="152"/>
      <c r="BE551" s="152"/>
      <c r="BF551" s="152"/>
      <c r="BG551" s="152"/>
      <c r="BH551" s="152"/>
      <c r="BI551" s="152"/>
      <c r="BJ551" s="152"/>
      <c r="BK551" s="152"/>
      <c r="BL551" s="152"/>
      <c r="BM551" s="152"/>
      <c r="BN551" s="152"/>
      <c r="BO551" s="152"/>
      <c r="BP551" s="152"/>
      <c r="BQ551" s="152"/>
      <c r="BR551" s="152"/>
      <c r="BS551" s="152"/>
      <c r="BT551" s="152"/>
      <c r="BU551" s="152"/>
      <c r="BV551" s="152"/>
      <c r="BW551" s="152"/>
      <c r="BX551" s="152"/>
      <c r="BY551" s="152"/>
      <c r="BZ551" s="152"/>
      <c r="CA551" s="152"/>
      <c r="CB551" s="152"/>
      <c r="CC551" s="152"/>
      <c r="CD551" s="152"/>
      <c r="CE551" s="152"/>
      <c r="CF551" s="152"/>
      <c r="CG551" s="252"/>
    </row>
    <row r="552" spans="1:85" s="250" customFormat="1" ht="13.9" customHeight="1" x14ac:dyDescent="0.2">
      <c r="A552" s="251" t="s">
        <v>158</v>
      </c>
      <c r="B552" s="147">
        <v>27</v>
      </c>
      <c r="C552" s="244" t="s">
        <v>583</v>
      </c>
      <c r="D552" s="154" t="s">
        <v>159</v>
      </c>
      <c r="E552" s="155"/>
      <c r="F552" s="155">
        <v>605370738</v>
      </c>
      <c r="G552" s="155"/>
      <c r="H552" s="154" t="s">
        <v>749</v>
      </c>
      <c r="I552" s="244" t="s">
        <v>643</v>
      </c>
      <c r="J552" s="147">
        <v>1</v>
      </c>
      <c r="K552" s="147">
        <v>1</v>
      </c>
      <c r="L552" s="147">
        <v>12</v>
      </c>
      <c r="M552" s="132">
        <f t="shared" si="98"/>
        <v>1</v>
      </c>
      <c r="N552" s="140" t="s">
        <v>36</v>
      </c>
      <c r="O552" s="141" t="str">
        <f>IF(ISBLANK(N552),"",VLOOKUP(N552,[25]Parámetros!$G$2:$H$23,2,FALSE))</f>
        <v xml:space="preserve">Contratación directa (con ofertas) </v>
      </c>
      <c r="P552" s="245">
        <f t="shared" si="96"/>
        <v>1</v>
      </c>
      <c r="Q552" s="143">
        <f t="shared" si="99"/>
        <v>605370738</v>
      </c>
      <c r="R552" s="143">
        <f t="shared" si="100"/>
        <v>605370738</v>
      </c>
      <c r="S552" s="246" t="s">
        <v>222</v>
      </c>
      <c r="T552" s="245">
        <f t="shared" si="97"/>
        <v>0</v>
      </c>
      <c r="U552" s="145" t="str">
        <f t="shared" si="101"/>
        <v>SUBDIRECCION DE GESTION CONTRACTUAL</v>
      </c>
      <c r="V552" s="245" t="str">
        <f t="shared" si="94"/>
        <v>CO-DC</v>
      </c>
      <c r="W552" s="245" t="str">
        <f t="shared" si="95"/>
        <v>Distrito Capital de Bogotá</v>
      </c>
      <c r="X552" s="154" t="s">
        <v>553</v>
      </c>
      <c r="Y552" s="147">
        <v>2427400</v>
      </c>
      <c r="Z552" s="157" t="s">
        <v>160</v>
      </c>
      <c r="AA552" s="248"/>
      <c r="AB552" s="248"/>
      <c r="AC552" s="248"/>
      <c r="AD552" s="248"/>
      <c r="AE552" s="248"/>
      <c r="AF552" s="248"/>
      <c r="AG552" s="248"/>
      <c r="AH552" s="248"/>
      <c r="AI552" s="248"/>
      <c r="AJ552" s="248"/>
      <c r="AK552" s="248"/>
      <c r="AL552" s="248"/>
      <c r="AM552" s="248"/>
      <c r="AN552" s="248"/>
      <c r="AO552" s="248"/>
      <c r="AP552" s="248"/>
      <c r="AQ552" s="248"/>
      <c r="AR552" s="248"/>
      <c r="AS552" s="248"/>
      <c r="AT552" s="248"/>
      <c r="AU552" s="152"/>
      <c r="AV552" s="152"/>
      <c r="AW552" s="152"/>
      <c r="AX552" s="152"/>
      <c r="AY552" s="152"/>
      <c r="AZ552" s="152"/>
      <c r="BA552" s="152"/>
      <c r="BB552" s="152"/>
      <c r="BC552" s="152"/>
      <c r="BD552" s="152"/>
      <c r="BE552" s="152"/>
      <c r="BF552" s="152"/>
      <c r="BG552" s="152"/>
      <c r="BH552" s="152"/>
      <c r="BI552" s="152"/>
      <c r="BJ552" s="152"/>
      <c r="BK552" s="152"/>
      <c r="BL552" s="152"/>
      <c r="BM552" s="152"/>
      <c r="BN552" s="152"/>
      <c r="BO552" s="152"/>
      <c r="BP552" s="152"/>
      <c r="BQ552" s="152"/>
      <c r="BR552" s="152"/>
      <c r="BS552" s="152"/>
      <c r="BT552" s="152"/>
      <c r="BU552" s="152"/>
      <c r="BV552" s="152"/>
      <c r="BW552" s="152"/>
      <c r="BX552" s="152"/>
      <c r="BY552" s="152"/>
      <c r="BZ552" s="152"/>
      <c r="CA552" s="152"/>
      <c r="CB552" s="152"/>
      <c r="CC552" s="152"/>
      <c r="CD552" s="152"/>
      <c r="CE552" s="152"/>
      <c r="CF552" s="152"/>
      <c r="CG552" s="252"/>
    </row>
    <row r="553" spans="1:85" s="250" customFormat="1" ht="13.9" customHeight="1" x14ac:dyDescent="0.2">
      <c r="A553" s="251" t="s">
        <v>158</v>
      </c>
      <c r="B553" s="147">
        <v>28</v>
      </c>
      <c r="C553" s="244" t="s">
        <v>583</v>
      </c>
      <c r="D553" s="154" t="s">
        <v>159</v>
      </c>
      <c r="E553" s="155"/>
      <c r="F553" s="155">
        <v>1025000000</v>
      </c>
      <c r="G553" s="155"/>
      <c r="H553" s="154" t="s">
        <v>745</v>
      </c>
      <c r="I553" s="244" t="s">
        <v>685</v>
      </c>
      <c r="J553" s="147">
        <v>1</v>
      </c>
      <c r="K553" s="147">
        <v>1</v>
      </c>
      <c r="L553" s="147">
        <v>12</v>
      </c>
      <c r="M553" s="132">
        <f t="shared" si="98"/>
        <v>1</v>
      </c>
      <c r="N553" s="140" t="s">
        <v>36</v>
      </c>
      <c r="O553" s="141" t="str">
        <f>IF(ISBLANK(N553),"",VLOOKUP(N553,[25]Parámetros!$G$2:$H$23,2,FALSE))</f>
        <v xml:space="preserve">Contratación directa (con ofertas) </v>
      </c>
      <c r="P553" s="245">
        <f t="shared" si="96"/>
        <v>1</v>
      </c>
      <c r="Q553" s="143">
        <f t="shared" si="99"/>
        <v>1025000000</v>
      </c>
      <c r="R553" s="143">
        <f t="shared" si="100"/>
        <v>1025000000</v>
      </c>
      <c r="S553" s="246" t="s">
        <v>222</v>
      </c>
      <c r="T553" s="245">
        <f t="shared" si="97"/>
        <v>0</v>
      </c>
      <c r="U553" s="145" t="str">
        <f t="shared" si="101"/>
        <v>SUBDIRECCION DE GESTION CONTRACTUAL</v>
      </c>
      <c r="V553" s="245" t="str">
        <f t="shared" si="94"/>
        <v>CO-DC</v>
      </c>
      <c r="W553" s="245" t="str">
        <f t="shared" si="95"/>
        <v>Distrito Capital de Bogotá</v>
      </c>
      <c r="X553" s="154" t="s">
        <v>553</v>
      </c>
      <c r="Y553" s="147">
        <v>2427400</v>
      </c>
      <c r="Z553" s="157" t="s">
        <v>160</v>
      </c>
      <c r="AA553" s="248"/>
      <c r="AB553" s="248"/>
      <c r="AC553" s="248"/>
      <c r="AD553" s="248"/>
      <c r="AE553" s="248"/>
      <c r="AF553" s="248"/>
      <c r="AG553" s="248"/>
      <c r="AH553" s="248"/>
      <c r="AI553" s="248"/>
      <c r="AJ553" s="248"/>
      <c r="AK553" s="248"/>
      <c r="AL553" s="248"/>
      <c r="AM553" s="248"/>
      <c r="AN553" s="248"/>
      <c r="AO553" s="248"/>
      <c r="AP553" s="248"/>
      <c r="AQ553" s="248"/>
      <c r="AR553" s="248"/>
      <c r="AS553" s="248"/>
      <c r="AT553" s="248"/>
      <c r="AU553" s="152"/>
      <c r="AV553" s="152"/>
      <c r="AW553" s="152"/>
      <c r="AX553" s="152"/>
      <c r="AY553" s="152"/>
      <c r="AZ553" s="152"/>
      <c r="BA553" s="152"/>
      <c r="BB553" s="152"/>
      <c r="BC553" s="152"/>
      <c r="BD553" s="152"/>
      <c r="BE553" s="152"/>
      <c r="BF553" s="152"/>
      <c r="BG553" s="152"/>
      <c r="BH553" s="152"/>
      <c r="BI553" s="152"/>
      <c r="BJ553" s="152"/>
      <c r="BK553" s="152"/>
      <c r="BL553" s="152"/>
      <c r="BM553" s="152"/>
      <c r="BN553" s="152"/>
      <c r="BO553" s="152"/>
      <c r="BP553" s="152"/>
      <c r="BQ553" s="152"/>
      <c r="BR553" s="152"/>
      <c r="BS553" s="152"/>
      <c r="BT553" s="152"/>
      <c r="BU553" s="152"/>
      <c r="BV553" s="152"/>
      <c r="BW553" s="152"/>
      <c r="BX553" s="152"/>
      <c r="BY553" s="152"/>
      <c r="BZ553" s="152"/>
      <c r="CA553" s="152"/>
      <c r="CB553" s="152"/>
      <c r="CC553" s="152"/>
      <c r="CD553" s="152"/>
      <c r="CE553" s="152"/>
      <c r="CF553" s="152"/>
      <c r="CG553" s="252"/>
    </row>
    <row r="554" spans="1:85" s="250" customFormat="1" ht="13.9" customHeight="1" x14ac:dyDescent="0.2">
      <c r="A554" s="251" t="s">
        <v>158</v>
      </c>
      <c r="B554" s="147">
        <v>29</v>
      </c>
      <c r="C554" s="244" t="s">
        <v>583</v>
      </c>
      <c r="D554" s="154" t="s">
        <v>159</v>
      </c>
      <c r="E554" s="155"/>
      <c r="F554" s="155">
        <v>305440000</v>
      </c>
      <c r="G554" s="155"/>
      <c r="H554" s="154" t="s">
        <v>745</v>
      </c>
      <c r="I554" s="244" t="s">
        <v>686</v>
      </c>
      <c r="J554" s="147">
        <v>1</v>
      </c>
      <c r="K554" s="147">
        <v>1</v>
      </c>
      <c r="L554" s="147">
        <v>12</v>
      </c>
      <c r="M554" s="132">
        <f t="shared" si="98"/>
        <v>1</v>
      </c>
      <c r="N554" s="140" t="s">
        <v>36</v>
      </c>
      <c r="O554" s="141" t="str">
        <f>IF(ISBLANK(N554),"",VLOOKUP(N554,[25]Parámetros!$G$2:$H$23,2,FALSE))</f>
        <v xml:space="preserve">Contratación directa (con ofertas) </v>
      </c>
      <c r="P554" s="245">
        <f t="shared" si="96"/>
        <v>1</v>
      </c>
      <c r="Q554" s="143">
        <f t="shared" si="99"/>
        <v>305440000</v>
      </c>
      <c r="R554" s="143">
        <f t="shared" si="100"/>
        <v>305440000</v>
      </c>
      <c r="S554" s="246" t="s">
        <v>222</v>
      </c>
      <c r="T554" s="245">
        <f t="shared" si="97"/>
        <v>0</v>
      </c>
      <c r="U554" s="145" t="str">
        <f t="shared" si="101"/>
        <v>SUBDIRECCION DE GESTION CONTRACTUAL</v>
      </c>
      <c r="V554" s="245" t="str">
        <f t="shared" si="94"/>
        <v>CO-DC</v>
      </c>
      <c r="W554" s="245" t="str">
        <f t="shared" si="95"/>
        <v>Distrito Capital de Bogotá</v>
      </c>
      <c r="X554" s="154" t="s">
        <v>553</v>
      </c>
      <c r="Y554" s="147">
        <v>2427400</v>
      </c>
      <c r="Z554" s="157" t="s">
        <v>160</v>
      </c>
      <c r="AA554" s="248"/>
      <c r="AB554" s="248"/>
      <c r="AC554" s="248"/>
      <c r="AD554" s="248"/>
      <c r="AE554" s="248"/>
      <c r="AF554" s="248"/>
      <c r="AG554" s="248"/>
      <c r="AH554" s="248"/>
      <c r="AI554" s="248"/>
      <c r="AJ554" s="248"/>
      <c r="AK554" s="248"/>
      <c r="AL554" s="248"/>
      <c r="AM554" s="248"/>
      <c r="AN554" s="248"/>
      <c r="AO554" s="248"/>
      <c r="AP554" s="248"/>
      <c r="AQ554" s="248"/>
      <c r="AR554" s="248"/>
      <c r="AS554" s="248"/>
      <c r="AT554" s="248"/>
      <c r="AU554" s="152"/>
      <c r="AV554" s="152"/>
      <c r="AW554" s="152"/>
      <c r="AX554" s="152"/>
      <c r="AY554" s="152"/>
      <c r="AZ554" s="152"/>
      <c r="BA554" s="152"/>
      <c r="BB554" s="152"/>
      <c r="BC554" s="152"/>
      <c r="BD554" s="152"/>
      <c r="BE554" s="152"/>
      <c r="BF554" s="152"/>
      <c r="BG554" s="152"/>
      <c r="BH554" s="152"/>
      <c r="BI554" s="152"/>
      <c r="BJ554" s="152"/>
      <c r="BK554" s="152"/>
      <c r="BL554" s="152"/>
      <c r="BM554" s="152"/>
      <c r="BN554" s="152"/>
      <c r="BO554" s="152"/>
      <c r="BP554" s="152"/>
      <c r="BQ554" s="152"/>
      <c r="BR554" s="152"/>
      <c r="BS554" s="152"/>
      <c r="BT554" s="152"/>
      <c r="BU554" s="152"/>
      <c r="BV554" s="152"/>
      <c r="BW554" s="152"/>
      <c r="BX554" s="152"/>
      <c r="BY554" s="152"/>
      <c r="BZ554" s="152"/>
      <c r="CA554" s="152"/>
      <c r="CB554" s="152"/>
      <c r="CC554" s="152"/>
      <c r="CD554" s="152"/>
      <c r="CE554" s="152"/>
      <c r="CF554" s="152"/>
      <c r="CG554" s="252"/>
    </row>
    <row r="555" spans="1:85" s="250" customFormat="1" ht="13.9" customHeight="1" x14ac:dyDescent="0.2">
      <c r="A555" s="251" t="s">
        <v>158</v>
      </c>
      <c r="B555" s="147">
        <v>30</v>
      </c>
      <c r="C555" s="244" t="s">
        <v>583</v>
      </c>
      <c r="D555" s="154" t="s">
        <v>159</v>
      </c>
      <c r="E555" s="155"/>
      <c r="F555" s="155">
        <v>294400000</v>
      </c>
      <c r="G555" s="155"/>
      <c r="H555" s="154" t="s">
        <v>745</v>
      </c>
      <c r="I555" s="244" t="s">
        <v>687</v>
      </c>
      <c r="J555" s="147">
        <v>1</v>
      </c>
      <c r="K555" s="147">
        <v>1</v>
      </c>
      <c r="L555" s="147">
        <v>12</v>
      </c>
      <c r="M555" s="132">
        <f t="shared" si="98"/>
        <v>1</v>
      </c>
      <c r="N555" s="140" t="s">
        <v>36</v>
      </c>
      <c r="O555" s="141" t="str">
        <f>IF(ISBLANK(N555),"",VLOOKUP(N555,[25]Parámetros!$G$2:$H$23,2,FALSE))</f>
        <v xml:space="preserve">Contratación directa (con ofertas) </v>
      </c>
      <c r="P555" s="245">
        <f t="shared" si="96"/>
        <v>1</v>
      </c>
      <c r="Q555" s="143">
        <f t="shared" si="99"/>
        <v>294400000</v>
      </c>
      <c r="R555" s="143">
        <f t="shared" si="100"/>
        <v>294400000</v>
      </c>
      <c r="S555" s="246" t="s">
        <v>222</v>
      </c>
      <c r="T555" s="245">
        <f t="shared" si="97"/>
        <v>0</v>
      </c>
      <c r="U555" s="145" t="str">
        <f t="shared" si="101"/>
        <v>SUBDIRECCION DE GESTION CONTRACTUAL</v>
      </c>
      <c r="V555" s="245" t="str">
        <f t="shared" si="94"/>
        <v>CO-DC</v>
      </c>
      <c r="W555" s="245" t="str">
        <f t="shared" si="95"/>
        <v>Distrito Capital de Bogotá</v>
      </c>
      <c r="X555" s="154" t="s">
        <v>553</v>
      </c>
      <c r="Y555" s="147">
        <v>2427400</v>
      </c>
      <c r="Z555" s="157" t="s">
        <v>160</v>
      </c>
      <c r="AA555" s="248"/>
      <c r="AB555" s="248"/>
      <c r="AC555" s="248"/>
      <c r="AD555" s="248"/>
      <c r="AE555" s="248"/>
      <c r="AF555" s="248"/>
      <c r="AG555" s="248"/>
      <c r="AH555" s="248"/>
      <c r="AI555" s="248"/>
      <c r="AJ555" s="248"/>
      <c r="AK555" s="248"/>
      <c r="AL555" s="248"/>
      <c r="AM555" s="248"/>
      <c r="AN555" s="248"/>
      <c r="AO555" s="248"/>
      <c r="AP555" s="248"/>
      <c r="AQ555" s="248"/>
      <c r="AR555" s="248"/>
      <c r="AS555" s="248"/>
      <c r="AT555" s="248"/>
      <c r="AU555" s="152"/>
      <c r="AV555" s="152"/>
      <c r="AW555" s="152"/>
      <c r="AX555" s="152"/>
      <c r="AY555" s="152"/>
      <c r="AZ555" s="152"/>
      <c r="BA555" s="152"/>
      <c r="BB555" s="152"/>
      <c r="BC555" s="152"/>
      <c r="BD555" s="152"/>
      <c r="BE555" s="152"/>
      <c r="BF555" s="152"/>
      <c r="BG555" s="152"/>
      <c r="BH555" s="152"/>
      <c r="BI555" s="152"/>
      <c r="BJ555" s="152"/>
      <c r="BK555" s="152"/>
      <c r="BL555" s="152"/>
      <c r="BM555" s="152"/>
      <c r="BN555" s="152"/>
      <c r="BO555" s="152"/>
      <c r="BP555" s="152"/>
      <c r="BQ555" s="152"/>
      <c r="BR555" s="152"/>
      <c r="BS555" s="152"/>
      <c r="BT555" s="152"/>
      <c r="BU555" s="152"/>
      <c r="BV555" s="152"/>
      <c r="BW555" s="152"/>
      <c r="BX555" s="152"/>
      <c r="BY555" s="152"/>
      <c r="BZ555" s="152"/>
      <c r="CA555" s="152"/>
      <c r="CB555" s="152"/>
      <c r="CC555" s="152"/>
      <c r="CD555" s="152"/>
      <c r="CE555" s="152"/>
      <c r="CF555" s="152"/>
      <c r="CG555" s="252"/>
    </row>
    <row r="556" spans="1:85" s="250" customFormat="1" ht="13.9" customHeight="1" x14ac:dyDescent="0.2">
      <c r="A556" s="251" t="s">
        <v>158</v>
      </c>
      <c r="B556" s="147">
        <v>31</v>
      </c>
      <c r="C556" s="244" t="s">
        <v>583</v>
      </c>
      <c r="D556" s="154" t="s">
        <v>159</v>
      </c>
      <c r="E556" s="155"/>
      <c r="F556" s="155">
        <v>414000000</v>
      </c>
      <c r="G556" s="155"/>
      <c r="H556" s="154" t="s">
        <v>745</v>
      </c>
      <c r="I556" s="244" t="s">
        <v>688</v>
      </c>
      <c r="J556" s="147">
        <v>1</v>
      </c>
      <c r="K556" s="147">
        <v>1</v>
      </c>
      <c r="L556" s="147">
        <v>12</v>
      </c>
      <c r="M556" s="132">
        <f t="shared" si="98"/>
        <v>1</v>
      </c>
      <c r="N556" s="140" t="s">
        <v>36</v>
      </c>
      <c r="O556" s="141" t="str">
        <f>IF(ISBLANK(N556),"",VLOOKUP(N556,[25]Parámetros!$G$2:$H$23,2,FALSE))</f>
        <v xml:space="preserve">Contratación directa (con ofertas) </v>
      </c>
      <c r="P556" s="245">
        <f t="shared" si="96"/>
        <v>1</v>
      </c>
      <c r="Q556" s="143">
        <f t="shared" si="99"/>
        <v>414000000</v>
      </c>
      <c r="R556" s="143">
        <f t="shared" si="100"/>
        <v>414000000</v>
      </c>
      <c r="S556" s="246" t="s">
        <v>222</v>
      </c>
      <c r="T556" s="245">
        <f t="shared" si="97"/>
        <v>0</v>
      </c>
      <c r="U556" s="145" t="str">
        <f t="shared" si="101"/>
        <v>SUBDIRECCION DE GESTION CONTRACTUAL</v>
      </c>
      <c r="V556" s="245" t="str">
        <f t="shared" si="94"/>
        <v>CO-DC</v>
      </c>
      <c r="W556" s="245" t="str">
        <f t="shared" si="95"/>
        <v>Distrito Capital de Bogotá</v>
      </c>
      <c r="X556" s="154" t="s">
        <v>553</v>
      </c>
      <c r="Y556" s="147">
        <v>2427400</v>
      </c>
      <c r="Z556" s="157" t="s">
        <v>160</v>
      </c>
      <c r="AA556" s="248"/>
      <c r="AB556" s="248"/>
      <c r="AC556" s="248"/>
      <c r="AD556" s="248"/>
      <c r="AE556" s="248"/>
      <c r="AF556" s="248"/>
      <c r="AG556" s="248"/>
      <c r="AH556" s="248"/>
      <c r="AI556" s="248"/>
      <c r="AJ556" s="248"/>
      <c r="AK556" s="248"/>
      <c r="AL556" s="248"/>
      <c r="AM556" s="248"/>
      <c r="AN556" s="248"/>
      <c r="AO556" s="248"/>
      <c r="AP556" s="248"/>
      <c r="AQ556" s="248"/>
      <c r="AR556" s="248"/>
      <c r="AS556" s="248"/>
      <c r="AT556" s="248"/>
      <c r="AU556" s="152"/>
      <c r="AV556" s="152"/>
      <c r="AW556" s="152"/>
      <c r="AX556" s="152"/>
      <c r="AY556" s="152"/>
      <c r="AZ556" s="152"/>
      <c r="BA556" s="152"/>
      <c r="BB556" s="152"/>
      <c r="BC556" s="152"/>
      <c r="BD556" s="152"/>
      <c r="BE556" s="152"/>
      <c r="BF556" s="152"/>
      <c r="BG556" s="152"/>
      <c r="BH556" s="152"/>
      <c r="BI556" s="152"/>
      <c r="BJ556" s="152"/>
      <c r="BK556" s="152"/>
      <c r="BL556" s="152"/>
      <c r="BM556" s="152"/>
      <c r="BN556" s="152"/>
      <c r="BO556" s="152"/>
      <c r="BP556" s="152"/>
      <c r="BQ556" s="152"/>
      <c r="BR556" s="152"/>
      <c r="BS556" s="152"/>
      <c r="BT556" s="152"/>
      <c r="BU556" s="152"/>
      <c r="BV556" s="152"/>
      <c r="BW556" s="152"/>
      <c r="BX556" s="152"/>
      <c r="BY556" s="152"/>
      <c r="BZ556" s="152"/>
      <c r="CA556" s="152"/>
      <c r="CB556" s="152"/>
      <c r="CC556" s="152"/>
      <c r="CD556" s="152"/>
      <c r="CE556" s="152"/>
      <c r="CF556" s="152"/>
      <c r="CG556" s="252"/>
    </row>
    <row r="557" spans="1:85" s="250" customFormat="1" ht="13.9" customHeight="1" x14ac:dyDescent="0.2">
      <c r="A557" s="251" t="s">
        <v>158</v>
      </c>
      <c r="B557" s="147">
        <v>32</v>
      </c>
      <c r="C557" s="244" t="s">
        <v>583</v>
      </c>
      <c r="D557" s="154" t="s">
        <v>159</v>
      </c>
      <c r="E557" s="155"/>
      <c r="F557" s="155">
        <v>205000000</v>
      </c>
      <c r="G557" s="155"/>
      <c r="H557" s="154" t="s">
        <v>745</v>
      </c>
      <c r="I557" s="244" t="s">
        <v>689</v>
      </c>
      <c r="J557" s="147">
        <v>1</v>
      </c>
      <c r="K557" s="147">
        <v>1</v>
      </c>
      <c r="L557" s="147">
        <v>12</v>
      </c>
      <c r="M557" s="132">
        <f t="shared" si="98"/>
        <v>1</v>
      </c>
      <c r="N557" s="140" t="s">
        <v>36</v>
      </c>
      <c r="O557" s="141" t="str">
        <f>IF(ISBLANK(N557),"",VLOOKUP(N557,[25]Parámetros!$G$2:$H$23,2,FALSE))</f>
        <v xml:space="preserve">Contratación directa (con ofertas) </v>
      </c>
      <c r="P557" s="245">
        <f t="shared" si="96"/>
        <v>1</v>
      </c>
      <c r="Q557" s="143">
        <f t="shared" si="99"/>
        <v>205000000</v>
      </c>
      <c r="R557" s="143">
        <f t="shared" si="100"/>
        <v>205000000</v>
      </c>
      <c r="S557" s="246" t="s">
        <v>222</v>
      </c>
      <c r="T557" s="245">
        <f t="shared" si="97"/>
        <v>0</v>
      </c>
      <c r="U557" s="145" t="str">
        <f t="shared" si="101"/>
        <v>SUBDIRECCION DE GESTION CONTRACTUAL</v>
      </c>
      <c r="V557" s="245" t="str">
        <f t="shared" ref="V557:V588" si="102">IF(ISBLANK(N557),"","CO-DC")</f>
        <v>CO-DC</v>
      </c>
      <c r="W557" s="245" t="str">
        <f t="shared" ref="W557:W588" si="103">IF(ISBLANK(N557),"","Distrito Capital de Bogotá")</f>
        <v>Distrito Capital de Bogotá</v>
      </c>
      <c r="X557" s="154" t="s">
        <v>553</v>
      </c>
      <c r="Y557" s="147">
        <v>2427400</v>
      </c>
      <c r="Z557" s="157" t="s">
        <v>160</v>
      </c>
      <c r="AA557" s="248"/>
      <c r="AB557" s="248"/>
      <c r="AC557" s="248"/>
      <c r="AD557" s="248"/>
      <c r="AE557" s="248"/>
      <c r="AF557" s="248"/>
      <c r="AG557" s="248"/>
      <c r="AH557" s="248"/>
      <c r="AI557" s="248"/>
      <c r="AJ557" s="248"/>
      <c r="AK557" s="248"/>
      <c r="AL557" s="248"/>
      <c r="AM557" s="248"/>
      <c r="AN557" s="248"/>
      <c r="AO557" s="248"/>
      <c r="AP557" s="248"/>
      <c r="AQ557" s="248"/>
      <c r="AR557" s="248"/>
      <c r="AS557" s="248"/>
      <c r="AT557" s="248"/>
      <c r="AU557" s="152"/>
      <c r="AV557" s="152"/>
      <c r="AW557" s="152"/>
      <c r="AX557" s="152"/>
      <c r="AY557" s="152"/>
      <c r="AZ557" s="152"/>
      <c r="BA557" s="152"/>
      <c r="BB557" s="152"/>
      <c r="BC557" s="152"/>
      <c r="BD557" s="152"/>
      <c r="BE557" s="152"/>
      <c r="BF557" s="152"/>
      <c r="BG557" s="152"/>
      <c r="BH557" s="152"/>
      <c r="BI557" s="152"/>
      <c r="BJ557" s="152"/>
      <c r="BK557" s="152"/>
      <c r="BL557" s="152"/>
      <c r="BM557" s="152"/>
      <c r="BN557" s="152"/>
      <c r="BO557" s="152"/>
      <c r="BP557" s="152"/>
      <c r="BQ557" s="152"/>
      <c r="BR557" s="152"/>
      <c r="BS557" s="152"/>
      <c r="BT557" s="152"/>
      <c r="BU557" s="152"/>
      <c r="BV557" s="152"/>
      <c r="BW557" s="152"/>
      <c r="BX557" s="152"/>
      <c r="BY557" s="152"/>
      <c r="BZ557" s="152"/>
      <c r="CA557" s="152"/>
      <c r="CB557" s="152"/>
      <c r="CC557" s="152"/>
      <c r="CD557" s="152"/>
      <c r="CE557" s="152"/>
      <c r="CF557" s="152"/>
      <c r="CG557" s="252"/>
    </row>
    <row r="558" spans="1:85" s="250" customFormat="1" ht="13.9" customHeight="1" x14ac:dyDescent="0.2">
      <c r="A558" s="251" t="s">
        <v>158</v>
      </c>
      <c r="B558" s="147">
        <v>33</v>
      </c>
      <c r="C558" s="244" t="s">
        <v>583</v>
      </c>
      <c r="D558" s="154" t="s">
        <v>159</v>
      </c>
      <c r="E558" s="155"/>
      <c r="F558" s="155">
        <v>250000000</v>
      </c>
      <c r="G558" s="155"/>
      <c r="H558" s="154" t="s">
        <v>745</v>
      </c>
      <c r="I558" s="244" t="s">
        <v>690</v>
      </c>
      <c r="J558" s="147">
        <v>1</v>
      </c>
      <c r="K558" s="147">
        <v>1</v>
      </c>
      <c r="L558" s="147">
        <v>12</v>
      </c>
      <c r="M558" s="132">
        <f t="shared" si="98"/>
        <v>1</v>
      </c>
      <c r="N558" s="140" t="s">
        <v>36</v>
      </c>
      <c r="O558" s="141" t="str">
        <f>IF(ISBLANK(N558),"",VLOOKUP(N558,[25]Parámetros!$G$2:$H$23,2,FALSE))</f>
        <v xml:space="preserve">Contratación directa (con ofertas) </v>
      </c>
      <c r="P558" s="245">
        <f t="shared" ref="P558:P589" si="104">IF(ISBLANK(N558),"",1)</f>
        <v>1</v>
      </c>
      <c r="Q558" s="143">
        <f t="shared" si="99"/>
        <v>250000000</v>
      </c>
      <c r="R558" s="143">
        <f t="shared" si="100"/>
        <v>250000000</v>
      </c>
      <c r="S558" s="246" t="s">
        <v>222</v>
      </c>
      <c r="T558" s="245">
        <f t="shared" si="97"/>
        <v>0</v>
      </c>
      <c r="U558" s="145" t="str">
        <f t="shared" si="101"/>
        <v>SUBDIRECCION DE GESTION CONTRACTUAL</v>
      </c>
      <c r="V558" s="245" t="str">
        <f t="shared" si="102"/>
        <v>CO-DC</v>
      </c>
      <c r="W558" s="245" t="str">
        <f t="shared" si="103"/>
        <v>Distrito Capital de Bogotá</v>
      </c>
      <c r="X558" s="154" t="s">
        <v>553</v>
      </c>
      <c r="Y558" s="147">
        <v>2427400</v>
      </c>
      <c r="Z558" s="157" t="s">
        <v>160</v>
      </c>
      <c r="AA558" s="248"/>
      <c r="AB558" s="248"/>
      <c r="AC558" s="248"/>
      <c r="AD558" s="248"/>
      <c r="AE558" s="248"/>
      <c r="AF558" s="248"/>
      <c r="AG558" s="248"/>
      <c r="AH558" s="248"/>
      <c r="AI558" s="248"/>
      <c r="AJ558" s="248"/>
      <c r="AK558" s="248"/>
      <c r="AL558" s="248"/>
      <c r="AM558" s="248"/>
      <c r="AN558" s="248"/>
      <c r="AO558" s="248"/>
      <c r="AP558" s="248"/>
      <c r="AQ558" s="248"/>
      <c r="AR558" s="248"/>
      <c r="AS558" s="248"/>
      <c r="AT558" s="248"/>
      <c r="AU558" s="152"/>
      <c r="AV558" s="152"/>
      <c r="AW558" s="152"/>
      <c r="AX558" s="152"/>
      <c r="AY558" s="152"/>
      <c r="AZ558" s="152"/>
      <c r="BA558" s="152"/>
      <c r="BB558" s="152"/>
      <c r="BC558" s="152"/>
      <c r="BD558" s="152"/>
      <c r="BE558" s="152"/>
      <c r="BF558" s="152"/>
      <c r="BG558" s="152"/>
      <c r="BH558" s="152"/>
      <c r="BI558" s="152"/>
      <c r="BJ558" s="152"/>
      <c r="BK558" s="152"/>
      <c r="BL558" s="152"/>
      <c r="BM558" s="152"/>
      <c r="BN558" s="152"/>
      <c r="BO558" s="152"/>
      <c r="BP558" s="152"/>
      <c r="BQ558" s="152"/>
      <c r="BR558" s="152"/>
      <c r="BS558" s="152"/>
      <c r="BT558" s="152"/>
      <c r="BU558" s="152"/>
      <c r="BV558" s="152"/>
      <c r="BW558" s="152"/>
      <c r="BX558" s="152"/>
      <c r="BY558" s="152"/>
      <c r="BZ558" s="152"/>
      <c r="CA558" s="152"/>
      <c r="CB558" s="152"/>
      <c r="CC558" s="152"/>
      <c r="CD558" s="152"/>
      <c r="CE558" s="152"/>
      <c r="CF558" s="152"/>
      <c r="CG558" s="252"/>
    </row>
    <row r="559" spans="1:85" s="250" customFormat="1" ht="13.9" customHeight="1" x14ac:dyDescent="0.2">
      <c r="A559" s="251" t="s">
        <v>158</v>
      </c>
      <c r="B559" s="147">
        <v>34</v>
      </c>
      <c r="C559" s="244" t="s">
        <v>583</v>
      </c>
      <c r="D559" s="154" t="s">
        <v>159</v>
      </c>
      <c r="E559" s="155"/>
      <c r="F559" s="155">
        <v>250000000</v>
      </c>
      <c r="G559" s="155"/>
      <c r="H559" s="154" t="s">
        <v>745</v>
      </c>
      <c r="I559" s="244" t="s">
        <v>691</v>
      </c>
      <c r="J559" s="147">
        <v>1</v>
      </c>
      <c r="K559" s="147">
        <v>1</v>
      </c>
      <c r="L559" s="147">
        <v>12</v>
      </c>
      <c r="M559" s="132">
        <f t="shared" si="98"/>
        <v>1</v>
      </c>
      <c r="N559" s="140" t="s">
        <v>36</v>
      </c>
      <c r="O559" s="141" t="str">
        <f>IF(ISBLANK(N559),"",VLOOKUP(N559,[25]Parámetros!$G$2:$H$23,2,FALSE))</f>
        <v xml:space="preserve">Contratación directa (con ofertas) </v>
      </c>
      <c r="P559" s="245">
        <f t="shared" si="104"/>
        <v>1</v>
      </c>
      <c r="Q559" s="143">
        <f t="shared" si="99"/>
        <v>250000000</v>
      </c>
      <c r="R559" s="143">
        <f t="shared" si="100"/>
        <v>250000000</v>
      </c>
      <c r="S559" s="246" t="s">
        <v>222</v>
      </c>
      <c r="T559" s="245">
        <f t="shared" si="97"/>
        <v>0</v>
      </c>
      <c r="U559" s="145" t="str">
        <f t="shared" si="101"/>
        <v>SUBDIRECCION DE GESTION CONTRACTUAL</v>
      </c>
      <c r="V559" s="245" t="str">
        <f t="shared" si="102"/>
        <v>CO-DC</v>
      </c>
      <c r="W559" s="245" t="str">
        <f t="shared" si="103"/>
        <v>Distrito Capital de Bogotá</v>
      </c>
      <c r="X559" s="154" t="s">
        <v>553</v>
      </c>
      <c r="Y559" s="147">
        <v>2427400</v>
      </c>
      <c r="Z559" s="157" t="s">
        <v>160</v>
      </c>
      <c r="AA559" s="248"/>
      <c r="AB559" s="248"/>
      <c r="AC559" s="248"/>
      <c r="AD559" s="248"/>
      <c r="AE559" s="248"/>
      <c r="AF559" s="248"/>
      <c r="AG559" s="248"/>
      <c r="AH559" s="248"/>
      <c r="AI559" s="248"/>
      <c r="AJ559" s="248"/>
      <c r="AK559" s="248"/>
      <c r="AL559" s="248"/>
      <c r="AM559" s="248"/>
      <c r="AN559" s="248"/>
      <c r="AO559" s="248"/>
      <c r="AP559" s="248"/>
      <c r="AQ559" s="248"/>
      <c r="AR559" s="248"/>
      <c r="AS559" s="248"/>
      <c r="AT559" s="248"/>
      <c r="AU559" s="152"/>
      <c r="AV559" s="152"/>
      <c r="AW559" s="152"/>
      <c r="AX559" s="152"/>
      <c r="AY559" s="152"/>
      <c r="AZ559" s="152"/>
      <c r="BA559" s="152"/>
      <c r="BB559" s="152"/>
      <c r="BC559" s="152"/>
      <c r="BD559" s="152"/>
      <c r="BE559" s="152"/>
      <c r="BF559" s="152"/>
      <c r="BG559" s="152"/>
      <c r="BH559" s="152"/>
      <c r="BI559" s="152"/>
      <c r="BJ559" s="152"/>
      <c r="BK559" s="152"/>
      <c r="BL559" s="152"/>
      <c r="BM559" s="152"/>
      <c r="BN559" s="152"/>
      <c r="BO559" s="152"/>
      <c r="BP559" s="152"/>
      <c r="BQ559" s="152"/>
      <c r="BR559" s="152"/>
      <c r="BS559" s="152"/>
      <c r="BT559" s="152"/>
      <c r="BU559" s="152"/>
      <c r="BV559" s="152"/>
      <c r="BW559" s="152"/>
      <c r="BX559" s="152"/>
      <c r="BY559" s="152"/>
      <c r="BZ559" s="152"/>
      <c r="CA559" s="152"/>
      <c r="CB559" s="152"/>
      <c r="CC559" s="152"/>
      <c r="CD559" s="152"/>
      <c r="CE559" s="152"/>
      <c r="CF559" s="152"/>
      <c r="CG559" s="252"/>
    </row>
    <row r="560" spans="1:85" s="250" customFormat="1" ht="13.9" customHeight="1" x14ac:dyDescent="0.2">
      <c r="A560" s="251" t="s">
        <v>158</v>
      </c>
      <c r="B560" s="147">
        <v>35</v>
      </c>
      <c r="C560" s="244" t="s">
        <v>583</v>
      </c>
      <c r="D560" s="154" t="s">
        <v>159</v>
      </c>
      <c r="E560" s="155"/>
      <c r="F560" s="155">
        <v>147071700</v>
      </c>
      <c r="G560" s="155"/>
      <c r="H560" s="154" t="s">
        <v>745</v>
      </c>
      <c r="I560" s="244" t="s">
        <v>692</v>
      </c>
      <c r="J560" s="147">
        <v>1</v>
      </c>
      <c r="K560" s="147">
        <v>1</v>
      </c>
      <c r="L560" s="147">
        <v>12</v>
      </c>
      <c r="M560" s="132">
        <f t="shared" si="98"/>
        <v>1</v>
      </c>
      <c r="N560" s="140" t="s">
        <v>36</v>
      </c>
      <c r="O560" s="141" t="str">
        <f>IF(ISBLANK(N560),"",VLOOKUP(N560,[25]Parámetros!$G$2:$H$23,2,FALSE))</f>
        <v xml:space="preserve">Contratación directa (con ofertas) </v>
      </c>
      <c r="P560" s="245">
        <f t="shared" si="104"/>
        <v>1</v>
      </c>
      <c r="Q560" s="143">
        <f t="shared" si="99"/>
        <v>147071700</v>
      </c>
      <c r="R560" s="143">
        <f t="shared" si="100"/>
        <v>147071700</v>
      </c>
      <c r="S560" s="246" t="s">
        <v>222</v>
      </c>
      <c r="T560" s="245">
        <f t="shared" si="97"/>
        <v>0</v>
      </c>
      <c r="U560" s="145" t="str">
        <f t="shared" si="101"/>
        <v>SUBDIRECCION DE GESTION CONTRACTUAL</v>
      </c>
      <c r="V560" s="245" t="str">
        <f t="shared" si="102"/>
        <v>CO-DC</v>
      </c>
      <c r="W560" s="245" t="str">
        <f t="shared" si="103"/>
        <v>Distrito Capital de Bogotá</v>
      </c>
      <c r="X560" s="154" t="s">
        <v>553</v>
      </c>
      <c r="Y560" s="147">
        <v>2427400</v>
      </c>
      <c r="Z560" s="157" t="s">
        <v>160</v>
      </c>
      <c r="AA560" s="248"/>
      <c r="AB560" s="248"/>
      <c r="AC560" s="248"/>
      <c r="AD560" s="248"/>
      <c r="AE560" s="248"/>
      <c r="AF560" s="248"/>
      <c r="AG560" s="248"/>
      <c r="AH560" s="248"/>
      <c r="AI560" s="248"/>
      <c r="AJ560" s="248"/>
      <c r="AK560" s="248"/>
      <c r="AL560" s="248"/>
      <c r="AM560" s="248"/>
      <c r="AN560" s="248"/>
      <c r="AO560" s="248"/>
      <c r="AP560" s="248"/>
      <c r="AQ560" s="248"/>
      <c r="AR560" s="248"/>
      <c r="AS560" s="248"/>
      <c r="AT560" s="248"/>
      <c r="AU560" s="152"/>
      <c r="AV560" s="152"/>
      <c r="AW560" s="152"/>
      <c r="AX560" s="152"/>
      <c r="AY560" s="152"/>
      <c r="AZ560" s="152"/>
      <c r="BA560" s="152"/>
      <c r="BB560" s="152"/>
      <c r="BC560" s="152"/>
      <c r="BD560" s="152"/>
      <c r="BE560" s="152"/>
      <c r="BF560" s="152"/>
      <c r="BG560" s="152"/>
      <c r="BH560" s="152"/>
      <c r="BI560" s="152"/>
      <c r="BJ560" s="152"/>
      <c r="BK560" s="152"/>
      <c r="BL560" s="152"/>
      <c r="BM560" s="152"/>
      <c r="BN560" s="152"/>
      <c r="BO560" s="152"/>
      <c r="BP560" s="152"/>
      <c r="BQ560" s="152"/>
      <c r="BR560" s="152"/>
      <c r="BS560" s="152"/>
      <c r="BT560" s="152"/>
      <c r="BU560" s="152"/>
      <c r="BV560" s="152"/>
      <c r="BW560" s="152"/>
      <c r="BX560" s="152"/>
      <c r="BY560" s="152"/>
      <c r="BZ560" s="152"/>
      <c r="CA560" s="152"/>
      <c r="CB560" s="152"/>
      <c r="CC560" s="152"/>
      <c r="CD560" s="152"/>
      <c r="CE560" s="152"/>
      <c r="CF560" s="152"/>
      <c r="CG560" s="252"/>
    </row>
    <row r="561" spans="1:85" s="250" customFormat="1" ht="13.9" customHeight="1" x14ac:dyDescent="0.2">
      <c r="A561" s="251" t="s">
        <v>158</v>
      </c>
      <c r="B561" s="147">
        <v>36</v>
      </c>
      <c r="C561" s="244" t="s">
        <v>583</v>
      </c>
      <c r="D561" s="154" t="s">
        <v>159</v>
      </c>
      <c r="E561" s="155"/>
      <c r="F561" s="155">
        <v>359287380</v>
      </c>
      <c r="G561" s="155"/>
      <c r="H561" s="154" t="s">
        <v>745</v>
      </c>
      <c r="I561" s="244" t="s">
        <v>693</v>
      </c>
      <c r="J561" s="147">
        <v>1</v>
      </c>
      <c r="K561" s="147">
        <v>1</v>
      </c>
      <c r="L561" s="147">
        <v>12</v>
      </c>
      <c r="M561" s="132">
        <f t="shared" si="98"/>
        <v>1</v>
      </c>
      <c r="N561" s="140" t="s">
        <v>36</v>
      </c>
      <c r="O561" s="141" t="str">
        <f>IF(ISBLANK(N561),"",VLOOKUP(N561,[25]Parámetros!$G$2:$H$23,2,FALSE))</f>
        <v xml:space="preserve">Contratación directa (con ofertas) </v>
      </c>
      <c r="P561" s="245">
        <f t="shared" si="104"/>
        <v>1</v>
      </c>
      <c r="Q561" s="143">
        <f t="shared" si="99"/>
        <v>359287380</v>
      </c>
      <c r="R561" s="143">
        <f t="shared" si="100"/>
        <v>359287380</v>
      </c>
      <c r="S561" s="246" t="s">
        <v>222</v>
      </c>
      <c r="T561" s="245">
        <f t="shared" si="97"/>
        <v>0</v>
      </c>
      <c r="U561" s="145" t="str">
        <f t="shared" si="101"/>
        <v>SUBDIRECCION DE GESTION CONTRACTUAL</v>
      </c>
      <c r="V561" s="245" t="str">
        <f t="shared" si="102"/>
        <v>CO-DC</v>
      </c>
      <c r="W561" s="245" t="str">
        <f t="shared" si="103"/>
        <v>Distrito Capital de Bogotá</v>
      </c>
      <c r="X561" s="154" t="s">
        <v>553</v>
      </c>
      <c r="Y561" s="147">
        <v>2427400</v>
      </c>
      <c r="Z561" s="157" t="s">
        <v>160</v>
      </c>
      <c r="AA561" s="248"/>
      <c r="AB561" s="248"/>
      <c r="AC561" s="248"/>
      <c r="AD561" s="248"/>
      <c r="AE561" s="248"/>
      <c r="AF561" s="248"/>
      <c r="AG561" s="248"/>
      <c r="AH561" s="248"/>
      <c r="AI561" s="248"/>
      <c r="AJ561" s="248"/>
      <c r="AK561" s="248"/>
      <c r="AL561" s="248"/>
      <c r="AM561" s="248"/>
      <c r="AN561" s="248"/>
      <c r="AO561" s="248"/>
      <c r="AP561" s="248"/>
      <c r="AQ561" s="248"/>
      <c r="AR561" s="248"/>
      <c r="AS561" s="248"/>
      <c r="AT561" s="248"/>
      <c r="AU561" s="152"/>
      <c r="AV561" s="152"/>
      <c r="AW561" s="152"/>
      <c r="AX561" s="152"/>
      <c r="AY561" s="152"/>
      <c r="AZ561" s="152"/>
      <c r="BA561" s="152"/>
      <c r="BB561" s="152"/>
      <c r="BC561" s="152"/>
      <c r="BD561" s="152"/>
      <c r="BE561" s="152"/>
      <c r="BF561" s="152"/>
      <c r="BG561" s="152"/>
      <c r="BH561" s="152"/>
      <c r="BI561" s="152"/>
      <c r="BJ561" s="152"/>
      <c r="BK561" s="152"/>
      <c r="BL561" s="152"/>
      <c r="BM561" s="152"/>
      <c r="BN561" s="152"/>
      <c r="BO561" s="152"/>
      <c r="BP561" s="152"/>
      <c r="BQ561" s="152"/>
      <c r="BR561" s="152"/>
      <c r="BS561" s="152"/>
      <c r="BT561" s="152"/>
      <c r="BU561" s="152"/>
      <c r="BV561" s="152"/>
      <c r="BW561" s="152"/>
      <c r="BX561" s="152"/>
      <c r="BY561" s="152"/>
      <c r="BZ561" s="152"/>
      <c r="CA561" s="152"/>
      <c r="CB561" s="152"/>
      <c r="CC561" s="152"/>
      <c r="CD561" s="152"/>
      <c r="CE561" s="152"/>
      <c r="CF561" s="152"/>
      <c r="CG561" s="252"/>
    </row>
    <row r="562" spans="1:85" s="250" customFormat="1" ht="13.9" customHeight="1" x14ac:dyDescent="0.2">
      <c r="A562" s="251" t="s">
        <v>158</v>
      </c>
      <c r="B562" s="147">
        <v>37</v>
      </c>
      <c r="C562" s="244" t="s">
        <v>583</v>
      </c>
      <c r="D562" s="154" t="s">
        <v>159</v>
      </c>
      <c r="E562" s="155"/>
      <c r="F562" s="155">
        <v>147071700</v>
      </c>
      <c r="G562" s="155"/>
      <c r="H562" s="154" t="s">
        <v>745</v>
      </c>
      <c r="I562" s="244" t="s">
        <v>694</v>
      </c>
      <c r="J562" s="147">
        <v>1</v>
      </c>
      <c r="K562" s="147">
        <v>1</v>
      </c>
      <c r="L562" s="147">
        <v>12</v>
      </c>
      <c r="M562" s="132">
        <f t="shared" si="98"/>
        <v>1</v>
      </c>
      <c r="N562" s="140" t="s">
        <v>36</v>
      </c>
      <c r="O562" s="141" t="str">
        <f>IF(ISBLANK(N562),"",VLOOKUP(N562,[25]Parámetros!$G$2:$H$23,2,FALSE))</f>
        <v xml:space="preserve">Contratación directa (con ofertas) </v>
      </c>
      <c r="P562" s="245">
        <f t="shared" si="104"/>
        <v>1</v>
      </c>
      <c r="Q562" s="143">
        <f t="shared" si="99"/>
        <v>147071700</v>
      </c>
      <c r="R562" s="143">
        <f t="shared" si="100"/>
        <v>147071700</v>
      </c>
      <c r="S562" s="246" t="s">
        <v>222</v>
      </c>
      <c r="T562" s="245">
        <f t="shared" si="97"/>
        <v>0</v>
      </c>
      <c r="U562" s="145" t="str">
        <f t="shared" si="101"/>
        <v>SUBDIRECCION DE GESTION CONTRACTUAL</v>
      </c>
      <c r="V562" s="245" t="str">
        <f t="shared" si="102"/>
        <v>CO-DC</v>
      </c>
      <c r="W562" s="245" t="str">
        <f t="shared" si="103"/>
        <v>Distrito Capital de Bogotá</v>
      </c>
      <c r="X562" s="154" t="s">
        <v>553</v>
      </c>
      <c r="Y562" s="147">
        <v>2427400</v>
      </c>
      <c r="Z562" s="157" t="s">
        <v>160</v>
      </c>
      <c r="AA562" s="248"/>
      <c r="AB562" s="248"/>
      <c r="AC562" s="248"/>
      <c r="AD562" s="248"/>
      <c r="AE562" s="248"/>
      <c r="AF562" s="248"/>
      <c r="AG562" s="248"/>
      <c r="AH562" s="248"/>
      <c r="AI562" s="248"/>
      <c r="AJ562" s="248"/>
      <c r="AK562" s="248"/>
      <c r="AL562" s="248"/>
      <c r="AM562" s="248"/>
      <c r="AN562" s="248"/>
      <c r="AO562" s="248"/>
      <c r="AP562" s="248"/>
      <c r="AQ562" s="248"/>
      <c r="AR562" s="248"/>
      <c r="AS562" s="248"/>
      <c r="AT562" s="248"/>
      <c r="AU562" s="152"/>
      <c r="AV562" s="152"/>
      <c r="AW562" s="152"/>
      <c r="AX562" s="152"/>
      <c r="AY562" s="152"/>
      <c r="AZ562" s="152"/>
      <c r="BA562" s="152"/>
      <c r="BB562" s="152"/>
      <c r="BC562" s="152"/>
      <c r="BD562" s="152"/>
      <c r="BE562" s="152"/>
      <c r="BF562" s="152"/>
      <c r="BG562" s="152"/>
      <c r="BH562" s="152"/>
      <c r="BI562" s="152"/>
      <c r="BJ562" s="152"/>
      <c r="BK562" s="152"/>
      <c r="BL562" s="152"/>
      <c r="BM562" s="152"/>
      <c r="BN562" s="152"/>
      <c r="BO562" s="152"/>
      <c r="BP562" s="152"/>
      <c r="BQ562" s="152"/>
      <c r="BR562" s="152"/>
      <c r="BS562" s="152"/>
      <c r="BT562" s="152"/>
      <c r="BU562" s="152"/>
      <c r="BV562" s="152"/>
      <c r="BW562" s="152"/>
      <c r="BX562" s="152"/>
      <c r="BY562" s="152"/>
      <c r="BZ562" s="152"/>
      <c r="CA562" s="152"/>
      <c r="CB562" s="152"/>
      <c r="CC562" s="152"/>
      <c r="CD562" s="152"/>
      <c r="CE562" s="152"/>
      <c r="CF562" s="152"/>
      <c r="CG562" s="252"/>
    </row>
    <row r="563" spans="1:85" s="250" customFormat="1" ht="13.9" customHeight="1" x14ac:dyDescent="0.2">
      <c r="A563" s="251" t="s">
        <v>158</v>
      </c>
      <c r="B563" s="147">
        <v>38</v>
      </c>
      <c r="C563" s="244" t="s">
        <v>583</v>
      </c>
      <c r="D563" s="154" t="s">
        <v>159</v>
      </c>
      <c r="E563" s="155"/>
      <c r="F563" s="155">
        <v>147071700</v>
      </c>
      <c r="G563" s="155"/>
      <c r="H563" s="154" t="s">
        <v>745</v>
      </c>
      <c r="I563" s="244" t="s">
        <v>695</v>
      </c>
      <c r="J563" s="147">
        <v>1</v>
      </c>
      <c r="K563" s="147">
        <v>1</v>
      </c>
      <c r="L563" s="147">
        <v>12</v>
      </c>
      <c r="M563" s="132">
        <f t="shared" si="98"/>
        <v>1</v>
      </c>
      <c r="N563" s="140" t="s">
        <v>36</v>
      </c>
      <c r="O563" s="141" t="str">
        <f>IF(ISBLANK(N563),"",VLOOKUP(N563,[25]Parámetros!$G$2:$H$23,2,FALSE))</f>
        <v xml:space="preserve">Contratación directa (con ofertas) </v>
      </c>
      <c r="P563" s="245">
        <f t="shared" si="104"/>
        <v>1</v>
      </c>
      <c r="Q563" s="143">
        <f t="shared" si="99"/>
        <v>147071700</v>
      </c>
      <c r="R563" s="143">
        <f t="shared" si="100"/>
        <v>147071700</v>
      </c>
      <c r="S563" s="246" t="s">
        <v>222</v>
      </c>
      <c r="T563" s="245">
        <f t="shared" si="97"/>
        <v>0</v>
      </c>
      <c r="U563" s="145" t="str">
        <f t="shared" si="101"/>
        <v>SUBDIRECCION DE GESTION CONTRACTUAL</v>
      </c>
      <c r="V563" s="245" t="str">
        <f t="shared" si="102"/>
        <v>CO-DC</v>
      </c>
      <c r="W563" s="245" t="str">
        <f t="shared" si="103"/>
        <v>Distrito Capital de Bogotá</v>
      </c>
      <c r="X563" s="154" t="s">
        <v>553</v>
      </c>
      <c r="Y563" s="147">
        <v>2427400</v>
      </c>
      <c r="Z563" s="157" t="s">
        <v>160</v>
      </c>
      <c r="AA563" s="248"/>
      <c r="AB563" s="248"/>
      <c r="AC563" s="248"/>
      <c r="AD563" s="248"/>
      <c r="AE563" s="248"/>
      <c r="AF563" s="248"/>
      <c r="AG563" s="248"/>
      <c r="AH563" s="248"/>
      <c r="AI563" s="248"/>
      <c r="AJ563" s="248"/>
      <c r="AK563" s="248"/>
      <c r="AL563" s="248"/>
      <c r="AM563" s="248"/>
      <c r="AN563" s="248"/>
      <c r="AO563" s="248"/>
      <c r="AP563" s="248"/>
      <c r="AQ563" s="248"/>
      <c r="AR563" s="248"/>
      <c r="AS563" s="248"/>
      <c r="AT563" s="248"/>
      <c r="AU563" s="152"/>
      <c r="AV563" s="152"/>
      <c r="AW563" s="152"/>
      <c r="AX563" s="152"/>
      <c r="AY563" s="152"/>
      <c r="AZ563" s="152"/>
      <c r="BA563" s="152"/>
      <c r="BB563" s="152"/>
      <c r="BC563" s="152"/>
      <c r="BD563" s="152"/>
      <c r="BE563" s="152"/>
      <c r="BF563" s="152"/>
      <c r="BG563" s="152"/>
      <c r="BH563" s="152"/>
      <c r="BI563" s="152"/>
      <c r="BJ563" s="152"/>
      <c r="BK563" s="152"/>
      <c r="BL563" s="152"/>
      <c r="BM563" s="152"/>
      <c r="BN563" s="152"/>
      <c r="BO563" s="152"/>
      <c r="BP563" s="152"/>
      <c r="BQ563" s="152"/>
      <c r="BR563" s="152"/>
      <c r="BS563" s="152"/>
      <c r="BT563" s="152"/>
      <c r="BU563" s="152"/>
      <c r="BV563" s="152"/>
      <c r="BW563" s="152"/>
      <c r="BX563" s="152"/>
      <c r="BY563" s="152"/>
      <c r="BZ563" s="152"/>
      <c r="CA563" s="152"/>
      <c r="CB563" s="152"/>
      <c r="CC563" s="152"/>
      <c r="CD563" s="152"/>
      <c r="CE563" s="152"/>
      <c r="CF563" s="152"/>
      <c r="CG563" s="252"/>
    </row>
    <row r="564" spans="1:85" s="250" customFormat="1" ht="13.9" customHeight="1" x14ac:dyDescent="0.2">
      <c r="A564" s="251" t="s">
        <v>158</v>
      </c>
      <c r="B564" s="147">
        <v>39</v>
      </c>
      <c r="C564" s="244" t="s">
        <v>583</v>
      </c>
      <c r="D564" s="154" t="s">
        <v>159</v>
      </c>
      <c r="E564" s="155"/>
      <c r="F564" s="155">
        <v>4716328480</v>
      </c>
      <c r="G564" s="155"/>
      <c r="H564" s="154" t="s">
        <v>749</v>
      </c>
      <c r="I564" s="244" t="s">
        <v>696</v>
      </c>
      <c r="J564" s="147">
        <v>1</v>
      </c>
      <c r="K564" s="147">
        <v>1</v>
      </c>
      <c r="L564" s="147">
        <v>12</v>
      </c>
      <c r="M564" s="132">
        <f t="shared" si="98"/>
        <v>1</v>
      </c>
      <c r="N564" s="140" t="s">
        <v>36</v>
      </c>
      <c r="O564" s="141" t="str">
        <f>IF(ISBLANK(N564),"",VLOOKUP(N564,[25]Parámetros!$G$2:$H$23,2,FALSE))</f>
        <v xml:space="preserve">Contratación directa (con ofertas) </v>
      </c>
      <c r="P564" s="245">
        <f t="shared" si="104"/>
        <v>1</v>
      </c>
      <c r="Q564" s="143">
        <f t="shared" si="99"/>
        <v>4716328480</v>
      </c>
      <c r="R564" s="143">
        <f t="shared" si="100"/>
        <v>4716328480</v>
      </c>
      <c r="S564" s="246" t="s">
        <v>222</v>
      </c>
      <c r="T564" s="245">
        <f t="shared" si="97"/>
        <v>0</v>
      </c>
      <c r="U564" s="145" t="str">
        <f t="shared" si="101"/>
        <v>SUBDIRECCION DE GESTION CONTRACTUAL</v>
      </c>
      <c r="V564" s="245" t="str">
        <f t="shared" si="102"/>
        <v>CO-DC</v>
      </c>
      <c r="W564" s="245" t="str">
        <f t="shared" si="103"/>
        <v>Distrito Capital de Bogotá</v>
      </c>
      <c r="X564" s="154" t="s">
        <v>553</v>
      </c>
      <c r="Y564" s="147">
        <v>2427400</v>
      </c>
      <c r="Z564" s="157" t="s">
        <v>160</v>
      </c>
      <c r="AA564" s="248"/>
      <c r="AB564" s="248"/>
      <c r="AC564" s="248"/>
      <c r="AD564" s="248"/>
      <c r="AE564" s="248"/>
      <c r="AF564" s="248"/>
      <c r="AG564" s="248"/>
      <c r="AH564" s="248"/>
      <c r="AI564" s="248"/>
      <c r="AJ564" s="248"/>
      <c r="AK564" s="248"/>
      <c r="AL564" s="248"/>
      <c r="AM564" s="248"/>
      <c r="AN564" s="248"/>
      <c r="AO564" s="248"/>
      <c r="AP564" s="248"/>
      <c r="AQ564" s="248"/>
      <c r="AR564" s="248"/>
      <c r="AS564" s="248"/>
      <c r="AT564" s="248"/>
      <c r="AU564" s="152"/>
      <c r="AV564" s="152"/>
      <c r="AW564" s="152"/>
      <c r="AX564" s="152"/>
      <c r="AY564" s="152"/>
      <c r="AZ564" s="152"/>
      <c r="BA564" s="152"/>
      <c r="BB564" s="152"/>
      <c r="BC564" s="152"/>
      <c r="BD564" s="152"/>
      <c r="BE564" s="152"/>
      <c r="BF564" s="152"/>
      <c r="BG564" s="152"/>
      <c r="BH564" s="152"/>
      <c r="BI564" s="152"/>
      <c r="BJ564" s="152"/>
      <c r="BK564" s="152"/>
      <c r="BL564" s="152"/>
      <c r="BM564" s="152"/>
      <c r="BN564" s="152"/>
      <c r="BO564" s="152"/>
      <c r="BP564" s="152"/>
      <c r="BQ564" s="152"/>
      <c r="BR564" s="152"/>
      <c r="BS564" s="152"/>
      <c r="BT564" s="152"/>
      <c r="BU564" s="152"/>
      <c r="BV564" s="152"/>
      <c r="BW564" s="152"/>
      <c r="BX564" s="152"/>
      <c r="BY564" s="152"/>
      <c r="BZ564" s="152"/>
      <c r="CA564" s="152"/>
      <c r="CB564" s="152"/>
      <c r="CC564" s="152"/>
      <c r="CD564" s="152"/>
      <c r="CE564" s="152"/>
      <c r="CF564" s="152"/>
      <c r="CG564" s="252"/>
    </row>
    <row r="565" spans="1:85" s="250" customFormat="1" ht="13.9" customHeight="1" x14ac:dyDescent="0.2">
      <c r="A565" s="251" t="s">
        <v>158</v>
      </c>
      <c r="B565" s="147">
        <v>40</v>
      </c>
      <c r="C565" s="244" t="s">
        <v>583</v>
      </c>
      <c r="D565" s="154" t="s">
        <v>159</v>
      </c>
      <c r="E565" s="155"/>
      <c r="F565" s="155">
        <v>1025000000</v>
      </c>
      <c r="G565" s="155"/>
      <c r="H565" s="154" t="s">
        <v>745</v>
      </c>
      <c r="I565" s="244" t="s">
        <v>697</v>
      </c>
      <c r="J565" s="147">
        <v>1</v>
      </c>
      <c r="K565" s="147">
        <v>1</v>
      </c>
      <c r="L565" s="147">
        <v>12</v>
      </c>
      <c r="M565" s="132">
        <f t="shared" si="98"/>
        <v>1</v>
      </c>
      <c r="N565" s="140" t="s">
        <v>36</v>
      </c>
      <c r="O565" s="141" t="str">
        <f>IF(ISBLANK(N565),"",VLOOKUP(N565,[25]Parámetros!$G$2:$H$23,2,FALSE))</f>
        <v xml:space="preserve">Contratación directa (con ofertas) </v>
      </c>
      <c r="P565" s="245">
        <f t="shared" si="104"/>
        <v>1</v>
      </c>
      <c r="Q565" s="143">
        <f t="shared" si="99"/>
        <v>1025000000</v>
      </c>
      <c r="R565" s="143">
        <f t="shared" si="100"/>
        <v>1025000000</v>
      </c>
      <c r="S565" s="246" t="s">
        <v>222</v>
      </c>
      <c r="T565" s="245">
        <f t="shared" si="97"/>
        <v>0</v>
      </c>
      <c r="U565" s="145" t="str">
        <f t="shared" si="101"/>
        <v>SUBDIRECCION DE GESTION CONTRACTUAL</v>
      </c>
      <c r="V565" s="245" t="str">
        <f t="shared" si="102"/>
        <v>CO-DC</v>
      </c>
      <c r="W565" s="245" t="str">
        <f t="shared" si="103"/>
        <v>Distrito Capital de Bogotá</v>
      </c>
      <c r="X565" s="154" t="s">
        <v>553</v>
      </c>
      <c r="Y565" s="147">
        <v>2427400</v>
      </c>
      <c r="Z565" s="157" t="s">
        <v>160</v>
      </c>
      <c r="AA565" s="248"/>
      <c r="AB565" s="248"/>
      <c r="AC565" s="248"/>
      <c r="AD565" s="248"/>
      <c r="AE565" s="248"/>
      <c r="AF565" s="248"/>
      <c r="AG565" s="248"/>
      <c r="AH565" s="248"/>
      <c r="AI565" s="248"/>
      <c r="AJ565" s="248"/>
      <c r="AK565" s="248"/>
      <c r="AL565" s="248"/>
      <c r="AM565" s="248"/>
      <c r="AN565" s="248"/>
      <c r="AO565" s="248"/>
      <c r="AP565" s="248"/>
      <c r="AQ565" s="248"/>
      <c r="AR565" s="248"/>
      <c r="AS565" s="248"/>
      <c r="AT565" s="248"/>
      <c r="AU565" s="152"/>
      <c r="AV565" s="152"/>
      <c r="AW565" s="152"/>
      <c r="AX565" s="152"/>
      <c r="AY565" s="152"/>
      <c r="AZ565" s="152"/>
      <c r="BA565" s="152"/>
      <c r="BB565" s="152"/>
      <c r="BC565" s="152"/>
      <c r="BD565" s="152"/>
      <c r="BE565" s="152"/>
      <c r="BF565" s="152"/>
      <c r="BG565" s="152"/>
      <c r="BH565" s="152"/>
      <c r="BI565" s="152"/>
      <c r="BJ565" s="152"/>
      <c r="BK565" s="152"/>
      <c r="BL565" s="152"/>
      <c r="BM565" s="152"/>
      <c r="BN565" s="152"/>
      <c r="BO565" s="152"/>
      <c r="BP565" s="152"/>
      <c r="BQ565" s="152"/>
      <c r="BR565" s="152"/>
      <c r="BS565" s="152"/>
      <c r="BT565" s="152"/>
      <c r="BU565" s="152"/>
      <c r="BV565" s="152"/>
      <c r="BW565" s="152"/>
      <c r="BX565" s="152"/>
      <c r="BY565" s="152"/>
      <c r="BZ565" s="152"/>
      <c r="CA565" s="152"/>
      <c r="CB565" s="152"/>
      <c r="CC565" s="152"/>
      <c r="CD565" s="152"/>
      <c r="CE565" s="152"/>
      <c r="CF565" s="152"/>
      <c r="CG565" s="252"/>
    </row>
    <row r="566" spans="1:85" s="250" customFormat="1" ht="13.9" customHeight="1" x14ac:dyDescent="0.2">
      <c r="A566" s="251" t="s">
        <v>158</v>
      </c>
      <c r="B566" s="147">
        <v>41</v>
      </c>
      <c r="C566" s="244" t="s">
        <v>583</v>
      </c>
      <c r="D566" s="154" t="s">
        <v>159</v>
      </c>
      <c r="E566" s="155"/>
      <c r="F566" s="155">
        <v>514750950</v>
      </c>
      <c r="G566" s="155"/>
      <c r="H566" s="154" t="s">
        <v>745</v>
      </c>
      <c r="I566" s="244" t="s">
        <v>698</v>
      </c>
      <c r="J566" s="147">
        <v>1</v>
      </c>
      <c r="K566" s="147">
        <v>1</v>
      </c>
      <c r="L566" s="147">
        <v>12</v>
      </c>
      <c r="M566" s="132">
        <f t="shared" si="98"/>
        <v>1</v>
      </c>
      <c r="N566" s="140" t="s">
        <v>36</v>
      </c>
      <c r="O566" s="141" t="str">
        <f>IF(ISBLANK(N566),"",VLOOKUP(N566,[25]Parámetros!$G$2:$H$23,2,FALSE))</f>
        <v xml:space="preserve">Contratación directa (con ofertas) </v>
      </c>
      <c r="P566" s="245">
        <f t="shared" si="104"/>
        <v>1</v>
      </c>
      <c r="Q566" s="143">
        <f t="shared" si="99"/>
        <v>514750950</v>
      </c>
      <c r="R566" s="143">
        <f t="shared" si="100"/>
        <v>514750950</v>
      </c>
      <c r="S566" s="246" t="s">
        <v>222</v>
      </c>
      <c r="T566" s="245">
        <f t="shared" si="97"/>
        <v>0</v>
      </c>
      <c r="U566" s="145" t="str">
        <f t="shared" si="101"/>
        <v>SUBDIRECCION DE GESTION CONTRACTUAL</v>
      </c>
      <c r="V566" s="245" t="str">
        <f t="shared" si="102"/>
        <v>CO-DC</v>
      </c>
      <c r="W566" s="245" t="str">
        <f t="shared" si="103"/>
        <v>Distrito Capital de Bogotá</v>
      </c>
      <c r="X566" s="154" t="s">
        <v>553</v>
      </c>
      <c r="Y566" s="147">
        <v>2427400</v>
      </c>
      <c r="Z566" s="157" t="s">
        <v>160</v>
      </c>
      <c r="AA566" s="248"/>
      <c r="AB566" s="248"/>
      <c r="AC566" s="248"/>
      <c r="AD566" s="248"/>
      <c r="AE566" s="248"/>
      <c r="AF566" s="248"/>
      <c r="AG566" s="248"/>
      <c r="AH566" s="248"/>
      <c r="AI566" s="248"/>
      <c r="AJ566" s="248"/>
      <c r="AK566" s="248"/>
      <c r="AL566" s="248"/>
      <c r="AM566" s="248"/>
      <c r="AN566" s="248"/>
      <c r="AO566" s="248"/>
      <c r="AP566" s="248"/>
      <c r="AQ566" s="248"/>
      <c r="AR566" s="248"/>
      <c r="AS566" s="248"/>
      <c r="AT566" s="248"/>
      <c r="AU566" s="152"/>
      <c r="AV566" s="152"/>
      <c r="AW566" s="152"/>
      <c r="AX566" s="152"/>
      <c r="AY566" s="152"/>
      <c r="AZ566" s="152"/>
      <c r="BA566" s="152"/>
      <c r="BB566" s="152"/>
      <c r="BC566" s="152"/>
      <c r="BD566" s="152"/>
      <c r="BE566" s="152"/>
      <c r="BF566" s="152"/>
      <c r="BG566" s="152"/>
      <c r="BH566" s="152"/>
      <c r="BI566" s="152"/>
      <c r="BJ566" s="152"/>
      <c r="BK566" s="152"/>
      <c r="BL566" s="152"/>
      <c r="BM566" s="152"/>
      <c r="BN566" s="152"/>
      <c r="BO566" s="152"/>
      <c r="BP566" s="152"/>
      <c r="BQ566" s="152"/>
      <c r="BR566" s="152"/>
      <c r="BS566" s="152"/>
      <c r="BT566" s="152"/>
      <c r="BU566" s="152"/>
      <c r="BV566" s="152"/>
      <c r="BW566" s="152"/>
      <c r="BX566" s="152"/>
      <c r="BY566" s="152"/>
      <c r="BZ566" s="152"/>
      <c r="CA566" s="152"/>
      <c r="CB566" s="152"/>
      <c r="CC566" s="152"/>
      <c r="CD566" s="152"/>
      <c r="CE566" s="152"/>
      <c r="CF566" s="152"/>
      <c r="CG566" s="252"/>
    </row>
    <row r="567" spans="1:85" s="250" customFormat="1" ht="13.9" customHeight="1" x14ac:dyDescent="0.2">
      <c r="A567" s="251" t="s">
        <v>158</v>
      </c>
      <c r="B567" s="147">
        <v>42</v>
      </c>
      <c r="C567" s="244" t="s">
        <v>583</v>
      </c>
      <c r="D567" s="154" t="s">
        <v>159</v>
      </c>
      <c r="E567" s="155"/>
      <c r="F567" s="155">
        <v>1101245901</v>
      </c>
      <c r="G567" s="155"/>
      <c r="H567" s="154" t="s">
        <v>745</v>
      </c>
      <c r="I567" s="244" t="s">
        <v>699</v>
      </c>
      <c r="J567" s="147">
        <v>1</v>
      </c>
      <c r="K567" s="147">
        <v>1</v>
      </c>
      <c r="L567" s="147">
        <v>12</v>
      </c>
      <c r="M567" s="132">
        <f t="shared" si="98"/>
        <v>1</v>
      </c>
      <c r="N567" s="140" t="s">
        <v>36</v>
      </c>
      <c r="O567" s="141" t="str">
        <f>IF(ISBLANK(N567),"",VLOOKUP(N567,[25]Parámetros!$G$2:$H$23,2,FALSE))</f>
        <v xml:space="preserve">Contratación directa (con ofertas) </v>
      </c>
      <c r="P567" s="245">
        <f t="shared" si="104"/>
        <v>1</v>
      </c>
      <c r="Q567" s="143">
        <f t="shared" si="99"/>
        <v>1101245901</v>
      </c>
      <c r="R567" s="143">
        <f t="shared" si="100"/>
        <v>1101245901</v>
      </c>
      <c r="S567" s="246" t="s">
        <v>222</v>
      </c>
      <c r="T567" s="245">
        <f t="shared" si="97"/>
        <v>0</v>
      </c>
      <c r="U567" s="145" t="str">
        <f t="shared" si="101"/>
        <v>SUBDIRECCION DE GESTION CONTRACTUAL</v>
      </c>
      <c r="V567" s="245" t="str">
        <f t="shared" si="102"/>
        <v>CO-DC</v>
      </c>
      <c r="W567" s="245" t="str">
        <f t="shared" si="103"/>
        <v>Distrito Capital de Bogotá</v>
      </c>
      <c r="X567" s="154" t="s">
        <v>553</v>
      </c>
      <c r="Y567" s="147">
        <v>2427400</v>
      </c>
      <c r="Z567" s="157" t="s">
        <v>160</v>
      </c>
      <c r="AA567" s="248"/>
      <c r="AB567" s="248"/>
      <c r="AC567" s="248"/>
      <c r="AD567" s="248"/>
      <c r="AE567" s="248"/>
      <c r="AF567" s="248"/>
      <c r="AG567" s="248"/>
      <c r="AH567" s="248"/>
      <c r="AI567" s="248"/>
      <c r="AJ567" s="248"/>
      <c r="AK567" s="248"/>
      <c r="AL567" s="248"/>
      <c r="AM567" s="248"/>
      <c r="AN567" s="248"/>
      <c r="AO567" s="248"/>
      <c r="AP567" s="248"/>
      <c r="AQ567" s="248"/>
      <c r="AR567" s="248"/>
      <c r="AS567" s="248"/>
      <c r="AT567" s="248"/>
      <c r="AU567" s="152"/>
      <c r="AV567" s="152"/>
      <c r="AW567" s="152"/>
      <c r="AX567" s="152"/>
      <c r="AY567" s="152"/>
      <c r="AZ567" s="152"/>
      <c r="BA567" s="152"/>
      <c r="BB567" s="152"/>
      <c r="BC567" s="152"/>
      <c r="BD567" s="152"/>
      <c r="BE567" s="152"/>
      <c r="BF567" s="152"/>
      <c r="BG567" s="152"/>
      <c r="BH567" s="152"/>
      <c r="BI567" s="152"/>
      <c r="BJ567" s="152"/>
      <c r="BK567" s="152"/>
      <c r="BL567" s="152"/>
      <c r="BM567" s="152"/>
      <c r="BN567" s="152"/>
      <c r="BO567" s="152"/>
      <c r="BP567" s="152"/>
      <c r="BQ567" s="152"/>
      <c r="BR567" s="152"/>
      <c r="BS567" s="152"/>
      <c r="BT567" s="152"/>
      <c r="BU567" s="152"/>
      <c r="BV567" s="152"/>
      <c r="BW567" s="152"/>
      <c r="BX567" s="152"/>
      <c r="BY567" s="152"/>
      <c r="BZ567" s="152"/>
      <c r="CA567" s="152"/>
      <c r="CB567" s="152"/>
      <c r="CC567" s="152"/>
      <c r="CD567" s="152"/>
      <c r="CE567" s="152"/>
      <c r="CF567" s="152"/>
      <c r="CG567" s="252"/>
    </row>
    <row r="568" spans="1:85" s="250" customFormat="1" ht="13.9" customHeight="1" x14ac:dyDescent="0.2">
      <c r="A568" s="251" t="s">
        <v>158</v>
      </c>
      <c r="B568" s="147">
        <v>43</v>
      </c>
      <c r="C568" s="244" t="s">
        <v>583</v>
      </c>
      <c r="D568" s="154" t="s">
        <v>159</v>
      </c>
      <c r="E568" s="155"/>
      <c r="F568" s="155">
        <v>727303040</v>
      </c>
      <c r="G568" s="155"/>
      <c r="H568" s="154" t="s">
        <v>745</v>
      </c>
      <c r="I568" s="244" t="s">
        <v>700</v>
      </c>
      <c r="J568" s="147">
        <v>1</v>
      </c>
      <c r="K568" s="147">
        <v>1</v>
      </c>
      <c r="L568" s="147">
        <v>12</v>
      </c>
      <c r="M568" s="132">
        <f t="shared" si="98"/>
        <v>1</v>
      </c>
      <c r="N568" s="140" t="s">
        <v>36</v>
      </c>
      <c r="O568" s="141" t="str">
        <f>IF(ISBLANK(N568),"",VLOOKUP(N568,[25]Parámetros!$G$2:$H$23,2,FALSE))</f>
        <v xml:space="preserve">Contratación directa (con ofertas) </v>
      </c>
      <c r="P568" s="245">
        <f t="shared" si="104"/>
        <v>1</v>
      </c>
      <c r="Q568" s="143">
        <f t="shared" si="99"/>
        <v>727303040</v>
      </c>
      <c r="R568" s="143">
        <f t="shared" si="100"/>
        <v>727303040</v>
      </c>
      <c r="S568" s="246" t="s">
        <v>222</v>
      </c>
      <c r="T568" s="245">
        <f t="shared" si="97"/>
        <v>0</v>
      </c>
      <c r="U568" s="145" t="str">
        <f t="shared" si="101"/>
        <v>SUBDIRECCION DE GESTION CONTRACTUAL</v>
      </c>
      <c r="V568" s="245" t="str">
        <f t="shared" si="102"/>
        <v>CO-DC</v>
      </c>
      <c r="W568" s="245" t="str">
        <f t="shared" si="103"/>
        <v>Distrito Capital de Bogotá</v>
      </c>
      <c r="X568" s="154" t="s">
        <v>553</v>
      </c>
      <c r="Y568" s="147">
        <v>2427400</v>
      </c>
      <c r="Z568" s="157" t="s">
        <v>160</v>
      </c>
      <c r="AA568" s="248"/>
      <c r="AB568" s="248"/>
      <c r="AC568" s="248"/>
      <c r="AD568" s="248"/>
      <c r="AE568" s="248"/>
      <c r="AF568" s="248"/>
      <c r="AG568" s="248"/>
      <c r="AH568" s="248"/>
      <c r="AI568" s="248"/>
      <c r="AJ568" s="248"/>
      <c r="AK568" s="248"/>
      <c r="AL568" s="248"/>
      <c r="AM568" s="248"/>
      <c r="AN568" s="248"/>
      <c r="AO568" s="248"/>
      <c r="AP568" s="248"/>
      <c r="AQ568" s="248"/>
      <c r="AR568" s="248"/>
      <c r="AS568" s="248"/>
      <c r="AT568" s="248"/>
      <c r="AU568" s="152"/>
      <c r="AV568" s="152"/>
      <c r="AW568" s="152"/>
      <c r="AX568" s="152"/>
      <c r="AY568" s="152"/>
      <c r="AZ568" s="152"/>
      <c r="BA568" s="152"/>
      <c r="BB568" s="152"/>
      <c r="BC568" s="152"/>
      <c r="BD568" s="152"/>
      <c r="BE568" s="152"/>
      <c r="BF568" s="152"/>
      <c r="BG568" s="152"/>
      <c r="BH568" s="152"/>
      <c r="BI568" s="152"/>
      <c r="BJ568" s="152"/>
      <c r="BK568" s="152"/>
      <c r="BL568" s="152"/>
      <c r="BM568" s="152"/>
      <c r="BN568" s="152"/>
      <c r="BO568" s="152"/>
      <c r="BP568" s="152"/>
      <c r="BQ568" s="152"/>
      <c r="BR568" s="152"/>
      <c r="BS568" s="152"/>
      <c r="BT568" s="152"/>
      <c r="BU568" s="152"/>
      <c r="BV568" s="152"/>
      <c r="BW568" s="152"/>
      <c r="BX568" s="152"/>
      <c r="BY568" s="152"/>
      <c r="BZ568" s="152"/>
      <c r="CA568" s="152"/>
      <c r="CB568" s="152"/>
      <c r="CC568" s="152"/>
      <c r="CD568" s="152"/>
      <c r="CE568" s="152"/>
      <c r="CF568" s="152"/>
      <c r="CG568" s="252"/>
    </row>
    <row r="569" spans="1:85" s="250" customFormat="1" ht="13.9" customHeight="1" x14ac:dyDescent="0.2">
      <c r="A569" s="251" t="s">
        <v>158</v>
      </c>
      <c r="B569" s="147">
        <v>44</v>
      </c>
      <c r="C569" s="244" t="s">
        <v>583</v>
      </c>
      <c r="D569" s="154" t="s">
        <v>159</v>
      </c>
      <c r="E569" s="155"/>
      <c r="F569" s="155">
        <v>205000000</v>
      </c>
      <c r="G569" s="155"/>
      <c r="H569" s="154" t="s">
        <v>745</v>
      </c>
      <c r="I569" s="244" t="s">
        <v>702</v>
      </c>
      <c r="J569" s="147">
        <v>1</v>
      </c>
      <c r="K569" s="147">
        <v>1</v>
      </c>
      <c r="L569" s="147">
        <v>12</v>
      </c>
      <c r="M569" s="132">
        <f t="shared" si="98"/>
        <v>1</v>
      </c>
      <c r="N569" s="140" t="s">
        <v>36</v>
      </c>
      <c r="O569" s="141" t="str">
        <f>IF(ISBLANK(N569),"",VLOOKUP(N569,[25]Parámetros!$G$2:$H$23,2,FALSE))</f>
        <v xml:space="preserve">Contratación directa (con ofertas) </v>
      </c>
      <c r="P569" s="245">
        <f t="shared" si="104"/>
        <v>1</v>
      </c>
      <c r="Q569" s="143">
        <f t="shared" si="99"/>
        <v>205000000</v>
      </c>
      <c r="R569" s="143">
        <f t="shared" si="100"/>
        <v>205000000</v>
      </c>
      <c r="S569" s="246" t="s">
        <v>222</v>
      </c>
      <c r="T569" s="245">
        <f t="shared" ref="T569:T600" si="105">IF(ISBLANK(S569),"",IF(VALUE(S569)=0,0,IF(VALUE(S569)=1,3,"")))</f>
        <v>0</v>
      </c>
      <c r="U569" s="145" t="str">
        <f t="shared" si="101"/>
        <v>SUBDIRECCION DE GESTION CONTRACTUAL</v>
      </c>
      <c r="V569" s="245" t="str">
        <f t="shared" si="102"/>
        <v>CO-DC</v>
      </c>
      <c r="W569" s="245" t="str">
        <f t="shared" si="103"/>
        <v>Distrito Capital de Bogotá</v>
      </c>
      <c r="X569" s="154" t="s">
        <v>553</v>
      </c>
      <c r="Y569" s="147">
        <v>2427400</v>
      </c>
      <c r="Z569" s="157" t="s">
        <v>160</v>
      </c>
      <c r="AA569" s="248"/>
      <c r="AB569" s="248"/>
      <c r="AC569" s="248"/>
      <c r="AD569" s="248"/>
      <c r="AE569" s="248"/>
      <c r="AF569" s="248"/>
      <c r="AG569" s="248"/>
      <c r="AH569" s="248"/>
      <c r="AI569" s="248"/>
      <c r="AJ569" s="248"/>
      <c r="AK569" s="248"/>
      <c r="AL569" s="248"/>
      <c r="AM569" s="248"/>
      <c r="AN569" s="248"/>
      <c r="AO569" s="248"/>
      <c r="AP569" s="248"/>
      <c r="AQ569" s="248"/>
      <c r="AR569" s="248"/>
      <c r="AS569" s="248"/>
      <c r="AT569" s="248"/>
      <c r="AU569" s="152"/>
      <c r="AV569" s="152"/>
      <c r="AW569" s="152"/>
      <c r="AX569" s="152"/>
      <c r="AY569" s="152"/>
      <c r="AZ569" s="152"/>
      <c r="BA569" s="152"/>
      <c r="BB569" s="152"/>
      <c r="BC569" s="152"/>
      <c r="BD569" s="152"/>
      <c r="BE569" s="152"/>
      <c r="BF569" s="152"/>
      <c r="BG569" s="152"/>
      <c r="BH569" s="152"/>
      <c r="BI569" s="152"/>
      <c r="BJ569" s="152"/>
      <c r="BK569" s="152"/>
      <c r="BL569" s="152"/>
      <c r="BM569" s="152"/>
      <c r="BN569" s="152"/>
      <c r="BO569" s="152"/>
      <c r="BP569" s="152"/>
      <c r="BQ569" s="152"/>
      <c r="BR569" s="152"/>
      <c r="BS569" s="152"/>
      <c r="BT569" s="152"/>
      <c r="BU569" s="152"/>
      <c r="BV569" s="152"/>
      <c r="BW569" s="152"/>
      <c r="BX569" s="152"/>
      <c r="BY569" s="152"/>
      <c r="BZ569" s="152"/>
      <c r="CA569" s="152"/>
      <c r="CB569" s="152"/>
      <c r="CC569" s="152"/>
      <c r="CD569" s="152"/>
      <c r="CE569" s="152"/>
      <c r="CF569" s="152"/>
      <c r="CG569" s="252"/>
    </row>
    <row r="570" spans="1:85" s="250" customFormat="1" ht="13.9" customHeight="1" x14ac:dyDescent="0.2">
      <c r="A570" s="251" t="s">
        <v>158</v>
      </c>
      <c r="B570" s="147">
        <v>45</v>
      </c>
      <c r="C570" s="244" t="s">
        <v>583</v>
      </c>
      <c r="D570" s="154" t="s">
        <v>159</v>
      </c>
      <c r="E570" s="155"/>
      <c r="F570" s="155">
        <v>962792662</v>
      </c>
      <c r="G570" s="155"/>
      <c r="H570" s="154" t="s">
        <v>749</v>
      </c>
      <c r="I570" s="244" t="s">
        <v>701</v>
      </c>
      <c r="J570" s="147">
        <v>1</v>
      </c>
      <c r="K570" s="147">
        <v>1</v>
      </c>
      <c r="L570" s="147">
        <v>12</v>
      </c>
      <c r="M570" s="132">
        <f t="shared" si="98"/>
        <v>1</v>
      </c>
      <c r="N570" s="140" t="s">
        <v>36</v>
      </c>
      <c r="O570" s="141" t="str">
        <f>IF(ISBLANK(N570),"",VLOOKUP(N570,[25]Parámetros!$G$2:$H$23,2,FALSE))</f>
        <v xml:space="preserve">Contratación directa (con ofertas) </v>
      </c>
      <c r="P570" s="245">
        <f t="shared" si="104"/>
        <v>1</v>
      </c>
      <c r="Q570" s="143">
        <f t="shared" si="99"/>
        <v>962792662</v>
      </c>
      <c r="R570" s="143">
        <f t="shared" si="100"/>
        <v>962792662</v>
      </c>
      <c r="S570" s="246" t="s">
        <v>222</v>
      </c>
      <c r="T570" s="245">
        <f t="shared" si="105"/>
        <v>0</v>
      </c>
      <c r="U570" s="145" t="str">
        <f t="shared" si="101"/>
        <v>SUBDIRECCION DE GESTION CONTRACTUAL</v>
      </c>
      <c r="V570" s="245" t="str">
        <f t="shared" si="102"/>
        <v>CO-DC</v>
      </c>
      <c r="W570" s="245" t="str">
        <f t="shared" si="103"/>
        <v>Distrito Capital de Bogotá</v>
      </c>
      <c r="X570" s="154" t="s">
        <v>553</v>
      </c>
      <c r="Y570" s="147">
        <v>2427400</v>
      </c>
      <c r="Z570" s="157" t="s">
        <v>160</v>
      </c>
      <c r="AA570" s="248"/>
      <c r="AB570" s="248"/>
      <c r="AC570" s="248"/>
      <c r="AD570" s="248"/>
      <c r="AE570" s="248"/>
      <c r="AF570" s="248"/>
      <c r="AG570" s="248"/>
      <c r="AH570" s="248"/>
      <c r="AI570" s="248"/>
      <c r="AJ570" s="248"/>
      <c r="AK570" s="248"/>
      <c r="AL570" s="248"/>
      <c r="AM570" s="248"/>
      <c r="AN570" s="248"/>
      <c r="AO570" s="248"/>
      <c r="AP570" s="248"/>
      <c r="AQ570" s="248"/>
      <c r="AR570" s="248"/>
      <c r="AS570" s="248"/>
      <c r="AT570" s="248"/>
      <c r="AU570" s="152"/>
      <c r="AV570" s="152"/>
      <c r="AW570" s="152"/>
      <c r="AX570" s="152"/>
      <c r="AY570" s="152"/>
      <c r="AZ570" s="152"/>
      <c r="BA570" s="152"/>
      <c r="BB570" s="152"/>
      <c r="BC570" s="152"/>
      <c r="BD570" s="152"/>
      <c r="BE570" s="152"/>
      <c r="BF570" s="152"/>
      <c r="BG570" s="152"/>
      <c r="BH570" s="152"/>
      <c r="BI570" s="152"/>
      <c r="BJ570" s="152"/>
      <c r="BK570" s="152"/>
      <c r="BL570" s="152"/>
      <c r="BM570" s="152"/>
      <c r="BN570" s="152"/>
      <c r="BO570" s="152"/>
      <c r="BP570" s="152"/>
      <c r="BQ570" s="152"/>
      <c r="BR570" s="152"/>
      <c r="BS570" s="152"/>
      <c r="BT570" s="152"/>
      <c r="BU570" s="152"/>
      <c r="BV570" s="152"/>
      <c r="BW570" s="152"/>
      <c r="BX570" s="152"/>
      <c r="BY570" s="152"/>
      <c r="BZ570" s="152"/>
      <c r="CA570" s="152"/>
      <c r="CB570" s="152"/>
      <c r="CC570" s="152"/>
      <c r="CD570" s="152"/>
      <c r="CE570" s="152"/>
      <c r="CF570" s="152"/>
      <c r="CG570" s="252"/>
    </row>
    <row r="571" spans="1:85" s="250" customFormat="1" ht="13.9" customHeight="1" x14ac:dyDescent="0.2">
      <c r="A571" s="251" t="s">
        <v>158</v>
      </c>
      <c r="B571" s="147">
        <v>46</v>
      </c>
      <c r="C571" s="244" t="s">
        <v>583</v>
      </c>
      <c r="D571" s="154" t="s">
        <v>159</v>
      </c>
      <c r="E571" s="155"/>
      <c r="F571" s="155">
        <v>725303040</v>
      </c>
      <c r="G571" s="155"/>
      <c r="H571" s="154" t="s">
        <v>745</v>
      </c>
      <c r="I571" s="244" t="s">
        <v>703</v>
      </c>
      <c r="J571" s="147">
        <v>1</v>
      </c>
      <c r="K571" s="147">
        <v>1</v>
      </c>
      <c r="L571" s="147">
        <v>12</v>
      </c>
      <c r="M571" s="132">
        <f t="shared" si="98"/>
        <v>1</v>
      </c>
      <c r="N571" s="140" t="s">
        <v>36</v>
      </c>
      <c r="O571" s="141" t="str">
        <f>IF(ISBLANK(N571),"",VLOOKUP(N571,[25]Parámetros!$G$2:$H$23,2,FALSE))</f>
        <v xml:space="preserve">Contratación directa (con ofertas) </v>
      </c>
      <c r="P571" s="245">
        <f t="shared" si="104"/>
        <v>1</v>
      </c>
      <c r="Q571" s="143">
        <f t="shared" si="99"/>
        <v>725303040</v>
      </c>
      <c r="R571" s="143">
        <f t="shared" si="100"/>
        <v>725303040</v>
      </c>
      <c r="S571" s="246" t="s">
        <v>222</v>
      </c>
      <c r="T571" s="245">
        <f t="shared" si="105"/>
        <v>0</v>
      </c>
      <c r="U571" s="145" t="str">
        <f t="shared" si="101"/>
        <v>SUBDIRECCION DE GESTION CONTRACTUAL</v>
      </c>
      <c r="V571" s="245" t="str">
        <f t="shared" si="102"/>
        <v>CO-DC</v>
      </c>
      <c r="W571" s="245" t="str">
        <f t="shared" si="103"/>
        <v>Distrito Capital de Bogotá</v>
      </c>
      <c r="X571" s="154" t="s">
        <v>553</v>
      </c>
      <c r="Y571" s="147">
        <v>2427400</v>
      </c>
      <c r="Z571" s="157" t="s">
        <v>160</v>
      </c>
      <c r="AA571" s="248"/>
      <c r="AB571" s="248"/>
      <c r="AC571" s="248"/>
      <c r="AD571" s="248"/>
      <c r="AE571" s="248"/>
      <c r="AF571" s="248"/>
      <c r="AG571" s="248"/>
      <c r="AH571" s="248"/>
      <c r="AI571" s="248"/>
      <c r="AJ571" s="248"/>
      <c r="AK571" s="248"/>
      <c r="AL571" s="248"/>
      <c r="AM571" s="248"/>
      <c r="AN571" s="248"/>
      <c r="AO571" s="248"/>
      <c r="AP571" s="248"/>
      <c r="AQ571" s="248"/>
      <c r="AR571" s="248"/>
      <c r="AS571" s="248"/>
      <c r="AT571" s="248"/>
      <c r="AU571" s="152"/>
      <c r="AV571" s="152"/>
      <c r="AW571" s="152"/>
      <c r="AX571" s="152"/>
      <c r="AY571" s="152"/>
      <c r="AZ571" s="152"/>
      <c r="BA571" s="152"/>
      <c r="BB571" s="152"/>
      <c r="BC571" s="152"/>
      <c r="BD571" s="152"/>
      <c r="BE571" s="152"/>
      <c r="BF571" s="152"/>
      <c r="BG571" s="152"/>
      <c r="BH571" s="152"/>
      <c r="BI571" s="152"/>
      <c r="BJ571" s="152"/>
      <c r="BK571" s="152"/>
      <c r="BL571" s="152"/>
      <c r="BM571" s="152"/>
      <c r="BN571" s="152"/>
      <c r="BO571" s="152"/>
      <c r="BP571" s="152"/>
      <c r="BQ571" s="152"/>
      <c r="BR571" s="152"/>
      <c r="BS571" s="152"/>
      <c r="BT571" s="152"/>
      <c r="BU571" s="152"/>
      <c r="BV571" s="152"/>
      <c r="BW571" s="152"/>
      <c r="BX571" s="152"/>
      <c r="BY571" s="152"/>
      <c r="BZ571" s="152"/>
      <c r="CA571" s="152"/>
      <c r="CB571" s="152"/>
      <c r="CC571" s="152"/>
      <c r="CD571" s="152"/>
      <c r="CE571" s="152"/>
      <c r="CF571" s="152"/>
      <c r="CG571" s="252"/>
    </row>
    <row r="572" spans="1:85" s="250" customFormat="1" ht="13.9" customHeight="1" x14ac:dyDescent="0.2">
      <c r="A572" s="251" t="s">
        <v>158</v>
      </c>
      <c r="B572" s="147">
        <v>47</v>
      </c>
      <c r="C572" s="244" t="s">
        <v>583</v>
      </c>
      <c r="D572" s="154" t="s">
        <v>159</v>
      </c>
      <c r="E572" s="155"/>
      <c r="F572" s="155">
        <v>360741600</v>
      </c>
      <c r="G572" s="155"/>
      <c r="H572" s="154" t="s">
        <v>745</v>
      </c>
      <c r="I572" s="244" t="s">
        <v>704</v>
      </c>
      <c r="J572" s="147">
        <v>1</v>
      </c>
      <c r="K572" s="147">
        <v>1</v>
      </c>
      <c r="L572" s="147">
        <v>12</v>
      </c>
      <c r="M572" s="132">
        <f t="shared" si="98"/>
        <v>1</v>
      </c>
      <c r="N572" s="140" t="s">
        <v>36</v>
      </c>
      <c r="O572" s="141" t="str">
        <f>IF(ISBLANK(N572),"",VLOOKUP(N572,[25]Parámetros!$G$2:$H$23,2,FALSE))</f>
        <v xml:space="preserve">Contratación directa (con ofertas) </v>
      </c>
      <c r="P572" s="245">
        <f t="shared" si="104"/>
        <v>1</v>
      </c>
      <c r="Q572" s="143">
        <f t="shared" si="99"/>
        <v>360741600</v>
      </c>
      <c r="R572" s="143">
        <f t="shared" si="100"/>
        <v>360741600</v>
      </c>
      <c r="S572" s="246" t="s">
        <v>222</v>
      </c>
      <c r="T572" s="245">
        <f t="shared" si="105"/>
        <v>0</v>
      </c>
      <c r="U572" s="145" t="str">
        <f t="shared" si="101"/>
        <v>SUBDIRECCION DE GESTION CONTRACTUAL</v>
      </c>
      <c r="V572" s="245" t="str">
        <f t="shared" si="102"/>
        <v>CO-DC</v>
      </c>
      <c r="W572" s="245" t="str">
        <f t="shared" si="103"/>
        <v>Distrito Capital de Bogotá</v>
      </c>
      <c r="X572" s="154" t="s">
        <v>553</v>
      </c>
      <c r="Y572" s="147">
        <v>2427400</v>
      </c>
      <c r="Z572" s="157" t="s">
        <v>160</v>
      </c>
      <c r="AA572" s="248"/>
      <c r="AB572" s="248"/>
      <c r="AC572" s="248"/>
      <c r="AD572" s="248"/>
      <c r="AE572" s="248"/>
      <c r="AF572" s="248"/>
      <c r="AG572" s="248"/>
      <c r="AH572" s="248"/>
      <c r="AI572" s="248"/>
      <c r="AJ572" s="248"/>
      <c r="AK572" s="248"/>
      <c r="AL572" s="248"/>
      <c r="AM572" s="248"/>
      <c r="AN572" s="248"/>
      <c r="AO572" s="248"/>
      <c r="AP572" s="248"/>
      <c r="AQ572" s="248"/>
      <c r="AR572" s="248"/>
      <c r="AS572" s="248"/>
      <c r="AT572" s="248"/>
      <c r="AU572" s="152"/>
      <c r="AV572" s="152"/>
      <c r="AW572" s="152"/>
      <c r="AX572" s="152"/>
      <c r="AY572" s="152"/>
      <c r="AZ572" s="152"/>
      <c r="BA572" s="152"/>
      <c r="BB572" s="152"/>
      <c r="BC572" s="152"/>
      <c r="BD572" s="152"/>
      <c r="BE572" s="152"/>
      <c r="BF572" s="152"/>
      <c r="BG572" s="152"/>
      <c r="BH572" s="152"/>
      <c r="BI572" s="152"/>
      <c r="BJ572" s="152"/>
      <c r="BK572" s="152"/>
      <c r="BL572" s="152"/>
      <c r="BM572" s="152"/>
      <c r="BN572" s="152"/>
      <c r="BO572" s="152"/>
      <c r="BP572" s="152"/>
      <c r="BQ572" s="152"/>
      <c r="BR572" s="152"/>
      <c r="BS572" s="152"/>
      <c r="BT572" s="152"/>
      <c r="BU572" s="152"/>
      <c r="BV572" s="152"/>
      <c r="BW572" s="152"/>
      <c r="BX572" s="152"/>
      <c r="BY572" s="152"/>
      <c r="BZ572" s="152"/>
      <c r="CA572" s="152"/>
      <c r="CB572" s="152"/>
      <c r="CC572" s="152"/>
      <c r="CD572" s="152"/>
      <c r="CE572" s="152"/>
      <c r="CF572" s="152"/>
      <c r="CG572" s="252"/>
    </row>
    <row r="573" spans="1:85" s="250" customFormat="1" ht="13.9" customHeight="1" x14ac:dyDescent="0.2">
      <c r="A573" s="251" t="s">
        <v>158</v>
      </c>
      <c r="B573" s="147">
        <v>48</v>
      </c>
      <c r="C573" s="244" t="s">
        <v>583</v>
      </c>
      <c r="D573" s="154" t="s">
        <v>159</v>
      </c>
      <c r="E573" s="155"/>
      <c r="F573" s="155">
        <v>725303040</v>
      </c>
      <c r="G573" s="155"/>
      <c r="H573" s="154" t="s">
        <v>745</v>
      </c>
      <c r="I573" s="244" t="s">
        <v>705</v>
      </c>
      <c r="J573" s="147">
        <v>1</v>
      </c>
      <c r="K573" s="147">
        <v>1</v>
      </c>
      <c r="L573" s="147">
        <v>12</v>
      </c>
      <c r="M573" s="132">
        <f t="shared" si="98"/>
        <v>1</v>
      </c>
      <c r="N573" s="140" t="s">
        <v>36</v>
      </c>
      <c r="O573" s="141" t="str">
        <f>IF(ISBLANK(N573),"",VLOOKUP(N573,[25]Parámetros!$G$2:$H$23,2,FALSE))</f>
        <v xml:space="preserve">Contratación directa (con ofertas) </v>
      </c>
      <c r="P573" s="245">
        <f t="shared" si="104"/>
        <v>1</v>
      </c>
      <c r="Q573" s="143">
        <f t="shared" si="99"/>
        <v>725303040</v>
      </c>
      <c r="R573" s="143">
        <f t="shared" si="100"/>
        <v>725303040</v>
      </c>
      <c r="S573" s="246" t="s">
        <v>222</v>
      </c>
      <c r="T573" s="245">
        <f t="shared" si="105"/>
        <v>0</v>
      </c>
      <c r="U573" s="145" t="str">
        <f t="shared" si="101"/>
        <v>SUBDIRECCION DE GESTION CONTRACTUAL</v>
      </c>
      <c r="V573" s="245" t="str">
        <f t="shared" si="102"/>
        <v>CO-DC</v>
      </c>
      <c r="W573" s="245" t="str">
        <f t="shared" si="103"/>
        <v>Distrito Capital de Bogotá</v>
      </c>
      <c r="X573" s="154" t="s">
        <v>553</v>
      </c>
      <c r="Y573" s="147">
        <v>2427400</v>
      </c>
      <c r="Z573" s="157" t="s">
        <v>160</v>
      </c>
      <c r="AA573" s="248"/>
      <c r="AB573" s="248"/>
      <c r="AC573" s="248"/>
      <c r="AD573" s="248"/>
      <c r="AE573" s="248"/>
      <c r="AF573" s="248"/>
      <c r="AG573" s="248"/>
      <c r="AH573" s="248"/>
      <c r="AI573" s="248"/>
      <c r="AJ573" s="248"/>
      <c r="AK573" s="248"/>
      <c r="AL573" s="248"/>
      <c r="AM573" s="248"/>
      <c r="AN573" s="248"/>
      <c r="AO573" s="248"/>
      <c r="AP573" s="248"/>
      <c r="AQ573" s="248"/>
      <c r="AR573" s="248"/>
      <c r="AS573" s="248"/>
      <c r="AT573" s="248"/>
      <c r="AU573" s="152"/>
      <c r="AV573" s="152"/>
      <c r="AW573" s="152"/>
      <c r="AX573" s="152"/>
      <c r="AY573" s="152"/>
      <c r="AZ573" s="152"/>
      <c r="BA573" s="152"/>
      <c r="BB573" s="152"/>
      <c r="BC573" s="152"/>
      <c r="BD573" s="152"/>
      <c r="BE573" s="152"/>
      <c r="BF573" s="152"/>
      <c r="BG573" s="152"/>
      <c r="BH573" s="152"/>
      <c r="BI573" s="152"/>
      <c r="BJ573" s="152"/>
      <c r="BK573" s="152"/>
      <c r="BL573" s="152"/>
      <c r="BM573" s="152"/>
      <c r="BN573" s="152"/>
      <c r="BO573" s="152"/>
      <c r="BP573" s="152"/>
      <c r="BQ573" s="152"/>
      <c r="BR573" s="152"/>
      <c r="BS573" s="152"/>
      <c r="BT573" s="152"/>
      <c r="BU573" s="152"/>
      <c r="BV573" s="152"/>
      <c r="BW573" s="152"/>
      <c r="BX573" s="152"/>
      <c r="BY573" s="152"/>
      <c r="BZ573" s="152"/>
      <c r="CA573" s="152"/>
      <c r="CB573" s="152"/>
      <c r="CC573" s="152"/>
      <c r="CD573" s="152"/>
      <c r="CE573" s="152"/>
      <c r="CF573" s="152"/>
      <c r="CG573" s="252"/>
    </row>
    <row r="574" spans="1:85" s="250" customFormat="1" ht="13.9" customHeight="1" x14ac:dyDescent="0.2">
      <c r="A574" s="251" t="s">
        <v>158</v>
      </c>
      <c r="B574" s="147">
        <v>49</v>
      </c>
      <c r="C574" s="244" t="s">
        <v>583</v>
      </c>
      <c r="D574" s="154" t="s">
        <v>159</v>
      </c>
      <c r="E574" s="155"/>
      <c r="F574" s="155">
        <v>305440000</v>
      </c>
      <c r="G574" s="155"/>
      <c r="H574" s="154" t="s">
        <v>745</v>
      </c>
      <c r="I574" s="244" t="s">
        <v>706</v>
      </c>
      <c r="J574" s="147">
        <v>1</v>
      </c>
      <c r="K574" s="147">
        <v>1</v>
      </c>
      <c r="L574" s="147">
        <v>12</v>
      </c>
      <c r="M574" s="132">
        <f t="shared" si="98"/>
        <v>1</v>
      </c>
      <c r="N574" s="140" t="s">
        <v>36</v>
      </c>
      <c r="O574" s="141" t="str">
        <f>IF(ISBLANK(N574),"",VLOOKUP(N574,[25]Parámetros!$G$2:$H$23,2,FALSE))</f>
        <v xml:space="preserve">Contratación directa (con ofertas) </v>
      </c>
      <c r="P574" s="245">
        <f t="shared" si="104"/>
        <v>1</v>
      </c>
      <c r="Q574" s="143">
        <f t="shared" si="99"/>
        <v>305440000</v>
      </c>
      <c r="R574" s="143">
        <f t="shared" si="100"/>
        <v>305440000</v>
      </c>
      <c r="S574" s="246" t="s">
        <v>222</v>
      </c>
      <c r="T574" s="245">
        <f t="shared" si="105"/>
        <v>0</v>
      </c>
      <c r="U574" s="145" t="str">
        <f t="shared" si="101"/>
        <v>SUBDIRECCION DE GESTION CONTRACTUAL</v>
      </c>
      <c r="V574" s="245" t="str">
        <f t="shared" si="102"/>
        <v>CO-DC</v>
      </c>
      <c r="W574" s="245" t="str">
        <f t="shared" si="103"/>
        <v>Distrito Capital de Bogotá</v>
      </c>
      <c r="X574" s="154" t="s">
        <v>553</v>
      </c>
      <c r="Y574" s="147">
        <v>2427400</v>
      </c>
      <c r="Z574" s="157" t="s">
        <v>160</v>
      </c>
      <c r="AA574" s="248"/>
      <c r="AB574" s="248"/>
      <c r="AC574" s="248"/>
      <c r="AD574" s="248"/>
      <c r="AE574" s="248"/>
      <c r="AF574" s="248"/>
      <c r="AG574" s="248"/>
      <c r="AH574" s="248"/>
      <c r="AI574" s="248"/>
      <c r="AJ574" s="248"/>
      <c r="AK574" s="248"/>
      <c r="AL574" s="248"/>
      <c r="AM574" s="248"/>
      <c r="AN574" s="248"/>
      <c r="AO574" s="248"/>
      <c r="AP574" s="248"/>
      <c r="AQ574" s="248"/>
      <c r="AR574" s="248"/>
      <c r="AS574" s="248"/>
      <c r="AT574" s="248"/>
      <c r="AU574" s="152"/>
      <c r="AV574" s="152"/>
      <c r="AW574" s="152"/>
      <c r="AX574" s="152"/>
      <c r="AY574" s="152"/>
      <c r="AZ574" s="152"/>
      <c r="BA574" s="152"/>
      <c r="BB574" s="152"/>
      <c r="BC574" s="152"/>
      <c r="BD574" s="152"/>
      <c r="BE574" s="152"/>
      <c r="BF574" s="152"/>
      <c r="BG574" s="152"/>
      <c r="BH574" s="152"/>
      <c r="BI574" s="152"/>
      <c r="BJ574" s="152"/>
      <c r="BK574" s="152"/>
      <c r="BL574" s="152"/>
      <c r="BM574" s="152"/>
      <c r="BN574" s="152"/>
      <c r="BO574" s="152"/>
      <c r="BP574" s="152"/>
      <c r="BQ574" s="152"/>
      <c r="BR574" s="152"/>
      <c r="BS574" s="152"/>
      <c r="BT574" s="152"/>
      <c r="BU574" s="152"/>
      <c r="BV574" s="152"/>
      <c r="BW574" s="152"/>
      <c r="BX574" s="152"/>
      <c r="BY574" s="152"/>
      <c r="BZ574" s="152"/>
      <c r="CA574" s="152"/>
      <c r="CB574" s="152"/>
      <c r="CC574" s="152"/>
      <c r="CD574" s="152"/>
      <c r="CE574" s="152"/>
      <c r="CF574" s="152"/>
      <c r="CG574" s="252"/>
    </row>
    <row r="575" spans="1:85" s="250" customFormat="1" ht="13.9" customHeight="1" x14ac:dyDescent="0.2">
      <c r="A575" s="251" t="s">
        <v>158</v>
      </c>
      <c r="B575" s="147">
        <v>50</v>
      </c>
      <c r="C575" s="244" t="s">
        <v>583</v>
      </c>
      <c r="D575" s="154" t="s">
        <v>159</v>
      </c>
      <c r="E575" s="155"/>
      <c r="F575" s="155">
        <v>367679250</v>
      </c>
      <c r="G575" s="155"/>
      <c r="H575" s="154" t="s">
        <v>745</v>
      </c>
      <c r="I575" s="244" t="s">
        <v>707</v>
      </c>
      <c r="J575" s="147">
        <v>1</v>
      </c>
      <c r="K575" s="147">
        <v>1</v>
      </c>
      <c r="L575" s="147">
        <v>12</v>
      </c>
      <c r="M575" s="132">
        <f t="shared" si="98"/>
        <v>1</v>
      </c>
      <c r="N575" s="140" t="s">
        <v>36</v>
      </c>
      <c r="O575" s="141" t="str">
        <f>IF(ISBLANK(N575),"",VLOOKUP(N575,[25]Parámetros!$G$2:$H$23,2,FALSE))</f>
        <v xml:space="preserve">Contratación directa (con ofertas) </v>
      </c>
      <c r="P575" s="245">
        <f t="shared" si="104"/>
        <v>1</v>
      </c>
      <c r="Q575" s="143">
        <f t="shared" si="99"/>
        <v>367679250</v>
      </c>
      <c r="R575" s="143">
        <f t="shared" si="100"/>
        <v>367679250</v>
      </c>
      <c r="S575" s="246" t="s">
        <v>222</v>
      </c>
      <c r="T575" s="245">
        <f t="shared" si="105"/>
        <v>0</v>
      </c>
      <c r="U575" s="145" t="str">
        <f t="shared" si="101"/>
        <v>SUBDIRECCION DE GESTION CONTRACTUAL</v>
      </c>
      <c r="V575" s="245" t="str">
        <f t="shared" si="102"/>
        <v>CO-DC</v>
      </c>
      <c r="W575" s="245" t="str">
        <f t="shared" si="103"/>
        <v>Distrito Capital de Bogotá</v>
      </c>
      <c r="X575" s="154" t="s">
        <v>553</v>
      </c>
      <c r="Y575" s="147">
        <v>2427400</v>
      </c>
      <c r="Z575" s="157" t="s">
        <v>160</v>
      </c>
      <c r="AA575" s="248"/>
      <c r="AB575" s="248"/>
      <c r="AC575" s="248"/>
      <c r="AD575" s="248"/>
      <c r="AE575" s="248"/>
      <c r="AF575" s="248"/>
      <c r="AG575" s="248"/>
      <c r="AH575" s="248"/>
      <c r="AI575" s="248"/>
      <c r="AJ575" s="248"/>
      <c r="AK575" s="248"/>
      <c r="AL575" s="248"/>
      <c r="AM575" s="248"/>
      <c r="AN575" s="248"/>
      <c r="AO575" s="248"/>
      <c r="AP575" s="248"/>
      <c r="AQ575" s="248"/>
      <c r="AR575" s="248"/>
      <c r="AS575" s="248"/>
      <c r="AT575" s="248"/>
      <c r="AU575" s="152"/>
      <c r="AV575" s="152"/>
      <c r="AW575" s="152"/>
      <c r="AX575" s="152"/>
      <c r="AY575" s="152"/>
      <c r="AZ575" s="152"/>
      <c r="BA575" s="152"/>
      <c r="BB575" s="152"/>
      <c r="BC575" s="152"/>
      <c r="BD575" s="152"/>
      <c r="BE575" s="152"/>
      <c r="BF575" s="152"/>
      <c r="BG575" s="152"/>
      <c r="BH575" s="152"/>
      <c r="BI575" s="152"/>
      <c r="BJ575" s="152"/>
      <c r="BK575" s="152"/>
      <c r="BL575" s="152"/>
      <c r="BM575" s="152"/>
      <c r="BN575" s="152"/>
      <c r="BO575" s="152"/>
      <c r="BP575" s="152"/>
      <c r="BQ575" s="152"/>
      <c r="BR575" s="152"/>
      <c r="BS575" s="152"/>
      <c r="BT575" s="152"/>
      <c r="BU575" s="152"/>
      <c r="BV575" s="152"/>
      <c r="BW575" s="152"/>
      <c r="BX575" s="152"/>
      <c r="BY575" s="152"/>
      <c r="BZ575" s="152"/>
      <c r="CA575" s="152"/>
      <c r="CB575" s="152"/>
      <c r="CC575" s="152"/>
      <c r="CD575" s="152"/>
      <c r="CE575" s="152"/>
      <c r="CF575" s="152"/>
      <c r="CG575" s="252"/>
    </row>
    <row r="576" spans="1:85" s="250" customFormat="1" ht="13.9" customHeight="1" x14ac:dyDescent="0.2">
      <c r="A576" s="251" t="s">
        <v>158</v>
      </c>
      <c r="B576" s="147">
        <v>51</v>
      </c>
      <c r="C576" s="244" t="s">
        <v>583</v>
      </c>
      <c r="D576" s="154" t="s">
        <v>159</v>
      </c>
      <c r="E576" s="155"/>
      <c r="F576" s="155">
        <v>250000000</v>
      </c>
      <c r="G576" s="155"/>
      <c r="H576" s="154" t="s">
        <v>745</v>
      </c>
      <c r="I576" s="244" t="s">
        <v>708</v>
      </c>
      <c r="J576" s="147">
        <v>1</v>
      </c>
      <c r="K576" s="147">
        <v>1</v>
      </c>
      <c r="L576" s="147">
        <v>12</v>
      </c>
      <c r="M576" s="132">
        <f t="shared" si="98"/>
        <v>1</v>
      </c>
      <c r="N576" s="140" t="s">
        <v>36</v>
      </c>
      <c r="O576" s="141" t="str">
        <f>IF(ISBLANK(N576),"",VLOOKUP(N576,[25]Parámetros!$G$2:$H$23,2,FALSE))</f>
        <v xml:space="preserve">Contratación directa (con ofertas) </v>
      </c>
      <c r="P576" s="245">
        <f t="shared" si="104"/>
        <v>1</v>
      </c>
      <c r="Q576" s="143">
        <f t="shared" si="99"/>
        <v>250000000</v>
      </c>
      <c r="R576" s="143">
        <f t="shared" si="100"/>
        <v>250000000</v>
      </c>
      <c r="S576" s="246" t="s">
        <v>222</v>
      </c>
      <c r="T576" s="245">
        <f t="shared" si="105"/>
        <v>0</v>
      </c>
      <c r="U576" s="145" t="str">
        <f t="shared" si="101"/>
        <v>SUBDIRECCION DE GESTION CONTRACTUAL</v>
      </c>
      <c r="V576" s="245" t="str">
        <f t="shared" si="102"/>
        <v>CO-DC</v>
      </c>
      <c r="W576" s="245" t="str">
        <f t="shared" si="103"/>
        <v>Distrito Capital de Bogotá</v>
      </c>
      <c r="X576" s="154" t="s">
        <v>553</v>
      </c>
      <c r="Y576" s="147">
        <v>2427400</v>
      </c>
      <c r="Z576" s="157" t="s">
        <v>160</v>
      </c>
      <c r="AA576" s="248"/>
      <c r="AB576" s="248"/>
      <c r="AC576" s="248"/>
      <c r="AD576" s="248"/>
      <c r="AE576" s="248"/>
      <c r="AF576" s="248"/>
      <c r="AG576" s="248"/>
      <c r="AH576" s="248"/>
      <c r="AI576" s="248"/>
      <c r="AJ576" s="248"/>
      <c r="AK576" s="248"/>
      <c r="AL576" s="248"/>
      <c r="AM576" s="248"/>
      <c r="AN576" s="248"/>
      <c r="AO576" s="248"/>
      <c r="AP576" s="248"/>
      <c r="AQ576" s="248"/>
      <c r="AR576" s="248"/>
      <c r="AS576" s="248"/>
      <c r="AT576" s="248"/>
      <c r="AU576" s="152"/>
      <c r="AV576" s="152"/>
      <c r="AW576" s="152"/>
      <c r="AX576" s="152"/>
      <c r="AY576" s="152"/>
      <c r="AZ576" s="152"/>
      <c r="BA576" s="152"/>
      <c r="BB576" s="152"/>
      <c r="BC576" s="152"/>
      <c r="BD576" s="152"/>
      <c r="BE576" s="152"/>
      <c r="BF576" s="152"/>
      <c r="BG576" s="152"/>
      <c r="BH576" s="152"/>
      <c r="BI576" s="152"/>
      <c r="BJ576" s="152"/>
      <c r="BK576" s="152"/>
      <c r="BL576" s="152"/>
      <c r="BM576" s="152"/>
      <c r="BN576" s="152"/>
      <c r="BO576" s="152"/>
      <c r="BP576" s="152"/>
      <c r="BQ576" s="152"/>
      <c r="BR576" s="152"/>
      <c r="BS576" s="152"/>
      <c r="BT576" s="152"/>
      <c r="BU576" s="152"/>
      <c r="BV576" s="152"/>
      <c r="BW576" s="152"/>
      <c r="BX576" s="152"/>
      <c r="BY576" s="152"/>
      <c r="BZ576" s="152"/>
      <c r="CA576" s="152"/>
      <c r="CB576" s="152"/>
      <c r="CC576" s="152"/>
      <c r="CD576" s="152"/>
      <c r="CE576" s="152"/>
      <c r="CF576" s="152"/>
      <c r="CG576" s="252"/>
    </row>
    <row r="577" spans="1:85" s="250" customFormat="1" ht="13.9" customHeight="1" x14ac:dyDescent="0.2">
      <c r="A577" s="251" t="s">
        <v>158</v>
      </c>
      <c r="B577" s="147">
        <v>52</v>
      </c>
      <c r="C577" s="244" t="s">
        <v>583</v>
      </c>
      <c r="D577" s="154" t="s">
        <v>159</v>
      </c>
      <c r="E577" s="155"/>
      <c r="F577" s="155">
        <v>1459293457</v>
      </c>
      <c r="G577" s="155"/>
      <c r="H577" s="154" t="s">
        <v>749</v>
      </c>
      <c r="I577" s="244" t="s">
        <v>709</v>
      </c>
      <c r="J577" s="147">
        <v>1</v>
      </c>
      <c r="K577" s="147">
        <v>1</v>
      </c>
      <c r="L577" s="147">
        <v>12</v>
      </c>
      <c r="M577" s="132">
        <f t="shared" si="98"/>
        <v>1</v>
      </c>
      <c r="N577" s="140" t="s">
        <v>36</v>
      </c>
      <c r="O577" s="141" t="str">
        <f>IF(ISBLANK(N577),"",VLOOKUP(N577,[25]Parámetros!$G$2:$H$23,2,FALSE))</f>
        <v xml:space="preserve">Contratación directa (con ofertas) </v>
      </c>
      <c r="P577" s="245">
        <f t="shared" si="104"/>
        <v>1</v>
      </c>
      <c r="Q577" s="143">
        <f t="shared" si="99"/>
        <v>1459293457</v>
      </c>
      <c r="R577" s="143">
        <f t="shared" si="100"/>
        <v>1459293457</v>
      </c>
      <c r="S577" s="246" t="s">
        <v>222</v>
      </c>
      <c r="T577" s="245">
        <f t="shared" si="105"/>
        <v>0</v>
      </c>
      <c r="U577" s="145" t="str">
        <f t="shared" si="101"/>
        <v>SUBDIRECCION DE GESTION CONTRACTUAL</v>
      </c>
      <c r="V577" s="245" t="str">
        <f t="shared" si="102"/>
        <v>CO-DC</v>
      </c>
      <c r="W577" s="245" t="str">
        <f t="shared" si="103"/>
        <v>Distrito Capital de Bogotá</v>
      </c>
      <c r="X577" s="154" t="s">
        <v>553</v>
      </c>
      <c r="Y577" s="147">
        <v>2427400</v>
      </c>
      <c r="Z577" s="157" t="s">
        <v>160</v>
      </c>
      <c r="AA577" s="248"/>
      <c r="AB577" s="248"/>
      <c r="AC577" s="248"/>
      <c r="AD577" s="248"/>
      <c r="AE577" s="248"/>
      <c r="AF577" s="248"/>
      <c r="AG577" s="248"/>
      <c r="AH577" s="248"/>
      <c r="AI577" s="248"/>
      <c r="AJ577" s="248"/>
      <c r="AK577" s="248"/>
      <c r="AL577" s="248"/>
      <c r="AM577" s="248"/>
      <c r="AN577" s="248"/>
      <c r="AO577" s="248"/>
      <c r="AP577" s="248"/>
      <c r="AQ577" s="248"/>
      <c r="AR577" s="248"/>
      <c r="AS577" s="248"/>
      <c r="AT577" s="248"/>
      <c r="AU577" s="152"/>
      <c r="AV577" s="152"/>
      <c r="AW577" s="152"/>
      <c r="AX577" s="152"/>
      <c r="AY577" s="152"/>
      <c r="AZ577" s="152"/>
      <c r="BA577" s="152"/>
      <c r="BB577" s="152"/>
      <c r="BC577" s="152"/>
      <c r="BD577" s="152"/>
      <c r="BE577" s="152"/>
      <c r="BF577" s="152"/>
      <c r="BG577" s="152"/>
      <c r="BH577" s="152"/>
      <c r="BI577" s="152"/>
      <c r="BJ577" s="152"/>
      <c r="BK577" s="152"/>
      <c r="BL577" s="152"/>
      <c r="BM577" s="152"/>
      <c r="BN577" s="152"/>
      <c r="BO577" s="152"/>
      <c r="BP577" s="152"/>
      <c r="BQ577" s="152"/>
      <c r="BR577" s="152"/>
      <c r="BS577" s="152"/>
      <c r="BT577" s="152"/>
      <c r="BU577" s="152"/>
      <c r="BV577" s="152"/>
      <c r="BW577" s="152"/>
      <c r="BX577" s="152"/>
      <c r="BY577" s="152"/>
      <c r="BZ577" s="152"/>
      <c r="CA577" s="152"/>
      <c r="CB577" s="152"/>
      <c r="CC577" s="152"/>
      <c r="CD577" s="152"/>
      <c r="CE577" s="152"/>
      <c r="CF577" s="152"/>
      <c r="CG577" s="252"/>
    </row>
    <row r="578" spans="1:85" s="250" customFormat="1" ht="13.9" customHeight="1" x14ac:dyDescent="0.2">
      <c r="A578" s="251" t="s">
        <v>158</v>
      </c>
      <c r="B578" s="147">
        <v>53</v>
      </c>
      <c r="C578" s="244" t="s">
        <v>583</v>
      </c>
      <c r="D578" s="154" t="s">
        <v>159</v>
      </c>
      <c r="E578" s="155"/>
      <c r="F578" s="155">
        <v>147071700</v>
      </c>
      <c r="G578" s="155"/>
      <c r="H578" s="154" t="s">
        <v>745</v>
      </c>
      <c r="I578" s="244" t="s">
        <v>710</v>
      </c>
      <c r="J578" s="147">
        <v>1</v>
      </c>
      <c r="K578" s="147">
        <v>1</v>
      </c>
      <c r="L578" s="147">
        <v>12</v>
      </c>
      <c r="M578" s="132">
        <f t="shared" si="98"/>
        <v>1</v>
      </c>
      <c r="N578" s="140" t="s">
        <v>36</v>
      </c>
      <c r="O578" s="141" t="str">
        <f>IF(ISBLANK(N578),"",VLOOKUP(N578,[25]Parámetros!$G$2:$H$23,2,FALSE))</f>
        <v xml:space="preserve">Contratación directa (con ofertas) </v>
      </c>
      <c r="P578" s="245">
        <f t="shared" si="104"/>
        <v>1</v>
      </c>
      <c r="Q578" s="143">
        <f t="shared" si="99"/>
        <v>147071700</v>
      </c>
      <c r="R578" s="143">
        <f t="shared" si="100"/>
        <v>147071700</v>
      </c>
      <c r="S578" s="246" t="s">
        <v>222</v>
      </c>
      <c r="T578" s="245">
        <f t="shared" si="105"/>
        <v>0</v>
      </c>
      <c r="U578" s="145" t="str">
        <f t="shared" si="101"/>
        <v>SUBDIRECCION DE GESTION CONTRACTUAL</v>
      </c>
      <c r="V578" s="245" t="str">
        <f t="shared" si="102"/>
        <v>CO-DC</v>
      </c>
      <c r="W578" s="245" t="str">
        <f t="shared" si="103"/>
        <v>Distrito Capital de Bogotá</v>
      </c>
      <c r="X578" s="154" t="s">
        <v>553</v>
      </c>
      <c r="Y578" s="147">
        <v>2427400</v>
      </c>
      <c r="Z578" s="157" t="s">
        <v>160</v>
      </c>
      <c r="AA578" s="248"/>
      <c r="AB578" s="248"/>
      <c r="AC578" s="248"/>
      <c r="AD578" s="248"/>
      <c r="AE578" s="248"/>
      <c r="AF578" s="248"/>
      <c r="AG578" s="248"/>
      <c r="AH578" s="248"/>
      <c r="AI578" s="248"/>
      <c r="AJ578" s="248"/>
      <c r="AK578" s="248"/>
      <c r="AL578" s="248"/>
      <c r="AM578" s="248"/>
      <c r="AN578" s="248"/>
      <c r="AO578" s="248"/>
      <c r="AP578" s="248"/>
      <c r="AQ578" s="248"/>
      <c r="AR578" s="248"/>
      <c r="AS578" s="248"/>
      <c r="AT578" s="248"/>
      <c r="AU578" s="152"/>
      <c r="AV578" s="152"/>
      <c r="AW578" s="152"/>
      <c r="AX578" s="152"/>
      <c r="AY578" s="152"/>
      <c r="AZ578" s="152"/>
      <c r="BA578" s="152"/>
      <c r="BB578" s="152"/>
      <c r="BC578" s="152"/>
      <c r="BD578" s="152"/>
      <c r="BE578" s="152"/>
      <c r="BF578" s="152"/>
      <c r="BG578" s="152"/>
      <c r="BH578" s="152"/>
      <c r="BI578" s="152"/>
      <c r="BJ578" s="152"/>
      <c r="BK578" s="152"/>
      <c r="BL578" s="152"/>
      <c r="BM578" s="152"/>
      <c r="BN578" s="152"/>
      <c r="BO578" s="152"/>
      <c r="BP578" s="152"/>
      <c r="BQ578" s="152"/>
      <c r="BR578" s="152"/>
      <c r="BS578" s="152"/>
      <c r="BT578" s="152"/>
      <c r="BU578" s="152"/>
      <c r="BV578" s="152"/>
      <c r="BW578" s="152"/>
      <c r="BX578" s="152"/>
      <c r="BY578" s="152"/>
      <c r="BZ578" s="152"/>
      <c r="CA578" s="152"/>
      <c r="CB578" s="152"/>
      <c r="CC578" s="152"/>
      <c r="CD578" s="152"/>
      <c r="CE578" s="152"/>
      <c r="CF578" s="152"/>
      <c r="CG578" s="252"/>
    </row>
    <row r="579" spans="1:85" s="250" customFormat="1" ht="13.9" customHeight="1" x14ac:dyDescent="0.2">
      <c r="A579" s="251" t="s">
        <v>158</v>
      </c>
      <c r="B579" s="147">
        <v>54</v>
      </c>
      <c r="C579" s="244" t="s">
        <v>583</v>
      </c>
      <c r="D579" s="154" t="s">
        <v>159</v>
      </c>
      <c r="E579" s="155"/>
      <c r="F579" s="155">
        <v>393269024</v>
      </c>
      <c r="G579" s="155"/>
      <c r="H579" s="154" t="s">
        <v>749</v>
      </c>
      <c r="I579" s="244" t="s">
        <v>712</v>
      </c>
      <c r="J579" s="147">
        <v>1</v>
      </c>
      <c r="K579" s="147">
        <v>1</v>
      </c>
      <c r="L579" s="147">
        <v>12</v>
      </c>
      <c r="M579" s="132">
        <f t="shared" si="98"/>
        <v>1</v>
      </c>
      <c r="N579" s="140" t="s">
        <v>36</v>
      </c>
      <c r="O579" s="141" t="str">
        <f>IF(ISBLANK(N579),"",VLOOKUP(N579,[25]Parámetros!$G$2:$H$23,2,FALSE))</f>
        <v xml:space="preserve">Contratación directa (con ofertas) </v>
      </c>
      <c r="P579" s="245">
        <f t="shared" si="104"/>
        <v>1</v>
      </c>
      <c r="Q579" s="143">
        <f t="shared" si="99"/>
        <v>393269024</v>
      </c>
      <c r="R579" s="143">
        <f t="shared" si="100"/>
        <v>393269024</v>
      </c>
      <c r="S579" s="246" t="s">
        <v>222</v>
      </c>
      <c r="T579" s="245">
        <f t="shared" si="105"/>
        <v>0</v>
      </c>
      <c r="U579" s="145" t="str">
        <f t="shared" si="101"/>
        <v>SUBDIRECCION DE GESTION CONTRACTUAL</v>
      </c>
      <c r="V579" s="245" t="str">
        <f t="shared" si="102"/>
        <v>CO-DC</v>
      </c>
      <c r="W579" s="245" t="str">
        <f t="shared" si="103"/>
        <v>Distrito Capital de Bogotá</v>
      </c>
      <c r="X579" s="154" t="s">
        <v>553</v>
      </c>
      <c r="Y579" s="147">
        <v>2427400</v>
      </c>
      <c r="Z579" s="157" t="s">
        <v>160</v>
      </c>
      <c r="AA579" s="248"/>
      <c r="AB579" s="248"/>
      <c r="AC579" s="248"/>
      <c r="AD579" s="248"/>
      <c r="AE579" s="248"/>
      <c r="AF579" s="248"/>
      <c r="AG579" s="248"/>
      <c r="AH579" s="248"/>
      <c r="AI579" s="248"/>
      <c r="AJ579" s="248"/>
      <c r="AK579" s="248"/>
      <c r="AL579" s="248"/>
      <c r="AM579" s="248"/>
      <c r="AN579" s="248"/>
      <c r="AO579" s="248"/>
      <c r="AP579" s="248"/>
      <c r="AQ579" s="248"/>
      <c r="AR579" s="248"/>
      <c r="AS579" s="248"/>
      <c r="AT579" s="248"/>
      <c r="AU579" s="152"/>
      <c r="AV579" s="152"/>
      <c r="AW579" s="152"/>
      <c r="AX579" s="152"/>
      <c r="AY579" s="152"/>
      <c r="AZ579" s="152"/>
      <c r="BA579" s="152"/>
      <c r="BB579" s="152"/>
      <c r="BC579" s="152"/>
      <c r="BD579" s="152"/>
      <c r="BE579" s="152"/>
      <c r="BF579" s="152"/>
      <c r="BG579" s="152"/>
      <c r="BH579" s="152"/>
      <c r="BI579" s="152"/>
      <c r="BJ579" s="152"/>
      <c r="BK579" s="152"/>
      <c r="BL579" s="152"/>
      <c r="BM579" s="152"/>
      <c r="BN579" s="152"/>
      <c r="BO579" s="152"/>
      <c r="BP579" s="152"/>
      <c r="BQ579" s="152"/>
      <c r="BR579" s="152"/>
      <c r="BS579" s="152"/>
      <c r="BT579" s="152"/>
      <c r="BU579" s="152"/>
      <c r="BV579" s="152"/>
      <c r="BW579" s="152"/>
      <c r="BX579" s="152"/>
      <c r="BY579" s="152"/>
      <c r="BZ579" s="152"/>
      <c r="CA579" s="152"/>
      <c r="CB579" s="152"/>
      <c r="CC579" s="152"/>
      <c r="CD579" s="152"/>
      <c r="CE579" s="152"/>
      <c r="CF579" s="152"/>
      <c r="CG579" s="252"/>
    </row>
    <row r="580" spans="1:85" s="250" customFormat="1" ht="13.9" customHeight="1" x14ac:dyDescent="0.2">
      <c r="A580" s="251" t="s">
        <v>158</v>
      </c>
      <c r="B580" s="147">
        <v>55</v>
      </c>
      <c r="C580" s="244" t="s">
        <v>583</v>
      </c>
      <c r="D580" s="154" t="s">
        <v>159</v>
      </c>
      <c r="E580" s="155"/>
      <c r="F580" s="155">
        <v>1030400000</v>
      </c>
      <c r="G580" s="155"/>
      <c r="H580" s="154" t="s">
        <v>745</v>
      </c>
      <c r="I580" s="244" t="s">
        <v>711</v>
      </c>
      <c r="J580" s="147">
        <v>1</v>
      </c>
      <c r="K580" s="147">
        <v>1</v>
      </c>
      <c r="L580" s="147">
        <v>12</v>
      </c>
      <c r="M580" s="132">
        <f t="shared" si="98"/>
        <v>1</v>
      </c>
      <c r="N580" s="140" t="s">
        <v>36</v>
      </c>
      <c r="O580" s="141" t="str">
        <f>IF(ISBLANK(N580),"",VLOOKUP(N580,[25]Parámetros!$G$2:$H$23,2,FALSE))</f>
        <v xml:space="preserve">Contratación directa (con ofertas) </v>
      </c>
      <c r="P580" s="245">
        <f t="shared" si="104"/>
        <v>1</v>
      </c>
      <c r="Q580" s="143">
        <f t="shared" si="99"/>
        <v>1030400000</v>
      </c>
      <c r="R580" s="143">
        <f t="shared" si="100"/>
        <v>1030400000</v>
      </c>
      <c r="S580" s="246" t="s">
        <v>222</v>
      </c>
      <c r="T580" s="245">
        <f t="shared" si="105"/>
        <v>0</v>
      </c>
      <c r="U580" s="145" t="str">
        <f t="shared" si="101"/>
        <v>SUBDIRECCION DE GESTION CONTRACTUAL</v>
      </c>
      <c r="V580" s="245" t="str">
        <f t="shared" si="102"/>
        <v>CO-DC</v>
      </c>
      <c r="W580" s="245" t="str">
        <f t="shared" si="103"/>
        <v>Distrito Capital de Bogotá</v>
      </c>
      <c r="X580" s="154" t="s">
        <v>553</v>
      </c>
      <c r="Y580" s="147">
        <v>2427400</v>
      </c>
      <c r="Z580" s="157" t="s">
        <v>160</v>
      </c>
      <c r="AA580" s="248"/>
      <c r="AB580" s="248"/>
      <c r="AC580" s="248"/>
      <c r="AD580" s="248"/>
      <c r="AE580" s="248"/>
      <c r="AF580" s="248"/>
      <c r="AG580" s="248"/>
      <c r="AH580" s="248"/>
      <c r="AI580" s="248"/>
      <c r="AJ580" s="248"/>
      <c r="AK580" s="248"/>
      <c r="AL580" s="248"/>
      <c r="AM580" s="248"/>
      <c r="AN580" s="248"/>
      <c r="AO580" s="248"/>
      <c r="AP580" s="248"/>
      <c r="AQ580" s="248"/>
      <c r="AR580" s="248"/>
      <c r="AS580" s="248"/>
      <c r="AT580" s="248"/>
      <c r="AU580" s="152"/>
      <c r="AV580" s="152"/>
      <c r="AW580" s="152"/>
      <c r="AX580" s="152"/>
      <c r="AY580" s="152"/>
      <c r="AZ580" s="152"/>
      <c r="BA580" s="152"/>
      <c r="BB580" s="152"/>
      <c r="BC580" s="152"/>
      <c r="BD580" s="152"/>
      <c r="BE580" s="152"/>
      <c r="BF580" s="152"/>
      <c r="BG580" s="152"/>
      <c r="BH580" s="152"/>
      <c r="BI580" s="152"/>
      <c r="BJ580" s="152"/>
      <c r="BK580" s="152"/>
      <c r="BL580" s="152"/>
      <c r="BM580" s="152"/>
      <c r="BN580" s="152"/>
      <c r="BO580" s="152"/>
      <c r="BP580" s="152"/>
      <c r="BQ580" s="152"/>
      <c r="BR580" s="152"/>
      <c r="BS580" s="152"/>
      <c r="BT580" s="152"/>
      <c r="BU580" s="152"/>
      <c r="BV580" s="152"/>
      <c r="BW580" s="152"/>
      <c r="BX580" s="152"/>
      <c r="BY580" s="152"/>
      <c r="BZ580" s="152"/>
      <c r="CA580" s="152"/>
      <c r="CB580" s="152"/>
      <c r="CC580" s="152"/>
      <c r="CD580" s="152"/>
      <c r="CE580" s="152"/>
      <c r="CF580" s="152"/>
      <c r="CG580" s="252"/>
    </row>
    <row r="581" spans="1:85" s="250" customFormat="1" ht="13.9" customHeight="1" x14ac:dyDescent="0.2">
      <c r="A581" s="251" t="s">
        <v>158</v>
      </c>
      <c r="B581" s="147">
        <v>56</v>
      </c>
      <c r="C581" s="244" t="s">
        <v>583</v>
      </c>
      <c r="D581" s="154" t="s">
        <v>159</v>
      </c>
      <c r="E581" s="155"/>
      <c r="F581" s="155">
        <v>147071700</v>
      </c>
      <c r="G581" s="155"/>
      <c r="H581" s="154" t="s">
        <v>745</v>
      </c>
      <c r="I581" s="244" t="s">
        <v>713</v>
      </c>
      <c r="J581" s="147">
        <v>1</v>
      </c>
      <c r="K581" s="147">
        <v>1</v>
      </c>
      <c r="L581" s="147">
        <v>12</v>
      </c>
      <c r="M581" s="132">
        <f t="shared" si="98"/>
        <v>1</v>
      </c>
      <c r="N581" s="140" t="s">
        <v>36</v>
      </c>
      <c r="O581" s="141" t="str">
        <f>IF(ISBLANK(N581),"",VLOOKUP(N581,[25]Parámetros!$G$2:$H$23,2,FALSE))</f>
        <v xml:space="preserve">Contratación directa (con ofertas) </v>
      </c>
      <c r="P581" s="245">
        <f t="shared" si="104"/>
        <v>1</v>
      </c>
      <c r="Q581" s="143">
        <f t="shared" si="99"/>
        <v>147071700</v>
      </c>
      <c r="R581" s="143">
        <f t="shared" si="100"/>
        <v>147071700</v>
      </c>
      <c r="S581" s="246" t="s">
        <v>222</v>
      </c>
      <c r="T581" s="245">
        <f t="shared" si="105"/>
        <v>0</v>
      </c>
      <c r="U581" s="145" t="str">
        <f t="shared" si="101"/>
        <v>SUBDIRECCION DE GESTION CONTRACTUAL</v>
      </c>
      <c r="V581" s="245" t="str">
        <f t="shared" si="102"/>
        <v>CO-DC</v>
      </c>
      <c r="W581" s="245" t="str">
        <f t="shared" si="103"/>
        <v>Distrito Capital de Bogotá</v>
      </c>
      <c r="X581" s="154" t="s">
        <v>553</v>
      </c>
      <c r="Y581" s="147">
        <v>2427400</v>
      </c>
      <c r="Z581" s="157" t="s">
        <v>160</v>
      </c>
      <c r="AA581" s="248"/>
      <c r="AB581" s="248"/>
      <c r="AC581" s="248"/>
      <c r="AD581" s="248"/>
      <c r="AE581" s="248"/>
      <c r="AF581" s="248"/>
      <c r="AG581" s="248"/>
      <c r="AH581" s="248"/>
      <c r="AI581" s="248"/>
      <c r="AJ581" s="248"/>
      <c r="AK581" s="248"/>
      <c r="AL581" s="248"/>
      <c r="AM581" s="248"/>
      <c r="AN581" s="248"/>
      <c r="AO581" s="248"/>
      <c r="AP581" s="248"/>
      <c r="AQ581" s="248"/>
      <c r="AR581" s="248"/>
      <c r="AS581" s="248"/>
      <c r="AT581" s="248"/>
      <c r="AU581" s="152"/>
      <c r="AV581" s="152"/>
      <c r="AW581" s="152"/>
      <c r="AX581" s="152"/>
      <c r="AY581" s="152"/>
      <c r="AZ581" s="152"/>
      <c r="BA581" s="152"/>
      <c r="BB581" s="152"/>
      <c r="BC581" s="152"/>
      <c r="BD581" s="152"/>
      <c r="BE581" s="152"/>
      <c r="BF581" s="152"/>
      <c r="BG581" s="152"/>
      <c r="BH581" s="152"/>
      <c r="BI581" s="152"/>
      <c r="BJ581" s="152"/>
      <c r="BK581" s="152"/>
      <c r="BL581" s="152"/>
      <c r="BM581" s="152"/>
      <c r="BN581" s="152"/>
      <c r="BO581" s="152"/>
      <c r="BP581" s="152"/>
      <c r="BQ581" s="152"/>
      <c r="BR581" s="152"/>
      <c r="BS581" s="152"/>
      <c r="BT581" s="152"/>
      <c r="BU581" s="152"/>
      <c r="BV581" s="152"/>
      <c r="BW581" s="152"/>
      <c r="BX581" s="152"/>
      <c r="BY581" s="152"/>
      <c r="BZ581" s="152"/>
      <c r="CA581" s="152"/>
      <c r="CB581" s="152"/>
      <c r="CC581" s="152"/>
      <c r="CD581" s="152"/>
      <c r="CE581" s="152"/>
      <c r="CF581" s="152"/>
      <c r="CG581" s="252"/>
    </row>
    <row r="582" spans="1:85" s="250" customFormat="1" ht="13.9" customHeight="1" x14ac:dyDescent="0.2">
      <c r="A582" s="251" t="s">
        <v>158</v>
      </c>
      <c r="B582" s="147">
        <v>57</v>
      </c>
      <c r="C582" s="244" t="s">
        <v>583</v>
      </c>
      <c r="D582" s="154" t="s">
        <v>159</v>
      </c>
      <c r="E582" s="155"/>
      <c r="F582" s="155">
        <v>448548607</v>
      </c>
      <c r="G582" s="155"/>
      <c r="H582" s="154" t="s">
        <v>749</v>
      </c>
      <c r="I582" s="244" t="s">
        <v>714</v>
      </c>
      <c r="J582" s="147">
        <v>1</v>
      </c>
      <c r="K582" s="147">
        <v>1</v>
      </c>
      <c r="L582" s="147">
        <v>12</v>
      </c>
      <c r="M582" s="132">
        <f t="shared" si="98"/>
        <v>1</v>
      </c>
      <c r="N582" s="140" t="s">
        <v>36</v>
      </c>
      <c r="O582" s="141" t="str">
        <f>IF(ISBLANK(N582),"",VLOOKUP(N582,[25]Parámetros!$G$2:$H$23,2,FALSE))</f>
        <v xml:space="preserve">Contratación directa (con ofertas) </v>
      </c>
      <c r="P582" s="245">
        <f t="shared" si="104"/>
        <v>1</v>
      </c>
      <c r="Q582" s="143">
        <f t="shared" si="99"/>
        <v>448548607</v>
      </c>
      <c r="R582" s="143">
        <f t="shared" si="100"/>
        <v>448548607</v>
      </c>
      <c r="S582" s="246" t="s">
        <v>222</v>
      </c>
      <c r="T582" s="245">
        <f t="shared" si="105"/>
        <v>0</v>
      </c>
      <c r="U582" s="145" t="str">
        <f t="shared" si="101"/>
        <v>SUBDIRECCION DE GESTION CONTRACTUAL</v>
      </c>
      <c r="V582" s="245" t="str">
        <f t="shared" si="102"/>
        <v>CO-DC</v>
      </c>
      <c r="W582" s="245" t="str">
        <f t="shared" si="103"/>
        <v>Distrito Capital de Bogotá</v>
      </c>
      <c r="X582" s="154" t="s">
        <v>553</v>
      </c>
      <c r="Y582" s="147">
        <v>2427400</v>
      </c>
      <c r="Z582" s="157" t="s">
        <v>160</v>
      </c>
      <c r="AA582" s="248"/>
      <c r="AB582" s="248"/>
      <c r="AC582" s="248"/>
      <c r="AD582" s="248"/>
      <c r="AE582" s="248"/>
      <c r="AF582" s="248"/>
      <c r="AG582" s="248"/>
      <c r="AH582" s="248"/>
      <c r="AI582" s="248"/>
      <c r="AJ582" s="248"/>
      <c r="AK582" s="248"/>
      <c r="AL582" s="248"/>
      <c r="AM582" s="248"/>
      <c r="AN582" s="248"/>
      <c r="AO582" s="248"/>
      <c r="AP582" s="248"/>
      <c r="AQ582" s="248"/>
      <c r="AR582" s="248"/>
      <c r="AS582" s="248"/>
      <c r="AT582" s="248"/>
      <c r="AU582" s="152"/>
      <c r="AV582" s="152"/>
      <c r="AW582" s="152"/>
      <c r="AX582" s="152"/>
      <c r="AY582" s="152"/>
      <c r="AZ582" s="152"/>
      <c r="BA582" s="152"/>
      <c r="BB582" s="152"/>
      <c r="BC582" s="152"/>
      <c r="BD582" s="152"/>
      <c r="BE582" s="152"/>
      <c r="BF582" s="152"/>
      <c r="BG582" s="152"/>
      <c r="BH582" s="152"/>
      <c r="BI582" s="152"/>
      <c r="BJ582" s="152"/>
      <c r="BK582" s="152"/>
      <c r="BL582" s="152"/>
      <c r="BM582" s="152"/>
      <c r="BN582" s="152"/>
      <c r="BO582" s="152"/>
      <c r="BP582" s="152"/>
      <c r="BQ582" s="152"/>
      <c r="BR582" s="152"/>
      <c r="BS582" s="152"/>
      <c r="BT582" s="152"/>
      <c r="BU582" s="152"/>
      <c r="BV582" s="152"/>
      <c r="BW582" s="152"/>
      <c r="BX582" s="152"/>
      <c r="BY582" s="152"/>
      <c r="BZ582" s="152"/>
      <c r="CA582" s="152"/>
      <c r="CB582" s="152"/>
      <c r="CC582" s="152"/>
      <c r="CD582" s="152"/>
      <c r="CE582" s="152"/>
      <c r="CF582" s="152"/>
      <c r="CG582" s="252"/>
    </row>
    <row r="583" spans="1:85" s="250" customFormat="1" ht="13.9" customHeight="1" x14ac:dyDescent="0.2">
      <c r="A583" s="251" t="s">
        <v>158</v>
      </c>
      <c r="B583" s="147">
        <v>58</v>
      </c>
      <c r="C583" s="244" t="s">
        <v>583</v>
      </c>
      <c r="D583" s="154" t="s">
        <v>159</v>
      </c>
      <c r="E583" s="155"/>
      <c r="F583" s="155">
        <v>414000000</v>
      </c>
      <c r="G583" s="155"/>
      <c r="H583" s="154" t="s">
        <v>745</v>
      </c>
      <c r="I583" s="244" t="s">
        <v>715</v>
      </c>
      <c r="J583" s="147">
        <v>1</v>
      </c>
      <c r="K583" s="147">
        <v>1</v>
      </c>
      <c r="L583" s="147">
        <v>12</v>
      </c>
      <c r="M583" s="132">
        <f t="shared" si="98"/>
        <v>1</v>
      </c>
      <c r="N583" s="140" t="s">
        <v>36</v>
      </c>
      <c r="O583" s="141" t="str">
        <f>IF(ISBLANK(N583),"",VLOOKUP(N583,[25]Parámetros!$G$2:$H$23,2,FALSE))</f>
        <v xml:space="preserve">Contratación directa (con ofertas) </v>
      </c>
      <c r="P583" s="245">
        <f t="shared" si="104"/>
        <v>1</v>
      </c>
      <c r="Q583" s="143">
        <f t="shared" si="99"/>
        <v>414000000</v>
      </c>
      <c r="R583" s="143">
        <f t="shared" si="100"/>
        <v>414000000</v>
      </c>
      <c r="S583" s="246" t="s">
        <v>222</v>
      </c>
      <c r="T583" s="245">
        <f t="shared" si="105"/>
        <v>0</v>
      </c>
      <c r="U583" s="145" t="str">
        <f t="shared" si="101"/>
        <v>SUBDIRECCION DE GESTION CONTRACTUAL</v>
      </c>
      <c r="V583" s="245" t="str">
        <f t="shared" si="102"/>
        <v>CO-DC</v>
      </c>
      <c r="W583" s="245" t="str">
        <f t="shared" si="103"/>
        <v>Distrito Capital de Bogotá</v>
      </c>
      <c r="X583" s="154" t="s">
        <v>553</v>
      </c>
      <c r="Y583" s="147">
        <v>2427400</v>
      </c>
      <c r="Z583" s="157" t="s">
        <v>160</v>
      </c>
      <c r="AA583" s="248"/>
      <c r="AB583" s="248"/>
      <c r="AC583" s="248"/>
      <c r="AD583" s="248"/>
      <c r="AE583" s="248"/>
      <c r="AF583" s="248"/>
      <c r="AG583" s="248"/>
      <c r="AH583" s="248"/>
      <c r="AI583" s="248"/>
      <c r="AJ583" s="248"/>
      <c r="AK583" s="248"/>
      <c r="AL583" s="248"/>
      <c r="AM583" s="248"/>
      <c r="AN583" s="248"/>
      <c r="AO583" s="248"/>
      <c r="AP583" s="248"/>
      <c r="AQ583" s="248"/>
      <c r="AR583" s="248"/>
      <c r="AS583" s="248"/>
      <c r="AT583" s="248"/>
      <c r="AU583" s="152"/>
      <c r="AV583" s="152"/>
      <c r="AW583" s="152"/>
      <c r="AX583" s="152"/>
      <c r="AY583" s="152"/>
      <c r="AZ583" s="152"/>
      <c r="BA583" s="152"/>
      <c r="BB583" s="152"/>
      <c r="BC583" s="152"/>
      <c r="BD583" s="152"/>
      <c r="BE583" s="152"/>
      <c r="BF583" s="152"/>
      <c r="BG583" s="152"/>
      <c r="BH583" s="152"/>
      <c r="BI583" s="152"/>
      <c r="BJ583" s="152"/>
      <c r="BK583" s="152"/>
      <c r="BL583" s="152"/>
      <c r="BM583" s="152"/>
      <c r="BN583" s="152"/>
      <c r="BO583" s="152"/>
      <c r="BP583" s="152"/>
      <c r="BQ583" s="152"/>
      <c r="BR583" s="152"/>
      <c r="BS583" s="152"/>
      <c r="BT583" s="152"/>
      <c r="BU583" s="152"/>
      <c r="BV583" s="152"/>
      <c r="BW583" s="152"/>
      <c r="BX583" s="152"/>
      <c r="BY583" s="152"/>
      <c r="BZ583" s="152"/>
      <c r="CA583" s="152"/>
      <c r="CB583" s="152"/>
      <c r="CC583" s="152"/>
      <c r="CD583" s="152"/>
      <c r="CE583" s="152"/>
      <c r="CF583" s="152"/>
      <c r="CG583" s="252"/>
    </row>
    <row r="584" spans="1:85" s="250" customFormat="1" ht="13.9" customHeight="1" x14ac:dyDescent="0.2">
      <c r="A584" s="251" t="s">
        <v>158</v>
      </c>
      <c r="B584" s="147">
        <v>59</v>
      </c>
      <c r="C584" s="244" t="s">
        <v>583</v>
      </c>
      <c r="D584" s="154" t="s">
        <v>159</v>
      </c>
      <c r="E584" s="155"/>
      <c r="F584" s="155">
        <v>514750950</v>
      </c>
      <c r="G584" s="155"/>
      <c r="H584" s="154" t="s">
        <v>745</v>
      </c>
      <c r="I584" s="244" t="s">
        <v>716</v>
      </c>
      <c r="J584" s="147">
        <v>1</v>
      </c>
      <c r="K584" s="147">
        <v>1</v>
      </c>
      <c r="L584" s="147">
        <v>12</v>
      </c>
      <c r="M584" s="132">
        <f t="shared" si="98"/>
        <v>1</v>
      </c>
      <c r="N584" s="140" t="s">
        <v>36</v>
      </c>
      <c r="O584" s="141" t="str">
        <f>IF(ISBLANK(N584),"",VLOOKUP(N584,[25]Parámetros!$G$2:$H$23,2,FALSE))</f>
        <v xml:space="preserve">Contratación directa (con ofertas) </v>
      </c>
      <c r="P584" s="245">
        <f t="shared" si="104"/>
        <v>1</v>
      </c>
      <c r="Q584" s="143">
        <f t="shared" si="99"/>
        <v>514750950</v>
      </c>
      <c r="R584" s="143">
        <f t="shared" si="100"/>
        <v>514750950</v>
      </c>
      <c r="S584" s="246" t="s">
        <v>222</v>
      </c>
      <c r="T584" s="245">
        <f t="shared" si="105"/>
        <v>0</v>
      </c>
      <c r="U584" s="145" t="str">
        <f t="shared" si="101"/>
        <v>SUBDIRECCION DE GESTION CONTRACTUAL</v>
      </c>
      <c r="V584" s="245" t="str">
        <f t="shared" si="102"/>
        <v>CO-DC</v>
      </c>
      <c r="W584" s="245" t="str">
        <f t="shared" si="103"/>
        <v>Distrito Capital de Bogotá</v>
      </c>
      <c r="X584" s="154" t="s">
        <v>553</v>
      </c>
      <c r="Y584" s="147">
        <v>2427400</v>
      </c>
      <c r="Z584" s="157" t="s">
        <v>160</v>
      </c>
      <c r="AA584" s="248"/>
      <c r="AB584" s="248"/>
      <c r="AC584" s="248"/>
      <c r="AD584" s="248"/>
      <c r="AE584" s="248"/>
      <c r="AF584" s="248"/>
      <c r="AG584" s="248"/>
      <c r="AH584" s="248"/>
      <c r="AI584" s="248"/>
      <c r="AJ584" s="248"/>
      <c r="AK584" s="248"/>
      <c r="AL584" s="248"/>
      <c r="AM584" s="248"/>
      <c r="AN584" s="248"/>
      <c r="AO584" s="248"/>
      <c r="AP584" s="248"/>
      <c r="AQ584" s="248"/>
      <c r="AR584" s="248"/>
      <c r="AS584" s="248"/>
      <c r="AT584" s="248"/>
      <c r="AU584" s="152"/>
      <c r="AV584" s="152"/>
      <c r="AW584" s="152"/>
      <c r="AX584" s="152"/>
      <c r="AY584" s="152"/>
      <c r="AZ584" s="152"/>
      <c r="BA584" s="152"/>
      <c r="BB584" s="152"/>
      <c r="BC584" s="152"/>
      <c r="BD584" s="152"/>
      <c r="BE584" s="152"/>
      <c r="BF584" s="152"/>
      <c r="BG584" s="152"/>
      <c r="BH584" s="152"/>
      <c r="BI584" s="152"/>
      <c r="BJ584" s="152"/>
      <c r="BK584" s="152"/>
      <c r="BL584" s="152"/>
      <c r="BM584" s="152"/>
      <c r="BN584" s="152"/>
      <c r="BO584" s="152"/>
      <c r="BP584" s="152"/>
      <c r="BQ584" s="152"/>
      <c r="BR584" s="152"/>
      <c r="BS584" s="152"/>
      <c r="BT584" s="152"/>
      <c r="BU584" s="152"/>
      <c r="BV584" s="152"/>
      <c r="BW584" s="152"/>
      <c r="BX584" s="152"/>
      <c r="BY584" s="152"/>
      <c r="BZ584" s="152"/>
      <c r="CA584" s="152"/>
      <c r="CB584" s="152"/>
      <c r="CC584" s="152"/>
      <c r="CD584" s="152"/>
      <c r="CE584" s="152"/>
      <c r="CF584" s="152"/>
      <c r="CG584" s="252"/>
    </row>
    <row r="585" spans="1:85" s="250" customFormat="1" ht="13.9" customHeight="1" x14ac:dyDescent="0.2">
      <c r="A585" s="251" t="s">
        <v>158</v>
      </c>
      <c r="B585" s="147">
        <v>60</v>
      </c>
      <c r="C585" s="244" t="s">
        <v>583</v>
      </c>
      <c r="D585" s="154" t="s">
        <v>159</v>
      </c>
      <c r="E585" s="155"/>
      <c r="F585" s="155">
        <v>215180000</v>
      </c>
      <c r="G585" s="155"/>
      <c r="H585" s="154" t="s">
        <v>745</v>
      </c>
      <c r="I585" s="244" t="s">
        <v>717</v>
      </c>
      <c r="J585" s="147">
        <v>1</v>
      </c>
      <c r="K585" s="147">
        <v>1</v>
      </c>
      <c r="L585" s="147">
        <v>12</v>
      </c>
      <c r="M585" s="132">
        <f t="shared" si="98"/>
        <v>1</v>
      </c>
      <c r="N585" s="140" t="s">
        <v>36</v>
      </c>
      <c r="O585" s="141" t="str">
        <f>IF(ISBLANK(N585),"",VLOOKUP(N585,[25]Parámetros!$G$2:$H$23,2,FALSE))</f>
        <v xml:space="preserve">Contratación directa (con ofertas) </v>
      </c>
      <c r="P585" s="245">
        <f t="shared" si="104"/>
        <v>1</v>
      </c>
      <c r="Q585" s="143">
        <f t="shared" si="99"/>
        <v>215180000</v>
      </c>
      <c r="R585" s="143">
        <f t="shared" si="100"/>
        <v>215180000</v>
      </c>
      <c r="S585" s="246" t="s">
        <v>222</v>
      </c>
      <c r="T585" s="245">
        <f t="shared" si="105"/>
        <v>0</v>
      </c>
      <c r="U585" s="145" t="str">
        <f t="shared" si="101"/>
        <v>SUBDIRECCION DE GESTION CONTRACTUAL</v>
      </c>
      <c r="V585" s="245" t="str">
        <f t="shared" si="102"/>
        <v>CO-DC</v>
      </c>
      <c r="W585" s="245" t="str">
        <f t="shared" si="103"/>
        <v>Distrito Capital de Bogotá</v>
      </c>
      <c r="X585" s="154" t="s">
        <v>553</v>
      </c>
      <c r="Y585" s="147">
        <v>2427400</v>
      </c>
      <c r="Z585" s="157" t="s">
        <v>160</v>
      </c>
      <c r="AA585" s="248"/>
      <c r="AB585" s="248"/>
      <c r="AC585" s="248"/>
      <c r="AD585" s="248"/>
      <c r="AE585" s="248"/>
      <c r="AF585" s="248"/>
      <c r="AG585" s="248"/>
      <c r="AH585" s="248"/>
      <c r="AI585" s="248"/>
      <c r="AJ585" s="248"/>
      <c r="AK585" s="248"/>
      <c r="AL585" s="248"/>
      <c r="AM585" s="248"/>
      <c r="AN585" s="248"/>
      <c r="AO585" s="248"/>
      <c r="AP585" s="248"/>
      <c r="AQ585" s="248"/>
      <c r="AR585" s="248"/>
      <c r="AS585" s="248"/>
      <c r="AT585" s="248"/>
      <c r="AU585" s="152"/>
      <c r="AV585" s="152"/>
      <c r="AW585" s="152"/>
      <c r="AX585" s="152"/>
      <c r="AY585" s="152"/>
      <c r="AZ585" s="152"/>
      <c r="BA585" s="152"/>
      <c r="BB585" s="152"/>
      <c r="BC585" s="152"/>
      <c r="BD585" s="152"/>
      <c r="BE585" s="152"/>
      <c r="BF585" s="152"/>
      <c r="BG585" s="152"/>
      <c r="BH585" s="152"/>
      <c r="BI585" s="152"/>
      <c r="BJ585" s="152"/>
      <c r="BK585" s="152"/>
      <c r="BL585" s="152"/>
      <c r="BM585" s="152"/>
      <c r="BN585" s="152"/>
      <c r="BO585" s="152"/>
      <c r="BP585" s="152"/>
      <c r="BQ585" s="152"/>
      <c r="BR585" s="152"/>
      <c r="BS585" s="152"/>
      <c r="BT585" s="152"/>
      <c r="BU585" s="152"/>
      <c r="BV585" s="152"/>
      <c r="BW585" s="152"/>
      <c r="BX585" s="152"/>
      <c r="BY585" s="152"/>
      <c r="BZ585" s="152"/>
      <c r="CA585" s="152"/>
      <c r="CB585" s="152"/>
      <c r="CC585" s="152"/>
      <c r="CD585" s="152"/>
      <c r="CE585" s="152"/>
      <c r="CF585" s="152"/>
      <c r="CG585" s="252"/>
    </row>
    <row r="586" spans="1:85" s="250" customFormat="1" ht="13.9" customHeight="1" x14ac:dyDescent="0.2">
      <c r="A586" s="251" t="s">
        <v>158</v>
      </c>
      <c r="B586" s="147">
        <v>61</v>
      </c>
      <c r="C586" s="244" t="s">
        <v>583</v>
      </c>
      <c r="D586" s="154" t="s">
        <v>159</v>
      </c>
      <c r="E586" s="155"/>
      <c r="F586" s="155">
        <v>6901188760</v>
      </c>
      <c r="G586" s="155"/>
      <c r="H586" s="154" t="s">
        <v>749</v>
      </c>
      <c r="I586" s="244" t="s">
        <v>718</v>
      </c>
      <c r="J586" s="147">
        <v>1</v>
      </c>
      <c r="K586" s="147">
        <v>1</v>
      </c>
      <c r="L586" s="147">
        <v>12</v>
      </c>
      <c r="M586" s="132">
        <f t="shared" si="98"/>
        <v>1</v>
      </c>
      <c r="N586" s="140" t="s">
        <v>36</v>
      </c>
      <c r="O586" s="141" t="str">
        <f>IF(ISBLANK(N586),"",VLOOKUP(N586,[25]Parámetros!$G$2:$H$23,2,FALSE))</f>
        <v xml:space="preserve">Contratación directa (con ofertas) </v>
      </c>
      <c r="P586" s="245">
        <f t="shared" si="104"/>
        <v>1</v>
      </c>
      <c r="Q586" s="143">
        <f t="shared" si="99"/>
        <v>6901188760</v>
      </c>
      <c r="R586" s="143">
        <f t="shared" si="100"/>
        <v>6901188760</v>
      </c>
      <c r="S586" s="246" t="s">
        <v>222</v>
      </c>
      <c r="T586" s="245">
        <f t="shared" si="105"/>
        <v>0</v>
      </c>
      <c r="U586" s="145" t="str">
        <f t="shared" si="101"/>
        <v>SUBDIRECCION DE GESTION CONTRACTUAL</v>
      </c>
      <c r="V586" s="245" t="str">
        <f t="shared" si="102"/>
        <v>CO-DC</v>
      </c>
      <c r="W586" s="245" t="str">
        <f t="shared" si="103"/>
        <v>Distrito Capital de Bogotá</v>
      </c>
      <c r="X586" s="154" t="s">
        <v>553</v>
      </c>
      <c r="Y586" s="147">
        <v>2427400</v>
      </c>
      <c r="Z586" s="157" t="s">
        <v>160</v>
      </c>
      <c r="AA586" s="248"/>
      <c r="AB586" s="248"/>
      <c r="AC586" s="248"/>
      <c r="AD586" s="248"/>
      <c r="AE586" s="248"/>
      <c r="AF586" s="248"/>
      <c r="AG586" s="248"/>
      <c r="AH586" s="248"/>
      <c r="AI586" s="248"/>
      <c r="AJ586" s="248"/>
      <c r="AK586" s="248"/>
      <c r="AL586" s="248"/>
      <c r="AM586" s="248"/>
      <c r="AN586" s="248"/>
      <c r="AO586" s="248"/>
      <c r="AP586" s="248"/>
      <c r="AQ586" s="248"/>
      <c r="AR586" s="248"/>
      <c r="AS586" s="248"/>
      <c r="AT586" s="248"/>
      <c r="AU586" s="152"/>
      <c r="AV586" s="152"/>
      <c r="AW586" s="152"/>
      <c r="AX586" s="152"/>
      <c r="AY586" s="152"/>
      <c r="AZ586" s="152"/>
      <c r="BA586" s="152"/>
      <c r="BB586" s="152"/>
      <c r="BC586" s="152"/>
      <c r="BD586" s="152"/>
      <c r="BE586" s="152"/>
      <c r="BF586" s="152"/>
      <c r="BG586" s="152"/>
      <c r="BH586" s="152"/>
      <c r="BI586" s="152"/>
      <c r="BJ586" s="152"/>
      <c r="BK586" s="152"/>
      <c r="BL586" s="152"/>
      <c r="BM586" s="152"/>
      <c r="BN586" s="152"/>
      <c r="BO586" s="152"/>
      <c r="BP586" s="152"/>
      <c r="BQ586" s="152"/>
      <c r="BR586" s="152"/>
      <c r="BS586" s="152"/>
      <c r="BT586" s="152"/>
      <c r="BU586" s="152"/>
      <c r="BV586" s="152"/>
      <c r="BW586" s="152"/>
      <c r="BX586" s="152"/>
      <c r="BY586" s="152"/>
      <c r="BZ586" s="152"/>
      <c r="CA586" s="152"/>
      <c r="CB586" s="152"/>
      <c r="CC586" s="152"/>
      <c r="CD586" s="152"/>
      <c r="CE586" s="152"/>
      <c r="CF586" s="152"/>
      <c r="CG586" s="252"/>
    </row>
    <row r="587" spans="1:85" s="250" customFormat="1" ht="13.9" customHeight="1" x14ac:dyDescent="0.2">
      <c r="A587" s="251" t="s">
        <v>158</v>
      </c>
      <c r="B587" s="147">
        <v>62</v>
      </c>
      <c r="C587" s="244" t="s">
        <v>583</v>
      </c>
      <c r="D587" s="154" t="s">
        <v>159</v>
      </c>
      <c r="E587" s="155"/>
      <c r="F587" s="155">
        <v>441215100</v>
      </c>
      <c r="G587" s="155"/>
      <c r="H587" s="154" t="s">
        <v>745</v>
      </c>
      <c r="I587" s="244" t="s">
        <v>719</v>
      </c>
      <c r="J587" s="147">
        <v>1</v>
      </c>
      <c r="K587" s="147">
        <v>1</v>
      </c>
      <c r="L587" s="147">
        <v>12</v>
      </c>
      <c r="M587" s="132">
        <f t="shared" si="98"/>
        <v>1</v>
      </c>
      <c r="N587" s="140" t="s">
        <v>36</v>
      </c>
      <c r="O587" s="141" t="str">
        <f>IF(ISBLANK(N587),"",VLOOKUP(N587,[25]Parámetros!$G$2:$H$23,2,FALSE))</f>
        <v xml:space="preserve">Contratación directa (con ofertas) </v>
      </c>
      <c r="P587" s="245">
        <f t="shared" si="104"/>
        <v>1</v>
      </c>
      <c r="Q587" s="143">
        <f t="shared" si="99"/>
        <v>441215100</v>
      </c>
      <c r="R587" s="143">
        <f t="shared" si="100"/>
        <v>441215100</v>
      </c>
      <c r="S587" s="246" t="s">
        <v>222</v>
      </c>
      <c r="T587" s="245">
        <f t="shared" si="105"/>
        <v>0</v>
      </c>
      <c r="U587" s="145" t="str">
        <f t="shared" si="101"/>
        <v>SUBDIRECCION DE GESTION CONTRACTUAL</v>
      </c>
      <c r="V587" s="245" t="str">
        <f t="shared" si="102"/>
        <v>CO-DC</v>
      </c>
      <c r="W587" s="245" t="str">
        <f t="shared" si="103"/>
        <v>Distrito Capital de Bogotá</v>
      </c>
      <c r="X587" s="154" t="s">
        <v>553</v>
      </c>
      <c r="Y587" s="147">
        <v>2427400</v>
      </c>
      <c r="Z587" s="157" t="s">
        <v>160</v>
      </c>
      <c r="AA587" s="248"/>
      <c r="AB587" s="248"/>
      <c r="AC587" s="248"/>
      <c r="AD587" s="248"/>
      <c r="AE587" s="248"/>
      <c r="AF587" s="248"/>
      <c r="AG587" s="248"/>
      <c r="AH587" s="248"/>
      <c r="AI587" s="248"/>
      <c r="AJ587" s="248"/>
      <c r="AK587" s="248"/>
      <c r="AL587" s="248"/>
      <c r="AM587" s="248"/>
      <c r="AN587" s="248"/>
      <c r="AO587" s="248"/>
      <c r="AP587" s="248"/>
      <c r="AQ587" s="248"/>
      <c r="AR587" s="248"/>
      <c r="AS587" s="248"/>
      <c r="AT587" s="248"/>
      <c r="AU587" s="152"/>
      <c r="AV587" s="152"/>
      <c r="AW587" s="152"/>
      <c r="AX587" s="152"/>
      <c r="AY587" s="152"/>
      <c r="AZ587" s="152"/>
      <c r="BA587" s="152"/>
      <c r="BB587" s="152"/>
      <c r="BC587" s="152"/>
      <c r="BD587" s="152"/>
      <c r="BE587" s="152"/>
      <c r="BF587" s="152"/>
      <c r="BG587" s="152"/>
      <c r="BH587" s="152"/>
      <c r="BI587" s="152"/>
      <c r="BJ587" s="152"/>
      <c r="BK587" s="152"/>
      <c r="BL587" s="152"/>
      <c r="BM587" s="152"/>
      <c r="BN587" s="152"/>
      <c r="BO587" s="152"/>
      <c r="BP587" s="152"/>
      <c r="BQ587" s="152"/>
      <c r="BR587" s="152"/>
      <c r="BS587" s="152"/>
      <c r="BT587" s="152"/>
      <c r="BU587" s="152"/>
      <c r="BV587" s="152"/>
      <c r="BW587" s="152"/>
      <c r="BX587" s="152"/>
      <c r="BY587" s="152"/>
      <c r="BZ587" s="152"/>
      <c r="CA587" s="152"/>
      <c r="CB587" s="152"/>
      <c r="CC587" s="152"/>
      <c r="CD587" s="152"/>
      <c r="CE587" s="152"/>
      <c r="CF587" s="152"/>
      <c r="CG587" s="252"/>
    </row>
    <row r="588" spans="1:85" s="250" customFormat="1" ht="13.9" customHeight="1" x14ac:dyDescent="0.2">
      <c r="A588" s="251" t="s">
        <v>158</v>
      </c>
      <c r="B588" s="147">
        <v>63</v>
      </c>
      <c r="C588" s="244" t="s">
        <v>583</v>
      </c>
      <c r="D588" s="154" t="s">
        <v>159</v>
      </c>
      <c r="E588" s="155"/>
      <c r="F588" s="155">
        <v>448224357</v>
      </c>
      <c r="G588" s="155"/>
      <c r="H588" s="154" t="s">
        <v>745</v>
      </c>
      <c r="I588" s="244" t="s">
        <v>720</v>
      </c>
      <c r="J588" s="147">
        <v>1</v>
      </c>
      <c r="K588" s="147">
        <v>1</v>
      </c>
      <c r="L588" s="147">
        <v>12</v>
      </c>
      <c r="M588" s="132">
        <f t="shared" si="98"/>
        <v>1</v>
      </c>
      <c r="N588" s="140" t="s">
        <v>36</v>
      </c>
      <c r="O588" s="141" t="str">
        <f>IF(ISBLANK(N588),"",VLOOKUP(N588,[25]Parámetros!$G$2:$H$23,2,FALSE))</f>
        <v xml:space="preserve">Contratación directa (con ofertas) </v>
      </c>
      <c r="P588" s="245">
        <f t="shared" si="104"/>
        <v>1</v>
      </c>
      <c r="Q588" s="143">
        <f t="shared" si="99"/>
        <v>448224357</v>
      </c>
      <c r="R588" s="143">
        <f t="shared" si="100"/>
        <v>448224357</v>
      </c>
      <c r="S588" s="246" t="s">
        <v>222</v>
      </c>
      <c r="T588" s="245">
        <f t="shared" si="105"/>
        <v>0</v>
      </c>
      <c r="U588" s="145" t="str">
        <f t="shared" si="101"/>
        <v>SUBDIRECCION DE GESTION CONTRACTUAL</v>
      </c>
      <c r="V588" s="245" t="str">
        <f t="shared" si="102"/>
        <v>CO-DC</v>
      </c>
      <c r="W588" s="245" t="str">
        <f t="shared" si="103"/>
        <v>Distrito Capital de Bogotá</v>
      </c>
      <c r="X588" s="154" t="s">
        <v>553</v>
      </c>
      <c r="Y588" s="147">
        <v>2427400</v>
      </c>
      <c r="Z588" s="157" t="s">
        <v>160</v>
      </c>
      <c r="AA588" s="248"/>
      <c r="AB588" s="248"/>
      <c r="AC588" s="248"/>
      <c r="AD588" s="248"/>
      <c r="AE588" s="248"/>
      <c r="AF588" s="248"/>
      <c r="AG588" s="248"/>
      <c r="AH588" s="248"/>
      <c r="AI588" s="248"/>
      <c r="AJ588" s="248"/>
      <c r="AK588" s="248"/>
      <c r="AL588" s="248"/>
      <c r="AM588" s="248"/>
      <c r="AN588" s="248"/>
      <c r="AO588" s="248"/>
      <c r="AP588" s="248"/>
      <c r="AQ588" s="248"/>
      <c r="AR588" s="248"/>
      <c r="AS588" s="248"/>
      <c r="AT588" s="248"/>
      <c r="AU588" s="152"/>
      <c r="AV588" s="152"/>
      <c r="AW588" s="152"/>
      <c r="AX588" s="152"/>
      <c r="AY588" s="152"/>
      <c r="AZ588" s="152"/>
      <c r="BA588" s="152"/>
      <c r="BB588" s="152"/>
      <c r="BC588" s="152"/>
      <c r="BD588" s="152"/>
      <c r="BE588" s="152"/>
      <c r="BF588" s="152"/>
      <c r="BG588" s="152"/>
      <c r="BH588" s="152"/>
      <c r="BI588" s="152"/>
      <c r="BJ588" s="152"/>
      <c r="BK588" s="152"/>
      <c r="BL588" s="152"/>
      <c r="BM588" s="152"/>
      <c r="BN588" s="152"/>
      <c r="BO588" s="152"/>
      <c r="BP588" s="152"/>
      <c r="BQ588" s="152"/>
      <c r="BR588" s="152"/>
      <c r="BS588" s="152"/>
      <c r="BT588" s="152"/>
      <c r="BU588" s="152"/>
      <c r="BV588" s="152"/>
      <c r="BW588" s="152"/>
      <c r="BX588" s="152"/>
      <c r="BY588" s="152"/>
      <c r="BZ588" s="152"/>
      <c r="CA588" s="152"/>
      <c r="CB588" s="152"/>
      <c r="CC588" s="152"/>
      <c r="CD588" s="152"/>
      <c r="CE588" s="152"/>
      <c r="CF588" s="152"/>
      <c r="CG588" s="252"/>
    </row>
    <row r="589" spans="1:85" s="250" customFormat="1" ht="13.9" customHeight="1" x14ac:dyDescent="0.2">
      <c r="A589" s="251" t="s">
        <v>158</v>
      </c>
      <c r="B589" s="147">
        <v>64</v>
      </c>
      <c r="C589" s="244" t="s">
        <v>583</v>
      </c>
      <c r="D589" s="154" t="s">
        <v>159</v>
      </c>
      <c r="E589" s="155"/>
      <c r="F589" s="155">
        <v>205000000</v>
      </c>
      <c r="G589" s="155"/>
      <c r="H589" s="154" t="s">
        <v>745</v>
      </c>
      <c r="I589" s="244" t="s">
        <v>721</v>
      </c>
      <c r="J589" s="147">
        <v>1</v>
      </c>
      <c r="K589" s="147">
        <v>1</v>
      </c>
      <c r="L589" s="147">
        <v>12</v>
      </c>
      <c r="M589" s="132">
        <f t="shared" si="98"/>
        <v>1</v>
      </c>
      <c r="N589" s="140" t="s">
        <v>36</v>
      </c>
      <c r="O589" s="141" t="str">
        <f>IF(ISBLANK(N589),"",VLOOKUP(N589,[25]Parámetros!$G$2:$H$23,2,FALSE))</f>
        <v xml:space="preserve">Contratación directa (con ofertas) </v>
      </c>
      <c r="P589" s="245">
        <f t="shared" si="104"/>
        <v>1</v>
      </c>
      <c r="Q589" s="143">
        <f t="shared" si="99"/>
        <v>205000000</v>
      </c>
      <c r="R589" s="143">
        <f t="shared" si="100"/>
        <v>205000000</v>
      </c>
      <c r="S589" s="246" t="s">
        <v>222</v>
      </c>
      <c r="T589" s="245">
        <f t="shared" si="105"/>
        <v>0</v>
      </c>
      <c r="U589" s="145" t="str">
        <f t="shared" si="101"/>
        <v>SUBDIRECCION DE GESTION CONTRACTUAL</v>
      </c>
      <c r="V589" s="245" t="str">
        <f t="shared" ref="V589:V620" si="106">IF(ISBLANK(N589),"","CO-DC")</f>
        <v>CO-DC</v>
      </c>
      <c r="W589" s="245" t="str">
        <f t="shared" ref="W589:W620" si="107">IF(ISBLANK(N589),"","Distrito Capital de Bogotá")</f>
        <v>Distrito Capital de Bogotá</v>
      </c>
      <c r="X589" s="154" t="s">
        <v>553</v>
      </c>
      <c r="Y589" s="147">
        <v>2427400</v>
      </c>
      <c r="Z589" s="157" t="s">
        <v>160</v>
      </c>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152"/>
      <c r="AV589" s="152"/>
      <c r="AW589" s="152"/>
      <c r="AX589" s="152"/>
      <c r="AY589" s="152"/>
      <c r="AZ589" s="152"/>
      <c r="BA589" s="152"/>
      <c r="BB589" s="152"/>
      <c r="BC589" s="152"/>
      <c r="BD589" s="152"/>
      <c r="BE589" s="152"/>
      <c r="BF589" s="152"/>
      <c r="BG589" s="152"/>
      <c r="BH589" s="152"/>
      <c r="BI589" s="152"/>
      <c r="BJ589" s="152"/>
      <c r="BK589" s="152"/>
      <c r="BL589" s="152"/>
      <c r="BM589" s="152"/>
      <c r="BN589" s="152"/>
      <c r="BO589" s="152"/>
      <c r="BP589" s="152"/>
      <c r="BQ589" s="152"/>
      <c r="BR589" s="152"/>
      <c r="BS589" s="152"/>
      <c r="BT589" s="152"/>
      <c r="BU589" s="152"/>
      <c r="BV589" s="152"/>
      <c r="BW589" s="152"/>
      <c r="BX589" s="152"/>
      <c r="BY589" s="152"/>
      <c r="BZ589" s="152"/>
      <c r="CA589" s="152"/>
      <c r="CB589" s="152"/>
      <c r="CC589" s="152"/>
      <c r="CD589" s="152"/>
      <c r="CE589" s="152"/>
      <c r="CF589" s="152"/>
      <c r="CG589" s="252"/>
    </row>
    <row r="590" spans="1:85" s="250" customFormat="1" ht="13.9" customHeight="1" x14ac:dyDescent="0.2">
      <c r="A590" s="251" t="s">
        <v>158</v>
      </c>
      <c r="B590" s="147">
        <v>65</v>
      </c>
      <c r="C590" s="244" t="s">
        <v>583</v>
      </c>
      <c r="D590" s="154" t="s">
        <v>159</v>
      </c>
      <c r="E590" s="155"/>
      <c r="F590" s="155">
        <v>147071700</v>
      </c>
      <c r="G590" s="155"/>
      <c r="H590" s="154" t="s">
        <v>745</v>
      </c>
      <c r="I590" s="244" t="s">
        <v>722</v>
      </c>
      <c r="J590" s="147">
        <v>1</v>
      </c>
      <c r="K590" s="147">
        <v>1</v>
      </c>
      <c r="L590" s="147">
        <v>12</v>
      </c>
      <c r="M590" s="132">
        <f t="shared" si="98"/>
        <v>1</v>
      </c>
      <c r="N590" s="140" t="s">
        <v>36</v>
      </c>
      <c r="O590" s="141" t="str">
        <f>IF(ISBLANK(N590),"",VLOOKUP(N590,[25]Parámetros!$G$2:$H$23,2,FALSE))</f>
        <v xml:space="preserve">Contratación directa (con ofertas) </v>
      </c>
      <c r="P590" s="245">
        <f t="shared" ref="P590:P621" si="108">IF(ISBLANK(N590),"",1)</f>
        <v>1</v>
      </c>
      <c r="Q590" s="143">
        <f t="shared" si="99"/>
        <v>147071700</v>
      </c>
      <c r="R590" s="143">
        <f t="shared" si="100"/>
        <v>147071700</v>
      </c>
      <c r="S590" s="246" t="s">
        <v>222</v>
      </c>
      <c r="T590" s="245">
        <f t="shared" si="105"/>
        <v>0</v>
      </c>
      <c r="U590" s="145" t="str">
        <f t="shared" si="101"/>
        <v>SUBDIRECCION DE GESTION CONTRACTUAL</v>
      </c>
      <c r="V590" s="245" t="str">
        <f t="shared" si="106"/>
        <v>CO-DC</v>
      </c>
      <c r="W590" s="245" t="str">
        <f t="shared" si="107"/>
        <v>Distrito Capital de Bogotá</v>
      </c>
      <c r="X590" s="154" t="s">
        <v>553</v>
      </c>
      <c r="Y590" s="147">
        <v>2427400</v>
      </c>
      <c r="Z590" s="157" t="s">
        <v>160</v>
      </c>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152"/>
      <c r="AV590" s="152"/>
      <c r="AW590" s="152"/>
      <c r="AX590" s="152"/>
      <c r="AY590" s="152"/>
      <c r="AZ590" s="152"/>
      <c r="BA590" s="152"/>
      <c r="BB590" s="152"/>
      <c r="BC590" s="152"/>
      <c r="BD590" s="152"/>
      <c r="BE590" s="152"/>
      <c r="BF590" s="152"/>
      <c r="BG590" s="152"/>
      <c r="BH590" s="152"/>
      <c r="BI590" s="152"/>
      <c r="BJ590" s="152"/>
      <c r="BK590" s="152"/>
      <c r="BL590" s="152"/>
      <c r="BM590" s="152"/>
      <c r="BN590" s="152"/>
      <c r="BO590" s="152"/>
      <c r="BP590" s="152"/>
      <c r="BQ590" s="152"/>
      <c r="BR590" s="152"/>
      <c r="BS590" s="152"/>
      <c r="BT590" s="152"/>
      <c r="BU590" s="152"/>
      <c r="BV590" s="152"/>
      <c r="BW590" s="152"/>
      <c r="BX590" s="152"/>
      <c r="BY590" s="152"/>
      <c r="BZ590" s="152"/>
      <c r="CA590" s="152"/>
      <c r="CB590" s="152"/>
      <c r="CC590" s="152"/>
      <c r="CD590" s="152"/>
      <c r="CE590" s="152"/>
      <c r="CF590" s="152"/>
      <c r="CG590" s="252"/>
    </row>
    <row r="591" spans="1:85" s="250" customFormat="1" ht="13.9" customHeight="1" x14ac:dyDescent="0.2">
      <c r="A591" s="251" t="s">
        <v>158</v>
      </c>
      <c r="B591" s="147">
        <v>66</v>
      </c>
      <c r="C591" s="244" t="s">
        <v>583</v>
      </c>
      <c r="D591" s="154" t="s">
        <v>159</v>
      </c>
      <c r="E591" s="155"/>
      <c r="F591" s="155">
        <v>1234271534</v>
      </c>
      <c r="G591" s="155"/>
      <c r="H591" s="154" t="s">
        <v>749</v>
      </c>
      <c r="I591" s="244" t="s">
        <v>723</v>
      </c>
      <c r="J591" s="147">
        <v>1</v>
      </c>
      <c r="K591" s="147">
        <v>1</v>
      </c>
      <c r="L591" s="147">
        <v>12</v>
      </c>
      <c r="M591" s="132">
        <f t="shared" si="98"/>
        <v>1</v>
      </c>
      <c r="N591" s="140" t="s">
        <v>36</v>
      </c>
      <c r="O591" s="141" t="str">
        <f>IF(ISBLANK(N591),"",VLOOKUP(N591,[25]Parámetros!$G$2:$H$23,2,FALSE))</f>
        <v xml:space="preserve">Contratación directa (con ofertas) </v>
      </c>
      <c r="P591" s="245">
        <f t="shared" si="108"/>
        <v>1</v>
      </c>
      <c r="Q591" s="143">
        <f t="shared" si="99"/>
        <v>1234271534</v>
      </c>
      <c r="R591" s="143">
        <f t="shared" si="100"/>
        <v>1234271534</v>
      </c>
      <c r="S591" s="246" t="s">
        <v>222</v>
      </c>
      <c r="T591" s="245">
        <f t="shared" si="105"/>
        <v>0</v>
      </c>
      <c r="U591" s="145" t="str">
        <f t="shared" si="101"/>
        <v>SUBDIRECCION DE GESTION CONTRACTUAL</v>
      </c>
      <c r="V591" s="245" t="str">
        <f t="shared" si="106"/>
        <v>CO-DC</v>
      </c>
      <c r="W591" s="245" t="str">
        <f t="shared" si="107"/>
        <v>Distrito Capital de Bogotá</v>
      </c>
      <c r="X591" s="154" t="s">
        <v>553</v>
      </c>
      <c r="Y591" s="147">
        <v>2427400</v>
      </c>
      <c r="Z591" s="157" t="s">
        <v>160</v>
      </c>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152"/>
      <c r="AV591" s="152"/>
      <c r="AW591" s="152"/>
      <c r="AX591" s="152"/>
      <c r="AY591" s="152"/>
      <c r="AZ591" s="152"/>
      <c r="BA591" s="152"/>
      <c r="BB591" s="152"/>
      <c r="BC591" s="152"/>
      <c r="BD591" s="152"/>
      <c r="BE591" s="152"/>
      <c r="BF591" s="152"/>
      <c r="BG591" s="152"/>
      <c r="BH591" s="152"/>
      <c r="BI591" s="152"/>
      <c r="BJ591" s="152"/>
      <c r="BK591" s="152"/>
      <c r="BL591" s="152"/>
      <c r="BM591" s="152"/>
      <c r="BN591" s="152"/>
      <c r="BO591" s="152"/>
      <c r="BP591" s="152"/>
      <c r="BQ591" s="152"/>
      <c r="BR591" s="152"/>
      <c r="BS591" s="152"/>
      <c r="BT591" s="152"/>
      <c r="BU591" s="152"/>
      <c r="BV591" s="152"/>
      <c r="BW591" s="152"/>
      <c r="BX591" s="152"/>
      <c r="BY591" s="152"/>
      <c r="BZ591" s="152"/>
      <c r="CA591" s="152"/>
      <c r="CB591" s="152"/>
      <c r="CC591" s="152"/>
      <c r="CD591" s="152"/>
      <c r="CE591" s="152"/>
      <c r="CF591" s="152"/>
      <c r="CG591" s="252"/>
    </row>
    <row r="592" spans="1:85" s="250" customFormat="1" ht="13.9" customHeight="1" x14ac:dyDescent="0.2">
      <c r="A592" s="251" t="s">
        <v>158</v>
      </c>
      <c r="B592" s="147">
        <v>67</v>
      </c>
      <c r="C592" s="244" t="s">
        <v>583</v>
      </c>
      <c r="D592" s="154" t="s">
        <v>159</v>
      </c>
      <c r="E592" s="155"/>
      <c r="F592" s="155">
        <v>147071700</v>
      </c>
      <c r="G592" s="155"/>
      <c r="H592" s="154" t="s">
        <v>745</v>
      </c>
      <c r="I592" s="244" t="s">
        <v>724</v>
      </c>
      <c r="J592" s="147">
        <v>1</v>
      </c>
      <c r="K592" s="147">
        <v>1</v>
      </c>
      <c r="L592" s="147">
        <v>12</v>
      </c>
      <c r="M592" s="132">
        <f t="shared" si="98"/>
        <v>1</v>
      </c>
      <c r="N592" s="140" t="s">
        <v>36</v>
      </c>
      <c r="O592" s="141" t="str">
        <f>IF(ISBLANK(N592),"",VLOOKUP(N592,[25]Parámetros!$G$2:$H$23,2,FALSE))</f>
        <v xml:space="preserve">Contratación directa (con ofertas) </v>
      </c>
      <c r="P592" s="245">
        <f t="shared" si="108"/>
        <v>1</v>
      </c>
      <c r="Q592" s="143">
        <f t="shared" si="99"/>
        <v>147071700</v>
      </c>
      <c r="R592" s="143">
        <f t="shared" si="100"/>
        <v>147071700</v>
      </c>
      <c r="S592" s="246" t="s">
        <v>222</v>
      </c>
      <c r="T592" s="245">
        <f t="shared" si="105"/>
        <v>0</v>
      </c>
      <c r="U592" s="145" t="str">
        <f t="shared" si="101"/>
        <v>SUBDIRECCION DE GESTION CONTRACTUAL</v>
      </c>
      <c r="V592" s="245" t="str">
        <f t="shared" si="106"/>
        <v>CO-DC</v>
      </c>
      <c r="W592" s="245" t="str">
        <f t="shared" si="107"/>
        <v>Distrito Capital de Bogotá</v>
      </c>
      <c r="X592" s="154" t="s">
        <v>553</v>
      </c>
      <c r="Y592" s="147">
        <v>2427400</v>
      </c>
      <c r="Z592" s="157" t="s">
        <v>160</v>
      </c>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152"/>
      <c r="AV592" s="152"/>
      <c r="AW592" s="152"/>
      <c r="AX592" s="152"/>
      <c r="AY592" s="152"/>
      <c r="AZ592" s="152"/>
      <c r="BA592" s="152"/>
      <c r="BB592" s="152"/>
      <c r="BC592" s="152"/>
      <c r="BD592" s="152"/>
      <c r="BE592" s="152"/>
      <c r="BF592" s="152"/>
      <c r="BG592" s="152"/>
      <c r="BH592" s="152"/>
      <c r="BI592" s="152"/>
      <c r="BJ592" s="152"/>
      <c r="BK592" s="152"/>
      <c r="BL592" s="152"/>
      <c r="BM592" s="152"/>
      <c r="BN592" s="152"/>
      <c r="BO592" s="152"/>
      <c r="BP592" s="152"/>
      <c r="BQ592" s="152"/>
      <c r="BR592" s="152"/>
      <c r="BS592" s="152"/>
      <c r="BT592" s="152"/>
      <c r="BU592" s="152"/>
      <c r="BV592" s="152"/>
      <c r="BW592" s="152"/>
      <c r="BX592" s="152"/>
      <c r="BY592" s="152"/>
      <c r="BZ592" s="152"/>
      <c r="CA592" s="152"/>
      <c r="CB592" s="152"/>
      <c r="CC592" s="152"/>
      <c r="CD592" s="152"/>
      <c r="CE592" s="152"/>
      <c r="CF592" s="152"/>
      <c r="CG592" s="252"/>
    </row>
    <row r="593" spans="1:85" s="250" customFormat="1" ht="13.9" customHeight="1" x14ac:dyDescent="0.2">
      <c r="A593" s="251" t="s">
        <v>158</v>
      </c>
      <c r="B593" s="147">
        <v>68</v>
      </c>
      <c r="C593" s="244" t="s">
        <v>583</v>
      </c>
      <c r="D593" s="154" t="s">
        <v>159</v>
      </c>
      <c r="E593" s="155"/>
      <c r="F593" s="155">
        <v>700000000</v>
      </c>
      <c r="G593" s="155"/>
      <c r="H593" s="154" t="s">
        <v>745</v>
      </c>
      <c r="I593" s="244" t="s">
        <v>725</v>
      </c>
      <c r="J593" s="147">
        <v>1</v>
      </c>
      <c r="K593" s="147">
        <v>1</v>
      </c>
      <c r="L593" s="147">
        <v>12</v>
      </c>
      <c r="M593" s="132">
        <f t="shared" si="98"/>
        <v>1</v>
      </c>
      <c r="N593" s="140" t="s">
        <v>36</v>
      </c>
      <c r="O593" s="141" t="str">
        <f>IF(ISBLANK(N593),"",VLOOKUP(N593,[25]Parámetros!$G$2:$H$23,2,FALSE))</f>
        <v xml:space="preserve">Contratación directa (con ofertas) </v>
      </c>
      <c r="P593" s="245">
        <f t="shared" si="108"/>
        <v>1</v>
      </c>
      <c r="Q593" s="143">
        <f t="shared" si="99"/>
        <v>700000000</v>
      </c>
      <c r="R593" s="143">
        <f t="shared" si="100"/>
        <v>700000000</v>
      </c>
      <c r="S593" s="246" t="s">
        <v>222</v>
      </c>
      <c r="T593" s="245">
        <f t="shared" si="105"/>
        <v>0</v>
      </c>
      <c r="U593" s="145" t="str">
        <f t="shared" si="101"/>
        <v>SUBDIRECCION DE GESTION CONTRACTUAL</v>
      </c>
      <c r="V593" s="245" t="str">
        <f t="shared" si="106"/>
        <v>CO-DC</v>
      </c>
      <c r="W593" s="245" t="str">
        <f t="shared" si="107"/>
        <v>Distrito Capital de Bogotá</v>
      </c>
      <c r="X593" s="154" t="s">
        <v>553</v>
      </c>
      <c r="Y593" s="147">
        <v>2427400</v>
      </c>
      <c r="Z593" s="157" t="s">
        <v>160</v>
      </c>
      <c r="AA593" s="248"/>
      <c r="AB593" s="248"/>
      <c r="AC593" s="248"/>
      <c r="AD593" s="248"/>
      <c r="AE593" s="248"/>
      <c r="AF593" s="248"/>
      <c r="AG593" s="248"/>
      <c r="AH593" s="248"/>
      <c r="AI593" s="248"/>
      <c r="AJ593" s="248"/>
      <c r="AK593" s="248"/>
      <c r="AL593" s="248"/>
      <c r="AM593" s="248"/>
      <c r="AN593" s="248"/>
      <c r="AO593" s="248"/>
      <c r="AP593" s="248"/>
      <c r="AQ593" s="248"/>
      <c r="AR593" s="248"/>
      <c r="AS593" s="248"/>
      <c r="AT593" s="248"/>
      <c r="AU593" s="152"/>
      <c r="AV593" s="152"/>
      <c r="AW593" s="152"/>
      <c r="AX593" s="152"/>
      <c r="AY593" s="152"/>
      <c r="AZ593" s="152"/>
      <c r="BA593" s="152"/>
      <c r="BB593" s="152"/>
      <c r="BC593" s="152"/>
      <c r="BD593" s="152"/>
      <c r="BE593" s="152"/>
      <c r="BF593" s="152"/>
      <c r="BG593" s="152"/>
      <c r="BH593" s="152"/>
      <c r="BI593" s="152"/>
      <c r="BJ593" s="152"/>
      <c r="BK593" s="152"/>
      <c r="BL593" s="152"/>
      <c r="BM593" s="152"/>
      <c r="BN593" s="152"/>
      <c r="BO593" s="152"/>
      <c r="BP593" s="152"/>
      <c r="BQ593" s="152"/>
      <c r="BR593" s="152"/>
      <c r="BS593" s="152"/>
      <c r="BT593" s="152"/>
      <c r="BU593" s="152"/>
      <c r="BV593" s="152"/>
      <c r="BW593" s="152"/>
      <c r="BX593" s="152"/>
      <c r="BY593" s="152"/>
      <c r="BZ593" s="152"/>
      <c r="CA593" s="152"/>
      <c r="CB593" s="152"/>
      <c r="CC593" s="152"/>
      <c r="CD593" s="152"/>
      <c r="CE593" s="152"/>
      <c r="CF593" s="152"/>
      <c r="CG593" s="252"/>
    </row>
    <row r="594" spans="1:85" s="250" customFormat="1" ht="13.9" customHeight="1" x14ac:dyDescent="0.2">
      <c r="A594" s="251" t="s">
        <v>158</v>
      </c>
      <c r="B594" s="147">
        <v>69</v>
      </c>
      <c r="C594" s="244" t="s">
        <v>583</v>
      </c>
      <c r="D594" s="154" t="s">
        <v>159</v>
      </c>
      <c r="E594" s="155"/>
      <c r="F594" s="155">
        <v>1025000000</v>
      </c>
      <c r="G594" s="155"/>
      <c r="H594" s="154" t="s">
        <v>745</v>
      </c>
      <c r="I594" s="244" t="s">
        <v>726</v>
      </c>
      <c r="J594" s="147">
        <v>1</v>
      </c>
      <c r="K594" s="147">
        <v>1</v>
      </c>
      <c r="L594" s="147">
        <v>12</v>
      </c>
      <c r="M594" s="132">
        <f t="shared" si="98"/>
        <v>1</v>
      </c>
      <c r="N594" s="140" t="s">
        <v>36</v>
      </c>
      <c r="O594" s="141" t="str">
        <f>IF(ISBLANK(N594),"",VLOOKUP(N594,[25]Parámetros!$G$2:$H$23,2,FALSE))</f>
        <v xml:space="preserve">Contratación directa (con ofertas) </v>
      </c>
      <c r="P594" s="245">
        <f t="shared" si="108"/>
        <v>1</v>
      </c>
      <c r="Q594" s="143">
        <f t="shared" si="99"/>
        <v>1025000000</v>
      </c>
      <c r="R594" s="143">
        <f t="shared" si="100"/>
        <v>1025000000</v>
      </c>
      <c r="S594" s="246" t="s">
        <v>222</v>
      </c>
      <c r="T594" s="245">
        <f t="shared" si="105"/>
        <v>0</v>
      </c>
      <c r="U594" s="145" t="str">
        <f t="shared" si="101"/>
        <v>SUBDIRECCION DE GESTION CONTRACTUAL</v>
      </c>
      <c r="V594" s="245" t="str">
        <f t="shared" si="106"/>
        <v>CO-DC</v>
      </c>
      <c r="W594" s="245" t="str">
        <f t="shared" si="107"/>
        <v>Distrito Capital de Bogotá</v>
      </c>
      <c r="X594" s="154" t="s">
        <v>553</v>
      </c>
      <c r="Y594" s="147">
        <v>2427400</v>
      </c>
      <c r="Z594" s="157" t="s">
        <v>160</v>
      </c>
      <c r="AA594" s="248"/>
      <c r="AB594" s="248"/>
      <c r="AC594" s="248"/>
      <c r="AD594" s="248"/>
      <c r="AE594" s="248"/>
      <c r="AF594" s="248"/>
      <c r="AG594" s="248"/>
      <c r="AH594" s="248"/>
      <c r="AI594" s="248"/>
      <c r="AJ594" s="248"/>
      <c r="AK594" s="248"/>
      <c r="AL594" s="248"/>
      <c r="AM594" s="248"/>
      <c r="AN594" s="248"/>
      <c r="AO594" s="248"/>
      <c r="AP594" s="248"/>
      <c r="AQ594" s="248"/>
      <c r="AR594" s="248"/>
      <c r="AS594" s="248"/>
      <c r="AT594" s="248"/>
      <c r="AU594" s="152"/>
      <c r="AV594" s="152"/>
      <c r="AW594" s="152"/>
      <c r="AX594" s="152"/>
      <c r="AY594" s="152"/>
      <c r="AZ594" s="152"/>
      <c r="BA594" s="152"/>
      <c r="BB594" s="152"/>
      <c r="BC594" s="152"/>
      <c r="BD594" s="152"/>
      <c r="BE594" s="152"/>
      <c r="BF594" s="152"/>
      <c r="BG594" s="152"/>
      <c r="BH594" s="152"/>
      <c r="BI594" s="152"/>
      <c r="BJ594" s="152"/>
      <c r="BK594" s="152"/>
      <c r="BL594" s="152"/>
      <c r="BM594" s="152"/>
      <c r="BN594" s="152"/>
      <c r="BO594" s="152"/>
      <c r="BP594" s="152"/>
      <c r="BQ594" s="152"/>
      <c r="BR594" s="152"/>
      <c r="BS594" s="152"/>
      <c r="BT594" s="152"/>
      <c r="BU594" s="152"/>
      <c r="BV594" s="152"/>
      <c r="BW594" s="152"/>
      <c r="BX594" s="152"/>
      <c r="BY594" s="152"/>
      <c r="BZ594" s="152"/>
      <c r="CA594" s="152"/>
      <c r="CB594" s="152"/>
      <c r="CC594" s="152"/>
      <c r="CD594" s="152"/>
      <c r="CE594" s="152"/>
      <c r="CF594" s="152"/>
      <c r="CG594" s="252"/>
    </row>
    <row r="595" spans="1:85" s="250" customFormat="1" ht="13.9" customHeight="1" x14ac:dyDescent="0.2">
      <c r="A595" s="251" t="s">
        <v>158</v>
      </c>
      <c r="B595" s="147">
        <v>70</v>
      </c>
      <c r="C595" s="244" t="s">
        <v>583</v>
      </c>
      <c r="D595" s="154" t="s">
        <v>159</v>
      </c>
      <c r="E595" s="155"/>
      <c r="F595" s="155">
        <v>305440000</v>
      </c>
      <c r="G595" s="155"/>
      <c r="H595" s="154" t="s">
        <v>745</v>
      </c>
      <c r="I595" s="244" t="s">
        <v>727</v>
      </c>
      <c r="J595" s="147">
        <v>1</v>
      </c>
      <c r="K595" s="147">
        <v>1</v>
      </c>
      <c r="L595" s="147">
        <v>12</v>
      </c>
      <c r="M595" s="132">
        <f t="shared" si="98"/>
        <v>1</v>
      </c>
      <c r="N595" s="140" t="s">
        <v>36</v>
      </c>
      <c r="O595" s="141" t="str">
        <f>IF(ISBLANK(N595),"",VLOOKUP(N595,[25]Parámetros!$G$2:$H$23,2,FALSE))</f>
        <v xml:space="preserve">Contratación directa (con ofertas) </v>
      </c>
      <c r="P595" s="245">
        <f t="shared" si="108"/>
        <v>1</v>
      </c>
      <c r="Q595" s="143">
        <f t="shared" si="99"/>
        <v>305440000</v>
      </c>
      <c r="R595" s="143">
        <f t="shared" si="100"/>
        <v>305440000</v>
      </c>
      <c r="S595" s="246" t="s">
        <v>222</v>
      </c>
      <c r="T595" s="245">
        <f t="shared" si="105"/>
        <v>0</v>
      </c>
      <c r="U595" s="145" t="str">
        <f t="shared" si="101"/>
        <v>SUBDIRECCION DE GESTION CONTRACTUAL</v>
      </c>
      <c r="V595" s="245" t="str">
        <f t="shared" si="106"/>
        <v>CO-DC</v>
      </c>
      <c r="W595" s="245" t="str">
        <f t="shared" si="107"/>
        <v>Distrito Capital de Bogotá</v>
      </c>
      <c r="X595" s="154" t="s">
        <v>553</v>
      </c>
      <c r="Y595" s="147">
        <v>2427400</v>
      </c>
      <c r="Z595" s="157" t="s">
        <v>160</v>
      </c>
      <c r="AA595" s="248"/>
      <c r="AB595" s="248"/>
      <c r="AC595" s="248"/>
      <c r="AD595" s="248"/>
      <c r="AE595" s="248"/>
      <c r="AF595" s="248"/>
      <c r="AG595" s="248"/>
      <c r="AH595" s="248"/>
      <c r="AI595" s="248"/>
      <c r="AJ595" s="248"/>
      <c r="AK595" s="248"/>
      <c r="AL595" s="248"/>
      <c r="AM595" s="248"/>
      <c r="AN595" s="248"/>
      <c r="AO595" s="248"/>
      <c r="AP595" s="248"/>
      <c r="AQ595" s="248"/>
      <c r="AR595" s="248"/>
      <c r="AS595" s="248"/>
      <c r="AT595" s="248"/>
      <c r="AU595" s="152"/>
      <c r="AV595" s="152"/>
      <c r="AW595" s="152"/>
      <c r="AX595" s="152"/>
      <c r="AY595" s="152"/>
      <c r="AZ595" s="152"/>
      <c r="BA595" s="152"/>
      <c r="BB595" s="152"/>
      <c r="BC595" s="152"/>
      <c r="BD595" s="152"/>
      <c r="BE595" s="152"/>
      <c r="BF595" s="152"/>
      <c r="BG595" s="152"/>
      <c r="BH595" s="152"/>
      <c r="BI595" s="152"/>
      <c r="BJ595" s="152"/>
      <c r="BK595" s="152"/>
      <c r="BL595" s="152"/>
      <c r="BM595" s="152"/>
      <c r="BN595" s="152"/>
      <c r="BO595" s="152"/>
      <c r="BP595" s="152"/>
      <c r="BQ595" s="152"/>
      <c r="BR595" s="152"/>
      <c r="BS595" s="152"/>
      <c r="BT595" s="152"/>
      <c r="BU595" s="152"/>
      <c r="BV595" s="152"/>
      <c r="BW595" s="152"/>
      <c r="BX595" s="152"/>
      <c r="BY595" s="152"/>
      <c r="BZ595" s="152"/>
      <c r="CA595" s="152"/>
      <c r="CB595" s="152"/>
      <c r="CC595" s="152"/>
      <c r="CD595" s="152"/>
      <c r="CE595" s="152"/>
      <c r="CF595" s="152"/>
      <c r="CG595" s="252"/>
    </row>
    <row r="596" spans="1:85" s="250" customFormat="1" ht="13.9" customHeight="1" x14ac:dyDescent="0.2">
      <c r="A596" s="251" t="s">
        <v>158</v>
      </c>
      <c r="B596" s="147">
        <v>71</v>
      </c>
      <c r="C596" s="244" t="s">
        <v>583</v>
      </c>
      <c r="D596" s="154" t="s">
        <v>159</v>
      </c>
      <c r="E596" s="155"/>
      <c r="F596" s="155">
        <v>305440000</v>
      </c>
      <c r="G596" s="155"/>
      <c r="H596" s="154" t="s">
        <v>745</v>
      </c>
      <c r="I596" s="244" t="s">
        <v>728</v>
      </c>
      <c r="J596" s="147">
        <v>1</v>
      </c>
      <c r="K596" s="147">
        <v>1</v>
      </c>
      <c r="L596" s="147">
        <v>12</v>
      </c>
      <c r="M596" s="132">
        <f t="shared" si="98"/>
        <v>1</v>
      </c>
      <c r="N596" s="140" t="s">
        <v>36</v>
      </c>
      <c r="O596" s="141" t="str">
        <f>IF(ISBLANK(N596),"",VLOOKUP(N596,[25]Parámetros!$G$2:$H$23,2,FALSE))</f>
        <v xml:space="preserve">Contratación directa (con ofertas) </v>
      </c>
      <c r="P596" s="245">
        <f t="shared" si="108"/>
        <v>1</v>
      </c>
      <c r="Q596" s="143">
        <f t="shared" si="99"/>
        <v>305440000</v>
      </c>
      <c r="R596" s="143">
        <f t="shared" si="100"/>
        <v>305440000</v>
      </c>
      <c r="S596" s="246" t="s">
        <v>222</v>
      </c>
      <c r="T596" s="245">
        <f t="shared" si="105"/>
        <v>0</v>
      </c>
      <c r="U596" s="145" t="str">
        <f t="shared" si="101"/>
        <v>SUBDIRECCION DE GESTION CONTRACTUAL</v>
      </c>
      <c r="V596" s="245" t="str">
        <f t="shared" si="106"/>
        <v>CO-DC</v>
      </c>
      <c r="W596" s="245" t="str">
        <f t="shared" si="107"/>
        <v>Distrito Capital de Bogotá</v>
      </c>
      <c r="X596" s="154" t="s">
        <v>553</v>
      </c>
      <c r="Y596" s="147">
        <v>2427400</v>
      </c>
      <c r="Z596" s="157" t="s">
        <v>160</v>
      </c>
      <c r="AA596" s="248"/>
      <c r="AB596" s="248"/>
      <c r="AC596" s="248"/>
      <c r="AD596" s="248"/>
      <c r="AE596" s="248"/>
      <c r="AF596" s="248"/>
      <c r="AG596" s="248"/>
      <c r="AH596" s="248"/>
      <c r="AI596" s="248"/>
      <c r="AJ596" s="248"/>
      <c r="AK596" s="248"/>
      <c r="AL596" s="248"/>
      <c r="AM596" s="248"/>
      <c r="AN596" s="248"/>
      <c r="AO596" s="248"/>
      <c r="AP596" s="248"/>
      <c r="AQ596" s="248"/>
      <c r="AR596" s="248"/>
      <c r="AS596" s="248"/>
      <c r="AT596" s="248"/>
      <c r="AU596" s="152"/>
      <c r="AV596" s="152"/>
      <c r="AW596" s="152"/>
      <c r="AX596" s="152"/>
      <c r="AY596" s="152"/>
      <c r="AZ596" s="152"/>
      <c r="BA596" s="152"/>
      <c r="BB596" s="152"/>
      <c r="BC596" s="152"/>
      <c r="BD596" s="152"/>
      <c r="BE596" s="152"/>
      <c r="BF596" s="152"/>
      <c r="BG596" s="152"/>
      <c r="BH596" s="152"/>
      <c r="BI596" s="152"/>
      <c r="BJ596" s="152"/>
      <c r="BK596" s="152"/>
      <c r="BL596" s="152"/>
      <c r="BM596" s="152"/>
      <c r="BN596" s="152"/>
      <c r="BO596" s="152"/>
      <c r="BP596" s="152"/>
      <c r="BQ596" s="152"/>
      <c r="BR596" s="152"/>
      <c r="BS596" s="152"/>
      <c r="BT596" s="152"/>
      <c r="BU596" s="152"/>
      <c r="BV596" s="152"/>
      <c r="BW596" s="152"/>
      <c r="BX596" s="152"/>
      <c r="BY596" s="152"/>
      <c r="BZ596" s="152"/>
      <c r="CA596" s="152"/>
      <c r="CB596" s="152"/>
      <c r="CC596" s="152"/>
      <c r="CD596" s="152"/>
      <c r="CE596" s="152"/>
      <c r="CF596" s="152"/>
      <c r="CG596" s="252"/>
    </row>
    <row r="597" spans="1:85" s="250" customFormat="1" ht="13.9" customHeight="1" x14ac:dyDescent="0.2">
      <c r="A597" s="251" t="s">
        <v>158</v>
      </c>
      <c r="B597" s="147">
        <v>72</v>
      </c>
      <c r="C597" s="244" t="s">
        <v>583</v>
      </c>
      <c r="D597" s="154" t="s">
        <v>159</v>
      </c>
      <c r="E597" s="155"/>
      <c r="F597" s="155">
        <v>250000000</v>
      </c>
      <c r="G597" s="155"/>
      <c r="H597" s="154" t="s">
        <v>745</v>
      </c>
      <c r="I597" s="244" t="s">
        <v>729</v>
      </c>
      <c r="J597" s="147">
        <v>1</v>
      </c>
      <c r="K597" s="147">
        <v>1</v>
      </c>
      <c r="L597" s="147">
        <v>12</v>
      </c>
      <c r="M597" s="132">
        <f t="shared" si="98"/>
        <v>1</v>
      </c>
      <c r="N597" s="140" t="s">
        <v>36</v>
      </c>
      <c r="O597" s="141" t="str">
        <f>IF(ISBLANK(N597),"",VLOOKUP(N597,[25]Parámetros!$G$2:$H$23,2,FALSE))</f>
        <v xml:space="preserve">Contratación directa (con ofertas) </v>
      </c>
      <c r="P597" s="245">
        <f t="shared" si="108"/>
        <v>1</v>
      </c>
      <c r="Q597" s="143">
        <f t="shared" si="99"/>
        <v>250000000</v>
      </c>
      <c r="R597" s="143">
        <f t="shared" si="100"/>
        <v>250000000</v>
      </c>
      <c r="S597" s="246" t="s">
        <v>222</v>
      </c>
      <c r="T597" s="245">
        <f t="shared" si="105"/>
        <v>0</v>
      </c>
      <c r="U597" s="145" t="str">
        <f t="shared" si="101"/>
        <v>SUBDIRECCION DE GESTION CONTRACTUAL</v>
      </c>
      <c r="V597" s="245" t="str">
        <f t="shared" si="106"/>
        <v>CO-DC</v>
      </c>
      <c r="W597" s="245" t="str">
        <f t="shared" si="107"/>
        <v>Distrito Capital de Bogotá</v>
      </c>
      <c r="X597" s="154" t="s">
        <v>553</v>
      </c>
      <c r="Y597" s="147">
        <v>2427400</v>
      </c>
      <c r="Z597" s="157" t="s">
        <v>160</v>
      </c>
      <c r="AA597" s="248"/>
      <c r="AB597" s="248"/>
      <c r="AC597" s="248"/>
      <c r="AD597" s="248"/>
      <c r="AE597" s="248"/>
      <c r="AF597" s="248"/>
      <c r="AG597" s="248"/>
      <c r="AH597" s="248"/>
      <c r="AI597" s="248"/>
      <c r="AJ597" s="248"/>
      <c r="AK597" s="248"/>
      <c r="AL597" s="248"/>
      <c r="AM597" s="248"/>
      <c r="AN597" s="248"/>
      <c r="AO597" s="248"/>
      <c r="AP597" s="248"/>
      <c r="AQ597" s="248"/>
      <c r="AR597" s="248"/>
      <c r="AS597" s="248"/>
      <c r="AT597" s="248"/>
      <c r="AU597" s="152"/>
      <c r="AV597" s="152"/>
      <c r="AW597" s="152"/>
      <c r="AX597" s="152"/>
      <c r="AY597" s="152"/>
      <c r="AZ597" s="152"/>
      <c r="BA597" s="152"/>
      <c r="BB597" s="152"/>
      <c r="BC597" s="152"/>
      <c r="BD597" s="152"/>
      <c r="BE597" s="152"/>
      <c r="BF597" s="152"/>
      <c r="BG597" s="152"/>
      <c r="BH597" s="152"/>
      <c r="BI597" s="152"/>
      <c r="BJ597" s="152"/>
      <c r="BK597" s="152"/>
      <c r="BL597" s="152"/>
      <c r="BM597" s="152"/>
      <c r="BN597" s="152"/>
      <c r="BO597" s="152"/>
      <c r="BP597" s="152"/>
      <c r="BQ597" s="152"/>
      <c r="BR597" s="152"/>
      <c r="BS597" s="152"/>
      <c r="BT597" s="152"/>
      <c r="BU597" s="152"/>
      <c r="BV597" s="152"/>
      <c r="BW597" s="152"/>
      <c r="BX597" s="152"/>
      <c r="BY597" s="152"/>
      <c r="BZ597" s="152"/>
      <c r="CA597" s="152"/>
      <c r="CB597" s="152"/>
      <c r="CC597" s="152"/>
      <c r="CD597" s="152"/>
      <c r="CE597" s="152"/>
      <c r="CF597" s="152"/>
      <c r="CG597" s="252"/>
    </row>
    <row r="598" spans="1:85" s="250" customFormat="1" ht="13.9" customHeight="1" x14ac:dyDescent="0.2">
      <c r="A598" s="251" t="s">
        <v>158</v>
      </c>
      <c r="B598" s="147">
        <v>73</v>
      </c>
      <c r="C598" s="244" t="s">
        <v>583</v>
      </c>
      <c r="D598" s="154" t="s">
        <v>159</v>
      </c>
      <c r="E598" s="155"/>
      <c r="F598" s="155">
        <v>250000000</v>
      </c>
      <c r="G598" s="155"/>
      <c r="H598" s="154" t="s">
        <v>745</v>
      </c>
      <c r="I598" s="244" t="s">
        <v>730</v>
      </c>
      <c r="J598" s="147">
        <v>1</v>
      </c>
      <c r="K598" s="147">
        <v>1</v>
      </c>
      <c r="L598" s="147">
        <v>12</v>
      </c>
      <c r="M598" s="132">
        <f t="shared" si="98"/>
        <v>1</v>
      </c>
      <c r="N598" s="140" t="s">
        <v>36</v>
      </c>
      <c r="O598" s="141" t="str">
        <f>IF(ISBLANK(N598),"",VLOOKUP(N598,[25]Parámetros!$G$2:$H$23,2,FALSE))</f>
        <v xml:space="preserve">Contratación directa (con ofertas) </v>
      </c>
      <c r="P598" s="245">
        <f t="shared" si="108"/>
        <v>1</v>
      </c>
      <c r="Q598" s="143">
        <f t="shared" si="99"/>
        <v>250000000</v>
      </c>
      <c r="R598" s="143">
        <f t="shared" si="100"/>
        <v>250000000</v>
      </c>
      <c r="S598" s="246" t="s">
        <v>222</v>
      </c>
      <c r="T598" s="245">
        <f t="shared" si="105"/>
        <v>0</v>
      </c>
      <c r="U598" s="145" t="str">
        <f t="shared" si="101"/>
        <v>SUBDIRECCION DE GESTION CONTRACTUAL</v>
      </c>
      <c r="V598" s="245" t="str">
        <f t="shared" si="106"/>
        <v>CO-DC</v>
      </c>
      <c r="W598" s="245" t="str">
        <f t="shared" si="107"/>
        <v>Distrito Capital de Bogotá</v>
      </c>
      <c r="X598" s="154" t="s">
        <v>553</v>
      </c>
      <c r="Y598" s="147">
        <v>2427400</v>
      </c>
      <c r="Z598" s="157" t="s">
        <v>160</v>
      </c>
      <c r="AA598" s="248"/>
      <c r="AB598" s="248"/>
      <c r="AC598" s="248"/>
      <c r="AD598" s="248"/>
      <c r="AE598" s="248"/>
      <c r="AF598" s="248"/>
      <c r="AG598" s="248"/>
      <c r="AH598" s="248"/>
      <c r="AI598" s="248"/>
      <c r="AJ598" s="248"/>
      <c r="AK598" s="248"/>
      <c r="AL598" s="248"/>
      <c r="AM598" s="248"/>
      <c r="AN598" s="248"/>
      <c r="AO598" s="248"/>
      <c r="AP598" s="248"/>
      <c r="AQ598" s="248"/>
      <c r="AR598" s="248"/>
      <c r="AS598" s="248"/>
      <c r="AT598" s="248"/>
      <c r="AU598" s="152"/>
      <c r="AV598" s="152"/>
      <c r="AW598" s="152"/>
      <c r="AX598" s="152"/>
      <c r="AY598" s="152"/>
      <c r="AZ598" s="152"/>
      <c r="BA598" s="152"/>
      <c r="BB598" s="152"/>
      <c r="BC598" s="152"/>
      <c r="BD598" s="152"/>
      <c r="BE598" s="152"/>
      <c r="BF598" s="152"/>
      <c r="BG598" s="152"/>
      <c r="BH598" s="152"/>
      <c r="BI598" s="152"/>
      <c r="BJ598" s="152"/>
      <c r="BK598" s="152"/>
      <c r="BL598" s="152"/>
      <c r="BM598" s="152"/>
      <c r="BN598" s="152"/>
      <c r="BO598" s="152"/>
      <c r="BP598" s="152"/>
      <c r="BQ598" s="152"/>
      <c r="BR598" s="152"/>
      <c r="BS598" s="152"/>
      <c r="BT598" s="152"/>
      <c r="BU598" s="152"/>
      <c r="BV598" s="152"/>
      <c r="BW598" s="152"/>
      <c r="BX598" s="152"/>
      <c r="BY598" s="152"/>
      <c r="BZ598" s="152"/>
      <c r="CA598" s="152"/>
      <c r="CB598" s="152"/>
      <c r="CC598" s="152"/>
      <c r="CD598" s="152"/>
      <c r="CE598" s="152"/>
      <c r="CF598" s="152"/>
      <c r="CG598" s="252"/>
    </row>
    <row r="599" spans="1:85" s="250" customFormat="1" ht="13.9" customHeight="1" x14ac:dyDescent="0.2">
      <c r="A599" s="251" t="s">
        <v>158</v>
      </c>
      <c r="B599" s="147">
        <v>74</v>
      </c>
      <c r="C599" s="244" t="s">
        <v>583</v>
      </c>
      <c r="D599" s="154" t="s">
        <v>159</v>
      </c>
      <c r="E599" s="155"/>
      <c r="F599" s="155">
        <v>700000000</v>
      </c>
      <c r="G599" s="155"/>
      <c r="H599" s="154" t="s">
        <v>745</v>
      </c>
      <c r="I599" s="244" t="s">
        <v>732</v>
      </c>
      <c r="J599" s="147">
        <v>1</v>
      </c>
      <c r="K599" s="147">
        <v>1</v>
      </c>
      <c r="L599" s="147">
        <v>12</v>
      </c>
      <c r="M599" s="132">
        <f t="shared" si="98"/>
        <v>1</v>
      </c>
      <c r="N599" s="140" t="s">
        <v>36</v>
      </c>
      <c r="O599" s="141" t="str">
        <f>IF(ISBLANK(N599),"",VLOOKUP(N599,[25]Parámetros!$G$2:$H$23,2,FALSE))</f>
        <v xml:space="preserve">Contratación directa (con ofertas) </v>
      </c>
      <c r="P599" s="245">
        <f t="shared" si="108"/>
        <v>1</v>
      </c>
      <c r="Q599" s="143">
        <f t="shared" si="99"/>
        <v>700000000</v>
      </c>
      <c r="R599" s="143">
        <f t="shared" si="100"/>
        <v>700000000</v>
      </c>
      <c r="S599" s="246" t="s">
        <v>222</v>
      </c>
      <c r="T599" s="245">
        <f t="shared" si="105"/>
        <v>0</v>
      </c>
      <c r="U599" s="145" t="str">
        <f t="shared" si="101"/>
        <v>SUBDIRECCION DE GESTION CONTRACTUAL</v>
      </c>
      <c r="V599" s="245" t="str">
        <f t="shared" si="106"/>
        <v>CO-DC</v>
      </c>
      <c r="W599" s="245" t="str">
        <f t="shared" si="107"/>
        <v>Distrito Capital de Bogotá</v>
      </c>
      <c r="X599" s="154" t="s">
        <v>553</v>
      </c>
      <c r="Y599" s="147">
        <v>2427400</v>
      </c>
      <c r="Z599" s="157" t="s">
        <v>160</v>
      </c>
      <c r="AA599" s="248"/>
      <c r="AB599" s="248"/>
      <c r="AC599" s="248"/>
      <c r="AD599" s="248"/>
      <c r="AE599" s="248"/>
      <c r="AF599" s="248"/>
      <c r="AG599" s="248"/>
      <c r="AH599" s="248"/>
      <c r="AI599" s="248"/>
      <c r="AJ599" s="248"/>
      <c r="AK599" s="248"/>
      <c r="AL599" s="248"/>
      <c r="AM599" s="248"/>
      <c r="AN599" s="248"/>
      <c r="AO599" s="248"/>
      <c r="AP599" s="248"/>
      <c r="AQ599" s="248"/>
      <c r="AR599" s="248"/>
      <c r="AS599" s="248"/>
      <c r="AT599" s="248"/>
      <c r="AU599" s="152"/>
      <c r="AV599" s="152"/>
      <c r="AW599" s="152"/>
      <c r="AX599" s="152"/>
      <c r="AY599" s="152"/>
      <c r="AZ599" s="152"/>
      <c r="BA599" s="152"/>
      <c r="BB599" s="152"/>
      <c r="BC599" s="152"/>
      <c r="BD599" s="152"/>
      <c r="BE599" s="152"/>
      <c r="BF599" s="152"/>
      <c r="BG599" s="152"/>
      <c r="BH599" s="152"/>
      <c r="BI599" s="152"/>
      <c r="BJ599" s="152"/>
      <c r="BK599" s="152"/>
      <c r="BL599" s="152"/>
      <c r="BM599" s="152"/>
      <c r="BN599" s="152"/>
      <c r="BO599" s="152"/>
      <c r="BP599" s="152"/>
      <c r="BQ599" s="152"/>
      <c r="BR599" s="152"/>
      <c r="BS599" s="152"/>
      <c r="BT599" s="152"/>
      <c r="BU599" s="152"/>
      <c r="BV599" s="152"/>
      <c r="BW599" s="152"/>
      <c r="BX599" s="152"/>
      <c r="BY599" s="152"/>
      <c r="BZ599" s="152"/>
      <c r="CA599" s="152"/>
      <c r="CB599" s="152"/>
      <c r="CC599" s="152"/>
      <c r="CD599" s="152"/>
      <c r="CE599" s="152"/>
      <c r="CF599" s="152"/>
      <c r="CG599" s="252"/>
    </row>
    <row r="600" spans="1:85" s="250" customFormat="1" ht="13.9" customHeight="1" x14ac:dyDescent="0.2">
      <c r="A600" s="251" t="s">
        <v>158</v>
      </c>
      <c r="B600" s="147">
        <v>75</v>
      </c>
      <c r="C600" s="244" t="s">
        <v>583</v>
      </c>
      <c r="D600" s="154" t="s">
        <v>159</v>
      </c>
      <c r="E600" s="155"/>
      <c r="F600" s="155">
        <v>250000000</v>
      </c>
      <c r="G600" s="155"/>
      <c r="H600" s="154" t="s">
        <v>745</v>
      </c>
      <c r="I600" s="244" t="s">
        <v>731</v>
      </c>
      <c r="J600" s="147">
        <v>1</v>
      </c>
      <c r="K600" s="147">
        <v>1</v>
      </c>
      <c r="L600" s="147">
        <v>12</v>
      </c>
      <c r="M600" s="132">
        <f t="shared" si="98"/>
        <v>1</v>
      </c>
      <c r="N600" s="140" t="s">
        <v>36</v>
      </c>
      <c r="O600" s="141" t="str">
        <f>IF(ISBLANK(N600),"",VLOOKUP(N600,[25]Parámetros!$G$2:$H$23,2,FALSE))</f>
        <v xml:space="preserve">Contratación directa (con ofertas) </v>
      </c>
      <c r="P600" s="245">
        <f t="shared" si="108"/>
        <v>1</v>
      </c>
      <c r="Q600" s="143">
        <f t="shared" si="99"/>
        <v>250000000</v>
      </c>
      <c r="R600" s="143">
        <f t="shared" si="100"/>
        <v>250000000</v>
      </c>
      <c r="S600" s="246" t="s">
        <v>222</v>
      </c>
      <c r="T600" s="245">
        <f t="shared" si="105"/>
        <v>0</v>
      </c>
      <c r="U600" s="145" t="str">
        <f t="shared" si="101"/>
        <v>SUBDIRECCION DE GESTION CONTRACTUAL</v>
      </c>
      <c r="V600" s="245" t="str">
        <f t="shared" si="106"/>
        <v>CO-DC</v>
      </c>
      <c r="W600" s="245" t="str">
        <f t="shared" si="107"/>
        <v>Distrito Capital de Bogotá</v>
      </c>
      <c r="X600" s="154" t="s">
        <v>553</v>
      </c>
      <c r="Y600" s="147">
        <v>2427400</v>
      </c>
      <c r="Z600" s="157" t="s">
        <v>160</v>
      </c>
      <c r="AA600" s="248"/>
      <c r="AB600" s="248"/>
      <c r="AC600" s="248"/>
      <c r="AD600" s="248"/>
      <c r="AE600" s="248"/>
      <c r="AF600" s="248"/>
      <c r="AG600" s="248"/>
      <c r="AH600" s="248"/>
      <c r="AI600" s="248"/>
      <c r="AJ600" s="248"/>
      <c r="AK600" s="248"/>
      <c r="AL600" s="248"/>
      <c r="AM600" s="248"/>
      <c r="AN600" s="248"/>
      <c r="AO600" s="248"/>
      <c r="AP600" s="248"/>
      <c r="AQ600" s="248"/>
      <c r="AR600" s="248"/>
      <c r="AS600" s="248"/>
      <c r="AT600" s="248"/>
      <c r="AU600" s="152"/>
      <c r="AV600" s="152"/>
      <c r="AW600" s="152"/>
      <c r="AX600" s="152"/>
      <c r="AY600" s="152"/>
      <c r="AZ600" s="152"/>
      <c r="BA600" s="152"/>
      <c r="BB600" s="152"/>
      <c r="BC600" s="152"/>
      <c r="BD600" s="152"/>
      <c r="BE600" s="152"/>
      <c r="BF600" s="152"/>
      <c r="BG600" s="152"/>
      <c r="BH600" s="152"/>
      <c r="BI600" s="152"/>
      <c r="BJ600" s="152"/>
      <c r="BK600" s="152"/>
      <c r="BL600" s="152"/>
      <c r="BM600" s="152"/>
      <c r="BN600" s="152"/>
      <c r="BO600" s="152"/>
      <c r="BP600" s="152"/>
      <c r="BQ600" s="152"/>
      <c r="BR600" s="152"/>
      <c r="BS600" s="152"/>
      <c r="BT600" s="152"/>
      <c r="BU600" s="152"/>
      <c r="BV600" s="152"/>
      <c r="BW600" s="152"/>
      <c r="BX600" s="152"/>
      <c r="BY600" s="152"/>
      <c r="BZ600" s="152"/>
      <c r="CA600" s="152"/>
      <c r="CB600" s="152"/>
      <c r="CC600" s="152"/>
      <c r="CD600" s="152"/>
      <c r="CE600" s="152"/>
      <c r="CF600" s="152"/>
      <c r="CG600" s="252"/>
    </row>
    <row r="601" spans="1:85" s="250" customFormat="1" ht="13.9" customHeight="1" x14ac:dyDescent="0.2">
      <c r="A601" s="251" t="s">
        <v>158</v>
      </c>
      <c r="B601" s="147">
        <v>76</v>
      </c>
      <c r="C601" s="244" t="s">
        <v>583</v>
      </c>
      <c r="D601" s="154" t="s">
        <v>159</v>
      </c>
      <c r="E601" s="155"/>
      <c r="F601" s="155">
        <v>205000000</v>
      </c>
      <c r="G601" s="155"/>
      <c r="H601" s="154" t="s">
        <v>745</v>
      </c>
      <c r="I601" s="244" t="s">
        <v>733</v>
      </c>
      <c r="J601" s="147">
        <v>1</v>
      </c>
      <c r="K601" s="147">
        <v>1</v>
      </c>
      <c r="L601" s="147">
        <v>12</v>
      </c>
      <c r="M601" s="132">
        <f t="shared" si="98"/>
        <v>1</v>
      </c>
      <c r="N601" s="140" t="s">
        <v>36</v>
      </c>
      <c r="O601" s="141" t="str">
        <f>IF(ISBLANK(N601),"",VLOOKUP(N601,[25]Parámetros!$G$2:$H$23,2,FALSE))</f>
        <v xml:space="preserve">Contratación directa (con ofertas) </v>
      </c>
      <c r="P601" s="245">
        <f t="shared" si="108"/>
        <v>1</v>
      </c>
      <c r="Q601" s="143">
        <f t="shared" si="99"/>
        <v>205000000</v>
      </c>
      <c r="R601" s="143">
        <f t="shared" si="100"/>
        <v>205000000</v>
      </c>
      <c r="S601" s="246" t="s">
        <v>222</v>
      </c>
      <c r="T601" s="245">
        <f t="shared" ref="T601:T632" si="109">IF(ISBLANK(S601),"",IF(VALUE(S601)=0,0,IF(VALUE(S601)=1,3,"")))</f>
        <v>0</v>
      </c>
      <c r="U601" s="145" t="str">
        <f t="shared" si="101"/>
        <v>SUBDIRECCION DE GESTION CONTRACTUAL</v>
      </c>
      <c r="V601" s="245" t="str">
        <f t="shared" si="106"/>
        <v>CO-DC</v>
      </c>
      <c r="W601" s="245" t="str">
        <f t="shared" si="107"/>
        <v>Distrito Capital de Bogotá</v>
      </c>
      <c r="X601" s="154" t="s">
        <v>553</v>
      </c>
      <c r="Y601" s="147">
        <v>2427400</v>
      </c>
      <c r="Z601" s="157" t="s">
        <v>160</v>
      </c>
      <c r="AA601" s="248"/>
      <c r="AB601" s="248"/>
      <c r="AC601" s="248"/>
      <c r="AD601" s="248"/>
      <c r="AE601" s="248"/>
      <c r="AF601" s="248"/>
      <c r="AG601" s="248"/>
      <c r="AH601" s="248"/>
      <c r="AI601" s="248"/>
      <c r="AJ601" s="248"/>
      <c r="AK601" s="248"/>
      <c r="AL601" s="248"/>
      <c r="AM601" s="248"/>
      <c r="AN601" s="248"/>
      <c r="AO601" s="248"/>
      <c r="AP601" s="248"/>
      <c r="AQ601" s="248"/>
      <c r="AR601" s="248"/>
      <c r="AS601" s="248"/>
      <c r="AT601" s="248"/>
      <c r="AU601" s="152"/>
      <c r="AV601" s="152"/>
      <c r="AW601" s="152"/>
      <c r="AX601" s="152"/>
      <c r="AY601" s="152"/>
      <c r="AZ601" s="152"/>
      <c r="BA601" s="152"/>
      <c r="BB601" s="152"/>
      <c r="BC601" s="152"/>
      <c r="BD601" s="152"/>
      <c r="BE601" s="152"/>
      <c r="BF601" s="152"/>
      <c r="BG601" s="152"/>
      <c r="BH601" s="152"/>
      <c r="BI601" s="152"/>
      <c r="BJ601" s="152"/>
      <c r="BK601" s="152"/>
      <c r="BL601" s="152"/>
      <c r="BM601" s="152"/>
      <c r="BN601" s="152"/>
      <c r="BO601" s="152"/>
      <c r="BP601" s="152"/>
      <c r="BQ601" s="152"/>
      <c r="BR601" s="152"/>
      <c r="BS601" s="152"/>
      <c r="BT601" s="152"/>
      <c r="BU601" s="152"/>
      <c r="BV601" s="152"/>
      <c r="BW601" s="152"/>
      <c r="BX601" s="152"/>
      <c r="BY601" s="152"/>
      <c r="BZ601" s="152"/>
      <c r="CA601" s="152"/>
      <c r="CB601" s="152"/>
      <c r="CC601" s="152"/>
      <c r="CD601" s="152"/>
      <c r="CE601" s="152"/>
      <c r="CF601" s="152"/>
      <c r="CG601" s="252"/>
    </row>
    <row r="602" spans="1:85" s="250" customFormat="1" ht="13.9" customHeight="1" x14ac:dyDescent="0.2">
      <c r="A602" s="251" t="s">
        <v>158</v>
      </c>
      <c r="B602" s="147">
        <v>77</v>
      </c>
      <c r="C602" s="244" t="s">
        <v>583</v>
      </c>
      <c r="D602" s="154" t="s">
        <v>159</v>
      </c>
      <c r="E602" s="155"/>
      <c r="F602" s="155">
        <v>250000000</v>
      </c>
      <c r="G602" s="155"/>
      <c r="H602" s="154" t="s">
        <v>745</v>
      </c>
      <c r="I602" s="244" t="s">
        <v>684</v>
      </c>
      <c r="J602" s="147">
        <v>1</v>
      </c>
      <c r="K602" s="147">
        <v>1</v>
      </c>
      <c r="L602" s="147">
        <v>12</v>
      </c>
      <c r="M602" s="132">
        <f t="shared" si="98"/>
        <v>1</v>
      </c>
      <c r="N602" s="140" t="s">
        <v>36</v>
      </c>
      <c r="O602" s="141" t="str">
        <f>IF(ISBLANK(N602),"",VLOOKUP(N602,[25]Parámetros!$G$2:$H$23,2,FALSE))</f>
        <v xml:space="preserve">Contratación directa (con ofertas) </v>
      </c>
      <c r="P602" s="245">
        <f t="shared" si="108"/>
        <v>1</v>
      </c>
      <c r="Q602" s="143">
        <f t="shared" si="99"/>
        <v>250000000</v>
      </c>
      <c r="R602" s="143">
        <f t="shared" si="100"/>
        <v>250000000</v>
      </c>
      <c r="S602" s="246" t="s">
        <v>222</v>
      </c>
      <c r="T602" s="245">
        <f t="shared" si="109"/>
        <v>0</v>
      </c>
      <c r="U602" s="145" t="str">
        <f t="shared" si="101"/>
        <v>SUBDIRECCION DE GESTION CONTRACTUAL</v>
      </c>
      <c r="V602" s="245" t="str">
        <f t="shared" si="106"/>
        <v>CO-DC</v>
      </c>
      <c r="W602" s="245" t="str">
        <f t="shared" si="107"/>
        <v>Distrito Capital de Bogotá</v>
      </c>
      <c r="X602" s="154" t="s">
        <v>553</v>
      </c>
      <c r="Y602" s="147">
        <v>2427400</v>
      </c>
      <c r="Z602" s="157" t="s">
        <v>160</v>
      </c>
      <c r="AA602" s="248"/>
      <c r="AB602" s="248"/>
      <c r="AC602" s="248"/>
      <c r="AD602" s="248"/>
      <c r="AE602" s="248"/>
      <c r="AF602" s="248"/>
      <c r="AG602" s="248"/>
      <c r="AH602" s="248"/>
      <c r="AI602" s="248"/>
      <c r="AJ602" s="248"/>
      <c r="AK602" s="248"/>
      <c r="AL602" s="248"/>
      <c r="AM602" s="248"/>
      <c r="AN602" s="248"/>
      <c r="AO602" s="248"/>
      <c r="AP602" s="248"/>
      <c r="AQ602" s="248"/>
      <c r="AR602" s="248"/>
      <c r="AS602" s="248"/>
      <c r="AT602" s="248"/>
      <c r="AU602" s="152"/>
      <c r="AV602" s="152"/>
      <c r="AW602" s="152"/>
      <c r="AX602" s="152"/>
      <c r="AY602" s="152"/>
      <c r="AZ602" s="152"/>
      <c r="BA602" s="152"/>
      <c r="BB602" s="152"/>
      <c r="BC602" s="152"/>
      <c r="BD602" s="152"/>
      <c r="BE602" s="152"/>
      <c r="BF602" s="152"/>
      <c r="BG602" s="152"/>
      <c r="BH602" s="152"/>
      <c r="BI602" s="152"/>
      <c r="BJ602" s="152"/>
      <c r="BK602" s="152"/>
      <c r="BL602" s="152"/>
      <c r="BM602" s="152"/>
      <c r="BN602" s="152"/>
      <c r="BO602" s="152"/>
      <c r="BP602" s="152"/>
      <c r="BQ602" s="152"/>
      <c r="BR602" s="152"/>
      <c r="BS602" s="152"/>
      <c r="BT602" s="152"/>
      <c r="BU602" s="152"/>
      <c r="BV602" s="152"/>
      <c r="BW602" s="152"/>
      <c r="BX602" s="152"/>
      <c r="BY602" s="152"/>
      <c r="BZ602" s="152"/>
      <c r="CA602" s="152"/>
      <c r="CB602" s="152"/>
      <c r="CC602" s="152"/>
      <c r="CD602" s="152"/>
      <c r="CE602" s="152"/>
      <c r="CF602" s="152"/>
      <c r="CG602" s="252"/>
    </row>
    <row r="603" spans="1:85" s="250" customFormat="1" ht="13.9" customHeight="1" x14ac:dyDescent="0.2">
      <c r="A603" s="251" t="s">
        <v>158</v>
      </c>
      <c r="B603" s="147">
        <v>78</v>
      </c>
      <c r="C603" s="244" t="s">
        <v>583</v>
      </c>
      <c r="D603" s="154" t="s">
        <v>159</v>
      </c>
      <c r="E603" s="155"/>
      <c r="F603" s="155">
        <v>140000000</v>
      </c>
      <c r="G603" s="155"/>
      <c r="H603" s="154" t="s">
        <v>745</v>
      </c>
      <c r="I603" s="244" t="s">
        <v>683</v>
      </c>
      <c r="J603" s="147">
        <v>1</v>
      </c>
      <c r="K603" s="147">
        <v>1</v>
      </c>
      <c r="L603" s="147">
        <v>12</v>
      </c>
      <c r="M603" s="132">
        <f t="shared" si="98"/>
        <v>1</v>
      </c>
      <c r="N603" s="140" t="s">
        <v>36</v>
      </c>
      <c r="O603" s="141" t="str">
        <f>IF(ISBLANK(N603),"",VLOOKUP(N603,[25]Parámetros!$G$2:$H$23,2,FALSE))</f>
        <v xml:space="preserve">Contratación directa (con ofertas) </v>
      </c>
      <c r="P603" s="245">
        <f t="shared" si="108"/>
        <v>1</v>
      </c>
      <c r="Q603" s="143">
        <f t="shared" si="99"/>
        <v>140000000</v>
      </c>
      <c r="R603" s="143">
        <f t="shared" si="100"/>
        <v>140000000</v>
      </c>
      <c r="S603" s="246" t="s">
        <v>222</v>
      </c>
      <c r="T603" s="245">
        <f t="shared" si="109"/>
        <v>0</v>
      </c>
      <c r="U603" s="145" t="str">
        <f t="shared" si="101"/>
        <v>SUBDIRECCION DE GESTION CONTRACTUAL</v>
      </c>
      <c r="V603" s="245" t="str">
        <f t="shared" si="106"/>
        <v>CO-DC</v>
      </c>
      <c r="W603" s="245" t="str">
        <f t="shared" si="107"/>
        <v>Distrito Capital de Bogotá</v>
      </c>
      <c r="X603" s="154" t="s">
        <v>553</v>
      </c>
      <c r="Y603" s="147">
        <v>2427400</v>
      </c>
      <c r="Z603" s="157" t="s">
        <v>160</v>
      </c>
      <c r="AA603" s="248"/>
      <c r="AB603" s="248"/>
      <c r="AC603" s="248"/>
      <c r="AD603" s="248"/>
      <c r="AE603" s="248"/>
      <c r="AF603" s="248"/>
      <c r="AG603" s="248"/>
      <c r="AH603" s="248"/>
      <c r="AI603" s="248"/>
      <c r="AJ603" s="248"/>
      <c r="AK603" s="248"/>
      <c r="AL603" s="248"/>
      <c r="AM603" s="248"/>
      <c r="AN603" s="248"/>
      <c r="AO603" s="248"/>
      <c r="AP603" s="248"/>
      <c r="AQ603" s="248"/>
      <c r="AR603" s="248"/>
      <c r="AS603" s="248"/>
      <c r="AT603" s="248"/>
      <c r="AU603" s="152"/>
      <c r="AV603" s="152"/>
      <c r="AW603" s="152"/>
      <c r="AX603" s="152"/>
      <c r="AY603" s="152"/>
      <c r="AZ603" s="152"/>
      <c r="BA603" s="152"/>
      <c r="BB603" s="152"/>
      <c r="BC603" s="152"/>
      <c r="BD603" s="152"/>
      <c r="BE603" s="152"/>
      <c r="BF603" s="152"/>
      <c r="BG603" s="152"/>
      <c r="BH603" s="152"/>
      <c r="BI603" s="152"/>
      <c r="BJ603" s="152"/>
      <c r="BK603" s="152"/>
      <c r="BL603" s="152"/>
      <c r="BM603" s="152"/>
      <c r="BN603" s="152"/>
      <c r="BO603" s="152"/>
      <c r="BP603" s="152"/>
      <c r="BQ603" s="152"/>
      <c r="BR603" s="152"/>
      <c r="BS603" s="152"/>
      <c r="BT603" s="152"/>
      <c r="BU603" s="152"/>
      <c r="BV603" s="152"/>
      <c r="BW603" s="152"/>
      <c r="BX603" s="152"/>
      <c r="BY603" s="152"/>
      <c r="BZ603" s="152"/>
      <c r="CA603" s="152"/>
      <c r="CB603" s="152"/>
      <c r="CC603" s="152"/>
      <c r="CD603" s="152"/>
      <c r="CE603" s="152"/>
      <c r="CF603" s="152"/>
      <c r="CG603" s="252"/>
    </row>
    <row r="604" spans="1:85" s="250" customFormat="1" ht="13.9" customHeight="1" x14ac:dyDescent="0.2">
      <c r="A604" s="251" t="s">
        <v>158</v>
      </c>
      <c r="B604" s="147">
        <v>79</v>
      </c>
      <c r="C604" s="244" t="s">
        <v>583</v>
      </c>
      <c r="D604" s="154" t="s">
        <v>159</v>
      </c>
      <c r="E604" s="155"/>
      <c r="F604" s="155">
        <v>14266808955</v>
      </c>
      <c r="G604" s="155"/>
      <c r="H604" s="154" t="s">
        <v>749</v>
      </c>
      <c r="I604" s="244" t="s">
        <v>682</v>
      </c>
      <c r="J604" s="147">
        <v>1</v>
      </c>
      <c r="K604" s="147">
        <v>1</v>
      </c>
      <c r="L604" s="147">
        <v>12</v>
      </c>
      <c r="M604" s="132">
        <f t="shared" si="98"/>
        <v>1</v>
      </c>
      <c r="N604" s="140" t="s">
        <v>36</v>
      </c>
      <c r="O604" s="141" t="str">
        <f>IF(ISBLANK(N604),"",VLOOKUP(N604,[25]Parámetros!$G$2:$H$23,2,FALSE))</f>
        <v xml:space="preserve">Contratación directa (con ofertas) </v>
      </c>
      <c r="P604" s="245">
        <f t="shared" si="108"/>
        <v>1</v>
      </c>
      <c r="Q604" s="143">
        <f t="shared" si="99"/>
        <v>14266808955</v>
      </c>
      <c r="R604" s="143">
        <f t="shared" si="100"/>
        <v>14266808955</v>
      </c>
      <c r="S604" s="246" t="s">
        <v>222</v>
      </c>
      <c r="T604" s="245">
        <f t="shared" si="109"/>
        <v>0</v>
      </c>
      <c r="U604" s="145" t="str">
        <f t="shared" si="101"/>
        <v>SUBDIRECCION DE GESTION CONTRACTUAL</v>
      </c>
      <c r="V604" s="245" t="str">
        <f t="shared" si="106"/>
        <v>CO-DC</v>
      </c>
      <c r="W604" s="245" t="str">
        <f t="shared" si="107"/>
        <v>Distrito Capital de Bogotá</v>
      </c>
      <c r="X604" s="154" t="s">
        <v>553</v>
      </c>
      <c r="Y604" s="147">
        <v>2427400</v>
      </c>
      <c r="Z604" s="157" t="s">
        <v>160</v>
      </c>
      <c r="AA604" s="248"/>
      <c r="AB604" s="248"/>
      <c r="AC604" s="248"/>
      <c r="AD604" s="248"/>
      <c r="AE604" s="248"/>
      <c r="AF604" s="248"/>
      <c r="AG604" s="248"/>
      <c r="AH604" s="248"/>
      <c r="AI604" s="248"/>
      <c r="AJ604" s="248"/>
      <c r="AK604" s="248"/>
      <c r="AL604" s="248"/>
      <c r="AM604" s="248"/>
      <c r="AN604" s="248"/>
      <c r="AO604" s="248"/>
      <c r="AP604" s="248"/>
      <c r="AQ604" s="248"/>
      <c r="AR604" s="248"/>
      <c r="AS604" s="248"/>
      <c r="AT604" s="248"/>
      <c r="AU604" s="152"/>
      <c r="AV604" s="152"/>
      <c r="AW604" s="152"/>
      <c r="AX604" s="152"/>
      <c r="AY604" s="152"/>
      <c r="AZ604" s="152"/>
      <c r="BA604" s="152"/>
      <c r="BB604" s="152"/>
      <c r="BC604" s="152"/>
      <c r="BD604" s="152"/>
      <c r="BE604" s="152"/>
      <c r="BF604" s="152"/>
      <c r="BG604" s="152"/>
      <c r="BH604" s="152"/>
      <c r="BI604" s="152"/>
      <c r="BJ604" s="152"/>
      <c r="BK604" s="152"/>
      <c r="BL604" s="152"/>
      <c r="BM604" s="152"/>
      <c r="BN604" s="152"/>
      <c r="BO604" s="152"/>
      <c r="BP604" s="152"/>
      <c r="BQ604" s="152"/>
      <c r="BR604" s="152"/>
      <c r="BS604" s="152"/>
      <c r="BT604" s="152"/>
      <c r="BU604" s="152"/>
      <c r="BV604" s="152"/>
      <c r="BW604" s="152"/>
      <c r="BX604" s="152"/>
      <c r="BY604" s="152"/>
      <c r="BZ604" s="152"/>
      <c r="CA604" s="152"/>
      <c r="CB604" s="152"/>
      <c r="CC604" s="152"/>
      <c r="CD604" s="152"/>
      <c r="CE604" s="152"/>
      <c r="CF604" s="152"/>
      <c r="CG604" s="252"/>
    </row>
    <row r="605" spans="1:85" s="250" customFormat="1" ht="13.9" customHeight="1" x14ac:dyDescent="0.2">
      <c r="A605" s="251" t="s">
        <v>158</v>
      </c>
      <c r="B605" s="147">
        <v>80</v>
      </c>
      <c r="C605" s="244" t="s">
        <v>583</v>
      </c>
      <c r="D605" s="154" t="s">
        <v>159</v>
      </c>
      <c r="E605" s="155"/>
      <c r="F605" s="155">
        <v>2038115564</v>
      </c>
      <c r="G605" s="155"/>
      <c r="H605" s="154" t="s">
        <v>749</v>
      </c>
      <c r="I605" s="244" t="s">
        <v>682</v>
      </c>
      <c r="J605" s="147">
        <v>1</v>
      </c>
      <c r="K605" s="147">
        <v>1</v>
      </c>
      <c r="L605" s="147">
        <v>12</v>
      </c>
      <c r="M605" s="132">
        <f t="shared" si="98"/>
        <v>1</v>
      </c>
      <c r="N605" s="140" t="s">
        <v>36</v>
      </c>
      <c r="O605" s="141" t="str">
        <f>IF(ISBLANK(N605),"",VLOOKUP(N605,[25]Parámetros!$G$2:$H$23,2,FALSE))</f>
        <v xml:space="preserve">Contratación directa (con ofertas) </v>
      </c>
      <c r="P605" s="245">
        <f t="shared" si="108"/>
        <v>1</v>
      </c>
      <c r="Q605" s="143">
        <f t="shared" si="99"/>
        <v>2038115564</v>
      </c>
      <c r="R605" s="143">
        <f t="shared" si="100"/>
        <v>2038115564</v>
      </c>
      <c r="S605" s="246" t="s">
        <v>222</v>
      </c>
      <c r="T605" s="245">
        <f t="shared" si="109"/>
        <v>0</v>
      </c>
      <c r="U605" s="145" t="str">
        <f t="shared" si="101"/>
        <v>SUBDIRECCION DE GESTION CONTRACTUAL</v>
      </c>
      <c r="V605" s="245" t="str">
        <f t="shared" si="106"/>
        <v>CO-DC</v>
      </c>
      <c r="W605" s="245" t="str">
        <f t="shared" si="107"/>
        <v>Distrito Capital de Bogotá</v>
      </c>
      <c r="X605" s="154" t="s">
        <v>553</v>
      </c>
      <c r="Y605" s="147">
        <v>2427400</v>
      </c>
      <c r="Z605" s="157" t="s">
        <v>160</v>
      </c>
      <c r="AA605" s="248"/>
      <c r="AB605" s="248"/>
      <c r="AC605" s="248"/>
      <c r="AD605" s="248"/>
      <c r="AE605" s="248"/>
      <c r="AF605" s="248"/>
      <c r="AG605" s="248"/>
      <c r="AH605" s="248"/>
      <c r="AI605" s="248"/>
      <c r="AJ605" s="248"/>
      <c r="AK605" s="248"/>
      <c r="AL605" s="248"/>
      <c r="AM605" s="248"/>
      <c r="AN605" s="248"/>
      <c r="AO605" s="248"/>
      <c r="AP605" s="248"/>
      <c r="AQ605" s="248"/>
      <c r="AR605" s="248"/>
      <c r="AS605" s="248"/>
      <c r="AT605" s="248"/>
      <c r="AU605" s="152"/>
      <c r="AV605" s="152"/>
      <c r="AW605" s="152"/>
      <c r="AX605" s="152"/>
      <c r="AY605" s="152"/>
      <c r="AZ605" s="152"/>
      <c r="BA605" s="152"/>
      <c r="BB605" s="152"/>
      <c r="BC605" s="152"/>
      <c r="BD605" s="152"/>
      <c r="BE605" s="152"/>
      <c r="BF605" s="152"/>
      <c r="BG605" s="152"/>
      <c r="BH605" s="152"/>
      <c r="BI605" s="152"/>
      <c r="BJ605" s="152"/>
      <c r="BK605" s="152"/>
      <c r="BL605" s="152"/>
      <c r="BM605" s="152"/>
      <c r="BN605" s="152"/>
      <c r="BO605" s="152"/>
      <c r="BP605" s="152"/>
      <c r="BQ605" s="152"/>
      <c r="BR605" s="152"/>
      <c r="BS605" s="152"/>
      <c r="BT605" s="152"/>
      <c r="BU605" s="152"/>
      <c r="BV605" s="152"/>
      <c r="BW605" s="152"/>
      <c r="BX605" s="152"/>
      <c r="BY605" s="152"/>
      <c r="BZ605" s="152"/>
      <c r="CA605" s="152"/>
      <c r="CB605" s="152"/>
      <c r="CC605" s="152"/>
      <c r="CD605" s="152"/>
      <c r="CE605" s="152"/>
      <c r="CF605" s="152"/>
      <c r="CG605" s="252"/>
    </row>
    <row r="606" spans="1:85" s="250" customFormat="1" ht="13.9" customHeight="1" x14ac:dyDescent="0.2">
      <c r="A606" s="251" t="s">
        <v>158</v>
      </c>
      <c r="B606" s="147">
        <v>81</v>
      </c>
      <c r="C606" s="244" t="s">
        <v>583</v>
      </c>
      <c r="D606" s="154" t="s">
        <v>159</v>
      </c>
      <c r="E606" s="155"/>
      <c r="F606" s="155">
        <v>305440000</v>
      </c>
      <c r="G606" s="155"/>
      <c r="H606" s="154" t="s">
        <v>745</v>
      </c>
      <c r="I606" s="244" t="s">
        <v>681</v>
      </c>
      <c r="J606" s="147">
        <v>1</v>
      </c>
      <c r="K606" s="147">
        <v>1</v>
      </c>
      <c r="L606" s="147">
        <v>12</v>
      </c>
      <c r="M606" s="132">
        <f t="shared" si="98"/>
        <v>1</v>
      </c>
      <c r="N606" s="140" t="s">
        <v>36</v>
      </c>
      <c r="O606" s="141" t="str">
        <f>IF(ISBLANK(N606),"",VLOOKUP(N606,[25]Parámetros!$G$2:$H$23,2,FALSE))</f>
        <v xml:space="preserve">Contratación directa (con ofertas) </v>
      </c>
      <c r="P606" s="245">
        <f t="shared" si="108"/>
        <v>1</v>
      </c>
      <c r="Q606" s="143">
        <f t="shared" si="99"/>
        <v>305440000</v>
      </c>
      <c r="R606" s="143">
        <f t="shared" si="100"/>
        <v>305440000</v>
      </c>
      <c r="S606" s="246" t="s">
        <v>222</v>
      </c>
      <c r="T606" s="245">
        <f t="shared" si="109"/>
        <v>0</v>
      </c>
      <c r="U606" s="145" t="str">
        <f t="shared" si="101"/>
        <v>SUBDIRECCION DE GESTION CONTRACTUAL</v>
      </c>
      <c r="V606" s="245" t="str">
        <f t="shared" si="106"/>
        <v>CO-DC</v>
      </c>
      <c r="W606" s="245" t="str">
        <f t="shared" si="107"/>
        <v>Distrito Capital de Bogotá</v>
      </c>
      <c r="X606" s="154" t="s">
        <v>553</v>
      </c>
      <c r="Y606" s="147">
        <v>2427400</v>
      </c>
      <c r="Z606" s="157" t="s">
        <v>160</v>
      </c>
      <c r="AA606" s="248"/>
      <c r="AB606" s="248"/>
      <c r="AC606" s="248"/>
      <c r="AD606" s="248"/>
      <c r="AE606" s="248"/>
      <c r="AF606" s="248"/>
      <c r="AG606" s="248"/>
      <c r="AH606" s="248"/>
      <c r="AI606" s="248"/>
      <c r="AJ606" s="248"/>
      <c r="AK606" s="248"/>
      <c r="AL606" s="248"/>
      <c r="AM606" s="248"/>
      <c r="AN606" s="248"/>
      <c r="AO606" s="248"/>
      <c r="AP606" s="248"/>
      <c r="AQ606" s="248"/>
      <c r="AR606" s="248"/>
      <c r="AS606" s="248"/>
      <c r="AT606" s="248"/>
      <c r="AU606" s="152"/>
      <c r="AV606" s="152"/>
      <c r="AW606" s="152"/>
      <c r="AX606" s="152"/>
      <c r="AY606" s="152"/>
      <c r="AZ606" s="152"/>
      <c r="BA606" s="152"/>
      <c r="BB606" s="152"/>
      <c r="BC606" s="152"/>
      <c r="BD606" s="152"/>
      <c r="BE606" s="152"/>
      <c r="BF606" s="152"/>
      <c r="BG606" s="152"/>
      <c r="BH606" s="152"/>
      <c r="BI606" s="152"/>
      <c r="BJ606" s="152"/>
      <c r="BK606" s="152"/>
      <c r="BL606" s="152"/>
      <c r="BM606" s="152"/>
      <c r="BN606" s="152"/>
      <c r="BO606" s="152"/>
      <c r="BP606" s="152"/>
      <c r="BQ606" s="152"/>
      <c r="BR606" s="152"/>
      <c r="BS606" s="152"/>
      <c r="BT606" s="152"/>
      <c r="BU606" s="152"/>
      <c r="BV606" s="152"/>
      <c r="BW606" s="152"/>
      <c r="BX606" s="152"/>
      <c r="BY606" s="152"/>
      <c r="BZ606" s="152"/>
      <c r="CA606" s="152"/>
      <c r="CB606" s="152"/>
      <c r="CC606" s="152"/>
      <c r="CD606" s="152"/>
      <c r="CE606" s="152"/>
      <c r="CF606" s="152"/>
      <c r="CG606" s="252"/>
    </row>
    <row r="607" spans="1:85" s="250" customFormat="1" ht="13.9" customHeight="1" x14ac:dyDescent="0.2">
      <c r="A607" s="251" t="s">
        <v>158</v>
      </c>
      <c r="B607" s="147">
        <v>82</v>
      </c>
      <c r="C607" s="244" t="s">
        <v>583</v>
      </c>
      <c r="D607" s="154" t="s">
        <v>159</v>
      </c>
      <c r="E607" s="155"/>
      <c r="F607" s="155">
        <v>5954508000</v>
      </c>
      <c r="G607" s="155"/>
      <c r="H607" s="154">
        <v>92121901</v>
      </c>
      <c r="I607" s="244" t="s">
        <v>680</v>
      </c>
      <c r="J607" s="147">
        <v>1</v>
      </c>
      <c r="K607" s="147">
        <v>1</v>
      </c>
      <c r="L607" s="147">
        <v>12</v>
      </c>
      <c r="M607" s="132">
        <f t="shared" si="98"/>
        <v>1</v>
      </c>
      <c r="N607" s="140" t="s">
        <v>36</v>
      </c>
      <c r="O607" s="141" t="str">
        <f>IF(ISBLANK(N607),"",VLOOKUP(N607,[25]Parámetros!$G$2:$H$23,2,FALSE))</f>
        <v xml:space="preserve">Contratación directa (con ofertas) </v>
      </c>
      <c r="P607" s="245">
        <f t="shared" si="108"/>
        <v>1</v>
      </c>
      <c r="Q607" s="143">
        <f t="shared" si="99"/>
        <v>5954508000</v>
      </c>
      <c r="R607" s="143">
        <f t="shared" si="100"/>
        <v>5954508000</v>
      </c>
      <c r="S607" s="246" t="s">
        <v>222</v>
      </c>
      <c r="T607" s="245">
        <f t="shared" si="109"/>
        <v>0</v>
      </c>
      <c r="U607" s="145" t="str">
        <f t="shared" si="101"/>
        <v>SUBDIRECCION DE GESTION CONTRACTUAL</v>
      </c>
      <c r="V607" s="245" t="str">
        <f t="shared" si="106"/>
        <v>CO-DC</v>
      </c>
      <c r="W607" s="245" t="str">
        <f t="shared" si="107"/>
        <v>Distrito Capital de Bogotá</v>
      </c>
      <c r="X607" s="154" t="s">
        <v>553</v>
      </c>
      <c r="Y607" s="147">
        <v>2427400</v>
      </c>
      <c r="Z607" s="157" t="s">
        <v>160</v>
      </c>
      <c r="AA607" s="248"/>
      <c r="AB607" s="248"/>
      <c r="AC607" s="248"/>
      <c r="AD607" s="248"/>
      <c r="AE607" s="248"/>
      <c r="AF607" s="248"/>
      <c r="AG607" s="248"/>
      <c r="AH607" s="248"/>
      <c r="AI607" s="248"/>
      <c r="AJ607" s="248"/>
      <c r="AK607" s="248"/>
      <c r="AL607" s="248"/>
      <c r="AM607" s="248"/>
      <c r="AN607" s="248"/>
      <c r="AO607" s="248"/>
      <c r="AP607" s="248"/>
      <c r="AQ607" s="248"/>
      <c r="AR607" s="248"/>
      <c r="AS607" s="248"/>
      <c r="AT607" s="248"/>
      <c r="AU607" s="152"/>
      <c r="AV607" s="152"/>
      <c r="AW607" s="152"/>
      <c r="AX607" s="152"/>
      <c r="AY607" s="152"/>
      <c r="AZ607" s="152"/>
      <c r="BA607" s="152"/>
      <c r="BB607" s="152"/>
      <c r="BC607" s="152"/>
      <c r="BD607" s="152"/>
      <c r="BE607" s="152"/>
      <c r="BF607" s="152"/>
      <c r="BG607" s="152"/>
      <c r="BH607" s="152"/>
      <c r="BI607" s="152"/>
      <c r="BJ607" s="152"/>
      <c r="BK607" s="152"/>
      <c r="BL607" s="152"/>
      <c r="BM607" s="152"/>
      <c r="BN607" s="152"/>
      <c r="BO607" s="152"/>
      <c r="BP607" s="152"/>
      <c r="BQ607" s="152"/>
      <c r="BR607" s="152"/>
      <c r="BS607" s="152"/>
      <c r="BT607" s="152"/>
      <c r="BU607" s="152"/>
      <c r="BV607" s="152"/>
      <c r="BW607" s="152"/>
      <c r="BX607" s="152"/>
      <c r="BY607" s="152"/>
      <c r="BZ607" s="152"/>
      <c r="CA607" s="152"/>
      <c r="CB607" s="152"/>
      <c r="CC607" s="152"/>
      <c r="CD607" s="152"/>
      <c r="CE607" s="152"/>
      <c r="CF607" s="152"/>
      <c r="CG607" s="252"/>
    </row>
    <row r="608" spans="1:85" s="250" customFormat="1" ht="13.9" customHeight="1" x14ac:dyDescent="0.2">
      <c r="A608" s="251" t="s">
        <v>158</v>
      </c>
      <c r="B608" s="147">
        <v>83</v>
      </c>
      <c r="C608" s="244" t="s">
        <v>583</v>
      </c>
      <c r="D608" s="154" t="s">
        <v>159</v>
      </c>
      <c r="E608" s="155"/>
      <c r="F608" s="155">
        <v>9903414</v>
      </c>
      <c r="G608" s="155"/>
      <c r="H608" s="154" t="s">
        <v>749</v>
      </c>
      <c r="I608" s="244" t="s">
        <v>679</v>
      </c>
      <c r="J608" s="147">
        <v>1</v>
      </c>
      <c r="K608" s="147">
        <v>1</v>
      </c>
      <c r="L608" s="147">
        <v>12</v>
      </c>
      <c r="M608" s="132">
        <f t="shared" si="98"/>
        <v>1</v>
      </c>
      <c r="N608" s="140" t="s">
        <v>36</v>
      </c>
      <c r="O608" s="141" t="str">
        <f>IF(ISBLANK(N608),"",VLOOKUP(N608,[25]Parámetros!$G$2:$H$23,2,FALSE))</f>
        <v xml:space="preserve">Contratación directa (con ofertas) </v>
      </c>
      <c r="P608" s="245">
        <f t="shared" si="108"/>
        <v>1</v>
      </c>
      <c r="Q608" s="143">
        <f t="shared" si="99"/>
        <v>9903414</v>
      </c>
      <c r="R608" s="143">
        <f t="shared" si="100"/>
        <v>9903414</v>
      </c>
      <c r="S608" s="246" t="s">
        <v>222</v>
      </c>
      <c r="T608" s="245">
        <f t="shared" si="109"/>
        <v>0</v>
      </c>
      <c r="U608" s="145" t="str">
        <f t="shared" si="101"/>
        <v>SUBDIRECCION DE GESTION CONTRACTUAL</v>
      </c>
      <c r="V608" s="245" t="str">
        <f t="shared" si="106"/>
        <v>CO-DC</v>
      </c>
      <c r="W608" s="245" t="str">
        <f t="shared" si="107"/>
        <v>Distrito Capital de Bogotá</v>
      </c>
      <c r="X608" s="154" t="s">
        <v>553</v>
      </c>
      <c r="Y608" s="147">
        <v>2427400</v>
      </c>
      <c r="Z608" s="157" t="s">
        <v>160</v>
      </c>
      <c r="AA608" s="248"/>
      <c r="AB608" s="248"/>
      <c r="AC608" s="248"/>
      <c r="AD608" s="248"/>
      <c r="AE608" s="248"/>
      <c r="AF608" s="248"/>
      <c r="AG608" s="248"/>
      <c r="AH608" s="248"/>
      <c r="AI608" s="248"/>
      <c r="AJ608" s="248"/>
      <c r="AK608" s="248"/>
      <c r="AL608" s="248"/>
      <c r="AM608" s="248"/>
      <c r="AN608" s="248"/>
      <c r="AO608" s="248"/>
      <c r="AP608" s="248"/>
      <c r="AQ608" s="248"/>
      <c r="AR608" s="248"/>
      <c r="AS608" s="248"/>
      <c r="AT608" s="248"/>
      <c r="AU608" s="152"/>
      <c r="AV608" s="152"/>
      <c r="AW608" s="152"/>
      <c r="AX608" s="152"/>
      <c r="AY608" s="152"/>
      <c r="AZ608" s="152"/>
      <c r="BA608" s="152"/>
      <c r="BB608" s="152"/>
      <c r="BC608" s="152"/>
      <c r="BD608" s="152"/>
      <c r="BE608" s="152"/>
      <c r="BF608" s="152"/>
      <c r="BG608" s="152"/>
      <c r="BH608" s="152"/>
      <c r="BI608" s="152"/>
      <c r="BJ608" s="152"/>
      <c r="BK608" s="152"/>
      <c r="BL608" s="152"/>
      <c r="BM608" s="152"/>
      <c r="BN608" s="152"/>
      <c r="BO608" s="152"/>
      <c r="BP608" s="152"/>
      <c r="BQ608" s="152"/>
      <c r="BR608" s="152"/>
      <c r="BS608" s="152"/>
      <c r="BT608" s="152"/>
      <c r="BU608" s="152"/>
      <c r="BV608" s="152"/>
      <c r="BW608" s="152"/>
      <c r="BX608" s="152"/>
      <c r="BY608" s="152"/>
      <c r="BZ608" s="152"/>
      <c r="CA608" s="152"/>
      <c r="CB608" s="152"/>
      <c r="CC608" s="152"/>
      <c r="CD608" s="152"/>
      <c r="CE608" s="152"/>
      <c r="CF608" s="152"/>
      <c r="CG608" s="252"/>
    </row>
    <row r="609" spans="1:85" s="250" customFormat="1" ht="13.9" customHeight="1" x14ac:dyDescent="0.2">
      <c r="A609" s="251" t="s">
        <v>158</v>
      </c>
      <c r="B609" s="147">
        <v>84</v>
      </c>
      <c r="C609" s="244" t="s">
        <v>583</v>
      </c>
      <c r="D609" s="154" t="s">
        <v>159</v>
      </c>
      <c r="E609" s="155"/>
      <c r="F609" s="155">
        <v>47733333</v>
      </c>
      <c r="G609" s="155"/>
      <c r="H609" s="154" t="s">
        <v>749</v>
      </c>
      <c r="I609" s="244" t="s">
        <v>678</v>
      </c>
      <c r="J609" s="147">
        <v>1</v>
      </c>
      <c r="K609" s="147">
        <v>1</v>
      </c>
      <c r="L609" s="147">
        <v>12</v>
      </c>
      <c r="M609" s="132">
        <f t="shared" si="98"/>
        <v>1</v>
      </c>
      <c r="N609" s="140" t="s">
        <v>36</v>
      </c>
      <c r="O609" s="141" t="str">
        <f>IF(ISBLANK(N609),"",VLOOKUP(N609,[25]Parámetros!$G$2:$H$23,2,FALSE))</f>
        <v xml:space="preserve">Contratación directa (con ofertas) </v>
      </c>
      <c r="P609" s="245">
        <f t="shared" si="108"/>
        <v>1</v>
      </c>
      <c r="Q609" s="143">
        <f t="shared" si="99"/>
        <v>47733333</v>
      </c>
      <c r="R609" s="143">
        <f t="shared" si="100"/>
        <v>47733333</v>
      </c>
      <c r="S609" s="246" t="s">
        <v>222</v>
      </c>
      <c r="T609" s="245">
        <f t="shared" si="109"/>
        <v>0</v>
      </c>
      <c r="U609" s="145" t="str">
        <f t="shared" si="101"/>
        <v>SUBDIRECCION DE GESTION CONTRACTUAL</v>
      </c>
      <c r="V609" s="245" t="str">
        <f t="shared" si="106"/>
        <v>CO-DC</v>
      </c>
      <c r="W609" s="245" t="str">
        <f t="shared" si="107"/>
        <v>Distrito Capital de Bogotá</v>
      </c>
      <c r="X609" s="154" t="s">
        <v>553</v>
      </c>
      <c r="Y609" s="147">
        <v>2427400</v>
      </c>
      <c r="Z609" s="157" t="s">
        <v>160</v>
      </c>
      <c r="AA609" s="248"/>
      <c r="AB609" s="248"/>
      <c r="AC609" s="248"/>
      <c r="AD609" s="248"/>
      <c r="AE609" s="248"/>
      <c r="AF609" s="248"/>
      <c r="AG609" s="248"/>
      <c r="AH609" s="248"/>
      <c r="AI609" s="248"/>
      <c r="AJ609" s="248"/>
      <c r="AK609" s="248"/>
      <c r="AL609" s="248"/>
      <c r="AM609" s="248"/>
      <c r="AN609" s="248"/>
      <c r="AO609" s="248"/>
      <c r="AP609" s="248"/>
      <c r="AQ609" s="248"/>
      <c r="AR609" s="248"/>
      <c r="AS609" s="248"/>
      <c r="AT609" s="248"/>
      <c r="AU609" s="152"/>
      <c r="AV609" s="152"/>
      <c r="AW609" s="152"/>
      <c r="AX609" s="152"/>
      <c r="AY609" s="152"/>
      <c r="AZ609" s="152"/>
      <c r="BA609" s="152"/>
      <c r="BB609" s="152"/>
      <c r="BC609" s="152"/>
      <c r="BD609" s="152"/>
      <c r="BE609" s="152"/>
      <c r="BF609" s="152"/>
      <c r="BG609" s="152"/>
      <c r="BH609" s="152"/>
      <c r="BI609" s="152"/>
      <c r="BJ609" s="152"/>
      <c r="BK609" s="152"/>
      <c r="BL609" s="152"/>
      <c r="BM609" s="152"/>
      <c r="BN609" s="152"/>
      <c r="BO609" s="152"/>
      <c r="BP609" s="152"/>
      <c r="BQ609" s="152"/>
      <c r="BR609" s="152"/>
      <c r="BS609" s="152"/>
      <c r="BT609" s="152"/>
      <c r="BU609" s="152"/>
      <c r="BV609" s="152"/>
      <c r="BW609" s="152"/>
      <c r="BX609" s="152"/>
      <c r="BY609" s="152"/>
      <c r="BZ609" s="152"/>
      <c r="CA609" s="152"/>
      <c r="CB609" s="152"/>
      <c r="CC609" s="152"/>
      <c r="CD609" s="152"/>
      <c r="CE609" s="152"/>
      <c r="CF609" s="152"/>
      <c r="CG609" s="252"/>
    </row>
    <row r="610" spans="1:85" s="250" customFormat="1" ht="13.9" customHeight="1" x14ac:dyDescent="0.2">
      <c r="A610" s="251" t="s">
        <v>158</v>
      </c>
      <c r="B610" s="147">
        <v>85</v>
      </c>
      <c r="C610" s="244" t="s">
        <v>583</v>
      </c>
      <c r="D610" s="154" t="s">
        <v>159</v>
      </c>
      <c r="E610" s="155"/>
      <c r="F610" s="155">
        <v>14833333</v>
      </c>
      <c r="G610" s="155"/>
      <c r="H610" s="154" t="s">
        <v>745</v>
      </c>
      <c r="I610" s="244" t="s">
        <v>677</v>
      </c>
      <c r="J610" s="147">
        <v>1</v>
      </c>
      <c r="K610" s="147">
        <v>1</v>
      </c>
      <c r="L610" s="147">
        <v>12</v>
      </c>
      <c r="M610" s="132">
        <f t="shared" si="98"/>
        <v>1</v>
      </c>
      <c r="N610" s="140" t="s">
        <v>36</v>
      </c>
      <c r="O610" s="141" t="str">
        <f>IF(ISBLANK(N610),"",VLOOKUP(N610,[25]Parámetros!$G$2:$H$23,2,FALSE))</f>
        <v xml:space="preserve">Contratación directa (con ofertas) </v>
      </c>
      <c r="P610" s="245">
        <f t="shared" si="108"/>
        <v>1</v>
      </c>
      <c r="Q610" s="143">
        <f t="shared" si="99"/>
        <v>14833333</v>
      </c>
      <c r="R610" s="143">
        <f t="shared" si="100"/>
        <v>14833333</v>
      </c>
      <c r="S610" s="246" t="s">
        <v>222</v>
      </c>
      <c r="T610" s="245">
        <f t="shared" si="109"/>
        <v>0</v>
      </c>
      <c r="U610" s="145" t="str">
        <f t="shared" si="101"/>
        <v>SUBDIRECCION DE GESTION CONTRACTUAL</v>
      </c>
      <c r="V610" s="245" t="str">
        <f t="shared" si="106"/>
        <v>CO-DC</v>
      </c>
      <c r="W610" s="245" t="str">
        <f t="shared" si="107"/>
        <v>Distrito Capital de Bogotá</v>
      </c>
      <c r="X610" s="154" t="s">
        <v>553</v>
      </c>
      <c r="Y610" s="147">
        <v>2427400</v>
      </c>
      <c r="Z610" s="157" t="s">
        <v>160</v>
      </c>
      <c r="AA610" s="248"/>
      <c r="AB610" s="248"/>
      <c r="AC610" s="248"/>
      <c r="AD610" s="248"/>
      <c r="AE610" s="248"/>
      <c r="AF610" s="248"/>
      <c r="AG610" s="248"/>
      <c r="AH610" s="248"/>
      <c r="AI610" s="248"/>
      <c r="AJ610" s="248"/>
      <c r="AK610" s="248"/>
      <c r="AL610" s="248"/>
      <c r="AM610" s="248"/>
      <c r="AN610" s="248"/>
      <c r="AO610" s="248"/>
      <c r="AP610" s="248"/>
      <c r="AQ610" s="248"/>
      <c r="AR610" s="248"/>
      <c r="AS610" s="248"/>
      <c r="AT610" s="248"/>
      <c r="AU610" s="152"/>
      <c r="AV610" s="152"/>
      <c r="AW610" s="152"/>
      <c r="AX610" s="152"/>
      <c r="AY610" s="152"/>
      <c r="AZ610" s="152"/>
      <c r="BA610" s="152"/>
      <c r="BB610" s="152"/>
      <c r="BC610" s="152"/>
      <c r="BD610" s="152"/>
      <c r="BE610" s="152"/>
      <c r="BF610" s="152"/>
      <c r="BG610" s="152"/>
      <c r="BH610" s="152"/>
      <c r="BI610" s="152"/>
      <c r="BJ610" s="152"/>
      <c r="BK610" s="152"/>
      <c r="BL610" s="152"/>
      <c r="BM610" s="152"/>
      <c r="BN610" s="152"/>
      <c r="BO610" s="152"/>
      <c r="BP610" s="152"/>
      <c r="BQ610" s="152"/>
      <c r="BR610" s="152"/>
      <c r="BS610" s="152"/>
      <c r="BT610" s="152"/>
      <c r="BU610" s="152"/>
      <c r="BV610" s="152"/>
      <c r="BW610" s="152"/>
      <c r="BX610" s="152"/>
      <c r="BY610" s="152"/>
      <c r="BZ610" s="152"/>
      <c r="CA610" s="152"/>
      <c r="CB610" s="152"/>
      <c r="CC610" s="152"/>
      <c r="CD610" s="152"/>
      <c r="CE610" s="152"/>
      <c r="CF610" s="152"/>
      <c r="CG610" s="252"/>
    </row>
    <row r="611" spans="1:85" s="250" customFormat="1" ht="13.9" customHeight="1" x14ac:dyDescent="0.2">
      <c r="A611" s="251" t="s">
        <v>158</v>
      </c>
      <c r="B611" s="147">
        <v>86</v>
      </c>
      <c r="C611" s="244" t="s">
        <v>583</v>
      </c>
      <c r="D611" s="154" t="s">
        <v>159</v>
      </c>
      <c r="E611" s="155"/>
      <c r="F611" s="155">
        <v>299073280</v>
      </c>
      <c r="G611" s="155"/>
      <c r="H611" s="154" t="s">
        <v>745</v>
      </c>
      <c r="I611" s="244" t="s">
        <v>676</v>
      </c>
      <c r="J611" s="147">
        <v>1</v>
      </c>
      <c r="K611" s="147">
        <v>1</v>
      </c>
      <c r="L611" s="147">
        <v>12</v>
      </c>
      <c r="M611" s="132">
        <f t="shared" si="98"/>
        <v>1</v>
      </c>
      <c r="N611" s="140" t="s">
        <v>36</v>
      </c>
      <c r="O611" s="141" t="str">
        <f>IF(ISBLANK(N611),"",VLOOKUP(N611,[25]Parámetros!$G$2:$H$23,2,FALSE))</f>
        <v xml:space="preserve">Contratación directa (con ofertas) </v>
      </c>
      <c r="P611" s="245">
        <f t="shared" si="108"/>
        <v>1</v>
      </c>
      <c r="Q611" s="143">
        <f t="shared" si="99"/>
        <v>299073280</v>
      </c>
      <c r="R611" s="143">
        <f t="shared" si="100"/>
        <v>299073280</v>
      </c>
      <c r="S611" s="246" t="s">
        <v>222</v>
      </c>
      <c r="T611" s="245">
        <f t="shared" si="109"/>
        <v>0</v>
      </c>
      <c r="U611" s="145" t="str">
        <f t="shared" si="101"/>
        <v>SUBDIRECCION DE GESTION CONTRACTUAL</v>
      </c>
      <c r="V611" s="245" t="str">
        <f t="shared" si="106"/>
        <v>CO-DC</v>
      </c>
      <c r="W611" s="245" t="str">
        <f t="shared" si="107"/>
        <v>Distrito Capital de Bogotá</v>
      </c>
      <c r="X611" s="154" t="s">
        <v>553</v>
      </c>
      <c r="Y611" s="147">
        <v>2427400</v>
      </c>
      <c r="Z611" s="157" t="s">
        <v>160</v>
      </c>
      <c r="AA611" s="248"/>
      <c r="AB611" s="248"/>
      <c r="AC611" s="248"/>
      <c r="AD611" s="248"/>
      <c r="AE611" s="248"/>
      <c r="AF611" s="248"/>
      <c r="AG611" s="248"/>
      <c r="AH611" s="248"/>
      <c r="AI611" s="248"/>
      <c r="AJ611" s="248"/>
      <c r="AK611" s="248"/>
      <c r="AL611" s="248"/>
      <c r="AM611" s="248"/>
      <c r="AN611" s="248"/>
      <c r="AO611" s="248"/>
      <c r="AP611" s="248"/>
      <c r="AQ611" s="248"/>
      <c r="AR611" s="248"/>
      <c r="AS611" s="248"/>
      <c r="AT611" s="248"/>
      <c r="AU611" s="152"/>
      <c r="AV611" s="152"/>
      <c r="AW611" s="152"/>
      <c r="AX611" s="152"/>
      <c r="AY611" s="152"/>
      <c r="AZ611" s="152"/>
      <c r="BA611" s="152"/>
      <c r="BB611" s="152"/>
      <c r="BC611" s="152"/>
      <c r="BD611" s="152"/>
      <c r="BE611" s="152"/>
      <c r="BF611" s="152"/>
      <c r="BG611" s="152"/>
      <c r="BH611" s="152"/>
      <c r="BI611" s="152"/>
      <c r="BJ611" s="152"/>
      <c r="BK611" s="152"/>
      <c r="BL611" s="152"/>
      <c r="BM611" s="152"/>
      <c r="BN611" s="152"/>
      <c r="BO611" s="152"/>
      <c r="BP611" s="152"/>
      <c r="BQ611" s="152"/>
      <c r="BR611" s="152"/>
      <c r="BS611" s="152"/>
      <c r="BT611" s="152"/>
      <c r="BU611" s="152"/>
      <c r="BV611" s="152"/>
      <c r="BW611" s="152"/>
      <c r="BX611" s="152"/>
      <c r="BY611" s="152"/>
      <c r="BZ611" s="152"/>
      <c r="CA611" s="152"/>
      <c r="CB611" s="152"/>
      <c r="CC611" s="152"/>
      <c r="CD611" s="152"/>
      <c r="CE611" s="152"/>
      <c r="CF611" s="152"/>
      <c r="CG611" s="252"/>
    </row>
    <row r="612" spans="1:85" s="250" customFormat="1" ht="13.9" customHeight="1" x14ac:dyDescent="0.2">
      <c r="A612" s="251" t="s">
        <v>158</v>
      </c>
      <c r="B612" s="147">
        <v>87</v>
      </c>
      <c r="C612" s="244" t="s">
        <v>583</v>
      </c>
      <c r="D612" s="154" t="s">
        <v>159</v>
      </c>
      <c r="E612" s="155"/>
      <c r="F612" s="155">
        <v>1725297191</v>
      </c>
      <c r="G612" s="155"/>
      <c r="H612" s="154" t="s">
        <v>749</v>
      </c>
      <c r="I612" s="244" t="s">
        <v>675</v>
      </c>
      <c r="J612" s="147">
        <v>1</v>
      </c>
      <c r="K612" s="147">
        <v>1</v>
      </c>
      <c r="L612" s="147">
        <v>12</v>
      </c>
      <c r="M612" s="132">
        <f t="shared" si="98"/>
        <v>1</v>
      </c>
      <c r="N612" s="140" t="s">
        <v>36</v>
      </c>
      <c r="O612" s="141" t="str">
        <f>IF(ISBLANK(N612),"",VLOOKUP(N612,[25]Parámetros!$G$2:$H$23,2,FALSE))</f>
        <v xml:space="preserve">Contratación directa (con ofertas) </v>
      </c>
      <c r="P612" s="245">
        <f t="shared" si="108"/>
        <v>1</v>
      </c>
      <c r="Q612" s="143">
        <f t="shared" si="99"/>
        <v>1725297191</v>
      </c>
      <c r="R612" s="143">
        <f t="shared" si="100"/>
        <v>1725297191</v>
      </c>
      <c r="S612" s="246" t="s">
        <v>222</v>
      </c>
      <c r="T612" s="245">
        <f t="shared" si="109"/>
        <v>0</v>
      </c>
      <c r="U612" s="145" t="str">
        <f t="shared" si="101"/>
        <v>SUBDIRECCION DE GESTION CONTRACTUAL</v>
      </c>
      <c r="V612" s="245" t="str">
        <f t="shared" si="106"/>
        <v>CO-DC</v>
      </c>
      <c r="W612" s="245" t="str">
        <f t="shared" si="107"/>
        <v>Distrito Capital de Bogotá</v>
      </c>
      <c r="X612" s="154" t="s">
        <v>553</v>
      </c>
      <c r="Y612" s="147">
        <v>2427400</v>
      </c>
      <c r="Z612" s="157" t="s">
        <v>160</v>
      </c>
      <c r="AA612" s="248"/>
      <c r="AB612" s="248"/>
      <c r="AC612" s="248"/>
      <c r="AD612" s="248"/>
      <c r="AE612" s="248"/>
      <c r="AF612" s="248"/>
      <c r="AG612" s="248"/>
      <c r="AH612" s="248"/>
      <c r="AI612" s="248"/>
      <c r="AJ612" s="248"/>
      <c r="AK612" s="248"/>
      <c r="AL612" s="248"/>
      <c r="AM612" s="248"/>
      <c r="AN612" s="248"/>
      <c r="AO612" s="248"/>
      <c r="AP612" s="248"/>
      <c r="AQ612" s="248"/>
      <c r="AR612" s="248"/>
      <c r="AS612" s="248"/>
      <c r="AT612" s="248"/>
      <c r="AU612" s="152"/>
      <c r="AV612" s="152"/>
      <c r="AW612" s="152"/>
      <c r="AX612" s="152"/>
      <c r="AY612" s="152"/>
      <c r="AZ612" s="152"/>
      <c r="BA612" s="152"/>
      <c r="BB612" s="152"/>
      <c r="BC612" s="152"/>
      <c r="BD612" s="152"/>
      <c r="BE612" s="152"/>
      <c r="BF612" s="152"/>
      <c r="BG612" s="152"/>
      <c r="BH612" s="152"/>
      <c r="BI612" s="152"/>
      <c r="BJ612" s="152"/>
      <c r="BK612" s="152"/>
      <c r="BL612" s="152"/>
      <c r="BM612" s="152"/>
      <c r="BN612" s="152"/>
      <c r="BO612" s="152"/>
      <c r="BP612" s="152"/>
      <c r="BQ612" s="152"/>
      <c r="BR612" s="152"/>
      <c r="BS612" s="152"/>
      <c r="BT612" s="152"/>
      <c r="BU612" s="152"/>
      <c r="BV612" s="152"/>
      <c r="BW612" s="152"/>
      <c r="BX612" s="152"/>
      <c r="BY612" s="152"/>
      <c r="BZ612" s="152"/>
      <c r="CA612" s="152"/>
      <c r="CB612" s="152"/>
      <c r="CC612" s="152"/>
      <c r="CD612" s="152"/>
      <c r="CE612" s="152"/>
      <c r="CF612" s="152"/>
      <c r="CG612" s="252"/>
    </row>
    <row r="613" spans="1:85" s="250" customFormat="1" ht="13.9" customHeight="1" x14ac:dyDescent="0.2">
      <c r="A613" s="251" t="s">
        <v>158</v>
      </c>
      <c r="B613" s="147">
        <v>88</v>
      </c>
      <c r="C613" s="244" t="s">
        <v>583</v>
      </c>
      <c r="D613" s="154" t="s">
        <v>159</v>
      </c>
      <c r="E613" s="155"/>
      <c r="F613" s="155">
        <v>962792662</v>
      </c>
      <c r="G613" s="155"/>
      <c r="H613" s="154" t="s">
        <v>749</v>
      </c>
      <c r="I613" s="244" t="s">
        <v>674</v>
      </c>
      <c r="J613" s="147">
        <v>1</v>
      </c>
      <c r="K613" s="147">
        <v>1</v>
      </c>
      <c r="L613" s="147">
        <v>12</v>
      </c>
      <c r="M613" s="132">
        <f t="shared" si="98"/>
        <v>1</v>
      </c>
      <c r="N613" s="140" t="s">
        <v>36</v>
      </c>
      <c r="O613" s="141" t="str">
        <f>IF(ISBLANK(N613),"",VLOOKUP(N613,[25]Parámetros!$G$2:$H$23,2,FALSE))</f>
        <v xml:space="preserve">Contratación directa (con ofertas) </v>
      </c>
      <c r="P613" s="245">
        <f t="shared" si="108"/>
        <v>1</v>
      </c>
      <c r="Q613" s="143">
        <f t="shared" si="99"/>
        <v>962792662</v>
      </c>
      <c r="R613" s="143">
        <f t="shared" si="100"/>
        <v>962792662</v>
      </c>
      <c r="S613" s="246" t="s">
        <v>222</v>
      </c>
      <c r="T613" s="245">
        <f t="shared" si="109"/>
        <v>0</v>
      </c>
      <c r="U613" s="145" t="str">
        <f t="shared" si="101"/>
        <v>SUBDIRECCION DE GESTION CONTRACTUAL</v>
      </c>
      <c r="V613" s="245" t="str">
        <f t="shared" si="106"/>
        <v>CO-DC</v>
      </c>
      <c r="W613" s="245" t="str">
        <f t="shared" si="107"/>
        <v>Distrito Capital de Bogotá</v>
      </c>
      <c r="X613" s="154" t="s">
        <v>553</v>
      </c>
      <c r="Y613" s="147">
        <v>2427400</v>
      </c>
      <c r="Z613" s="157" t="s">
        <v>160</v>
      </c>
      <c r="AA613" s="248"/>
      <c r="AB613" s="248"/>
      <c r="AC613" s="248"/>
      <c r="AD613" s="248"/>
      <c r="AE613" s="248"/>
      <c r="AF613" s="248"/>
      <c r="AG613" s="248"/>
      <c r="AH613" s="248"/>
      <c r="AI613" s="248"/>
      <c r="AJ613" s="248"/>
      <c r="AK613" s="248"/>
      <c r="AL613" s="248"/>
      <c r="AM613" s="248"/>
      <c r="AN613" s="248"/>
      <c r="AO613" s="248"/>
      <c r="AP613" s="248"/>
      <c r="AQ613" s="248"/>
      <c r="AR613" s="248"/>
      <c r="AS613" s="248"/>
      <c r="AT613" s="248"/>
      <c r="AU613" s="152"/>
      <c r="AV613" s="152"/>
      <c r="AW613" s="152"/>
      <c r="AX613" s="152"/>
      <c r="AY613" s="152"/>
      <c r="AZ613" s="152"/>
      <c r="BA613" s="152"/>
      <c r="BB613" s="152"/>
      <c r="BC613" s="152"/>
      <c r="BD613" s="152"/>
      <c r="BE613" s="152"/>
      <c r="BF613" s="152"/>
      <c r="BG613" s="152"/>
      <c r="BH613" s="152"/>
      <c r="BI613" s="152"/>
      <c r="BJ613" s="152"/>
      <c r="BK613" s="152"/>
      <c r="BL613" s="152"/>
      <c r="BM613" s="152"/>
      <c r="BN613" s="152"/>
      <c r="BO613" s="152"/>
      <c r="BP613" s="152"/>
      <c r="BQ613" s="152"/>
      <c r="BR613" s="152"/>
      <c r="BS613" s="152"/>
      <c r="BT613" s="152"/>
      <c r="BU613" s="152"/>
      <c r="BV613" s="152"/>
      <c r="BW613" s="152"/>
      <c r="BX613" s="152"/>
      <c r="BY613" s="152"/>
      <c r="BZ613" s="152"/>
      <c r="CA613" s="152"/>
      <c r="CB613" s="152"/>
      <c r="CC613" s="152"/>
      <c r="CD613" s="152"/>
      <c r="CE613" s="152"/>
      <c r="CF613" s="152"/>
      <c r="CG613" s="252"/>
    </row>
    <row r="614" spans="1:85" s="250" customFormat="1" ht="13.9" customHeight="1" x14ac:dyDescent="0.2">
      <c r="A614" s="251" t="s">
        <v>158</v>
      </c>
      <c r="B614" s="147">
        <v>89</v>
      </c>
      <c r="C614" s="244" t="s">
        <v>583</v>
      </c>
      <c r="D614" s="154" t="s">
        <v>159</v>
      </c>
      <c r="E614" s="155"/>
      <c r="F614" s="155">
        <v>2038115564</v>
      </c>
      <c r="G614" s="155"/>
      <c r="H614" s="154" t="s">
        <v>749</v>
      </c>
      <c r="I614" s="244" t="s">
        <v>673</v>
      </c>
      <c r="J614" s="147">
        <v>1</v>
      </c>
      <c r="K614" s="147">
        <v>1</v>
      </c>
      <c r="L614" s="147">
        <v>12</v>
      </c>
      <c r="M614" s="132">
        <f t="shared" ref="M614:M660" si="110">IF(ISBLANK(J614),"",1)</f>
        <v>1</v>
      </c>
      <c r="N614" s="140" t="s">
        <v>36</v>
      </c>
      <c r="O614" s="141" t="str">
        <f>IF(ISBLANK(N614),"",VLOOKUP(N614,[25]Parámetros!$G$2:$H$23,2,FALSE))</f>
        <v xml:space="preserve">Contratación directa (con ofertas) </v>
      </c>
      <c r="P614" s="245">
        <f t="shared" si="108"/>
        <v>1</v>
      </c>
      <c r="Q614" s="143">
        <f t="shared" ref="Q614:Q682" si="111">+E614+F614+G614</f>
        <v>2038115564</v>
      </c>
      <c r="R614" s="143">
        <f t="shared" ref="R614:R682" si="112">+F614</f>
        <v>2038115564</v>
      </c>
      <c r="S614" s="246" t="s">
        <v>222</v>
      </c>
      <c r="T614" s="245">
        <f t="shared" si="109"/>
        <v>0</v>
      </c>
      <c r="U614" s="145" t="str">
        <f t="shared" ref="U614:U661" si="113">IF(ISBLANK(N614),"","SUBDIRECCION DE GESTION CONTRACTUAL")</f>
        <v>SUBDIRECCION DE GESTION CONTRACTUAL</v>
      </c>
      <c r="V614" s="245" t="str">
        <f t="shared" si="106"/>
        <v>CO-DC</v>
      </c>
      <c r="W614" s="245" t="str">
        <f t="shared" si="107"/>
        <v>Distrito Capital de Bogotá</v>
      </c>
      <c r="X614" s="154" t="s">
        <v>553</v>
      </c>
      <c r="Y614" s="147">
        <v>2427400</v>
      </c>
      <c r="Z614" s="157" t="s">
        <v>160</v>
      </c>
      <c r="AA614" s="248"/>
      <c r="AB614" s="248"/>
      <c r="AC614" s="248"/>
      <c r="AD614" s="248"/>
      <c r="AE614" s="248"/>
      <c r="AF614" s="248"/>
      <c r="AG614" s="248"/>
      <c r="AH614" s="248"/>
      <c r="AI614" s="248"/>
      <c r="AJ614" s="248"/>
      <c r="AK614" s="248"/>
      <c r="AL614" s="248"/>
      <c r="AM614" s="248"/>
      <c r="AN614" s="248"/>
      <c r="AO614" s="248"/>
      <c r="AP614" s="248"/>
      <c r="AQ614" s="248"/>
      <c r="AR614" s="248"/>
      <c r="AS614" s="248"/>
      <c r="AT614" s="248"/>
      <c r="AU614" s="152"/>
      <c r="AV614" s="152"/>
      <c r="AW614" s="152"/>
      <c r="AX614" s="152"/>
      <c r="AY614" s="152"/>
      <c r="AZ614" s="152"/>
      <c r="BA614" s="152"/>
      <c r="BB614" s="152"/>
      <c r="BC614" s="152"/>
      <c r="BD614" s="152"/>
      <c r="BE614" s="152"/>
      <c r="BF614" s="152"/>
      <c r="BG614" s="152"/>
      <c r="BH614" s="152"/>
      <c r="BI614" s="152"/>
      <c r="BJ614" s="152"/>
      <c r="BK614" s="152"/>
      <c r="BL614" s="152"/>
      <c r="BM614" s="152"/>
      <c r="BN614" s="152"/>
      <c r="BO614" s="152"/>
      <c r="BP614" s="152"/>
      <c r="BQ614" s="152"/>
      <c r="BR614" s="152"/>
      <c r="BS614" s="152"/>
      <c r="BT614" s="152"/>
      <c r="BU614" s="152"/>
      <c r="BV614" s="152"/>
      <c r="BW614" s="152"/>
      <c r="BX614" s="152"/>
      <c r="BY614" s="152"/>
      <c r="BZ614" s="152"/>
      <c r="CA614" s="152"/>
      <c r="CB614" s="152"/>
      <c r="CC614" s="152"/>
      <c r="CD614" s="152"/>
      <c r="CE614" s="152"/>
      <c r="CF614" s="152"/>
      <c r="CG614" s="252"/>
    </row>
    <row r="615" spans="1:85" s="250" customFormat="1" ht="13.9" customHeight="1" x14ac:dyDescent="0.2">
      <c r="A615" s="251" t="s">
        <v>158</v>
      </c>
      <c r="B615" s="147">
        <v>90</v>
      </c>
      <c r="C615" s="244" t="s">
        <v>583</v>
      </c>
      <c r="D615" s="154" t="s">
        <v>159</v>
      </c>
      <c r="E615" s="155"/>
      <c r="F615" s="155">
        <v>729646729</v>
      </c>
      <c r="G615" s="155"/>
      <c r="H615" s="154" t="s">
        <v>749</v>
      </c>
      <c r="I615" s="244" t="s">
        <v>672</v>
      </c>
      <c r="J615" s="147">
        <v>1</v>
      </c>
      <c r="K615" s="147">
        <v>1</v>
      </c>
      <c r="L615" s="147">
        <v>12</v>
      </c>
      <c r="M615" s="132">
        <f t="shared" si="110"/>
        <v>1</v>
      </c>
      <c r="N615" s="140" t="s">
        <v>36</v>
      </c>
      <c r="O615" s="141" t="str">
        <f>IF(ISBLANK(N615),"",VLOOKUP(N615,[25]Parámetros!$G$2:$H$23,2,FALSE))</f>
        <v xml:space="preserve">Contratación directa (con ofertas) </v>
      </c>
      <c r="P615" s="245">
        <f t="shared" si="108"/>
        <v>1</v>
      </c>
      <c r="Q615" s="143">
        <f t="shared" si="111"/>
        <v>729646729</v>
      </c>
      <c r="R615" s="143">
        <f t="shared" si="112"/>
        <v>729646729</v>
      </c>
      <c r="S615" s="246" t="s">
        <v>222</v>
      </c>
      <c r="T615" s="245">
        <f t="shared" si="109"/>
        <v>0</v>
      </c>
      <c r="U615" s="145" t="str">
        <f t="shared" si="113"/>
        <v>SUBDIRECCION DE GESTION CONTRACTUAL</v>
      </c>
      <c r="V615" s="245" t="str">
        <f t="shared" si="106"/>
        <v>CO-DC</v>
      </c>
      <c r="W615" s="245" t="str">
        <f t="shared" si="107"/>
        <v>Distrito Capital de Bogotá</v>
      </c>
      <c r="X615" s="154" t="s">
        <v>553</v>
      </c>
      <c r="Y615" s="147">
        <v>2427400</v>
      </c>
      <c r="Z615" s="157" t="s">
        <v>160</v>
      </c>
      <c r="AA615" s="248"/>
      <c r="AB615" s="248"/>
      <c r="AC615" s="248"/>
      <c r="AD615" s="248"/>
      <c r="AE615" s="248"/>
      <c r="AF615" s="248"/>
      <c r="AG615" s="248"/>
      <c r="AH615" s="248"/>
      <c r="AI615" s="248"/>
      <c r="AJ615" s="248"/>
      <c r="AK615" s="248"/>
      <c r="AL615" s="248"/>
      <c r="AM615" s="248"/>
      <c r="AN615" s="248"/>
      <c r="AO615" s="248"/>
      <c r="AP615" s="248"/>
      <c r="AQ615" s="248"/>
      <c r="AR615" s="248"/>
      <c r="AS615" s="248"/>
      <c r="AT615" s="248"/>
      <c r="AU615" s="152"/>
      <c r="AV615" s="152"/>
      <c r="AW615" s="152"/>
      <c r="AX615" s="152"/>
      <c r="AY615" s="152"/>
      <c r="AZ615" s="152"/>
      <c r="BA615" s="152"/>
      <c r="BB615" s="152"/>
      <c r="BC615" s="152"/>
      <c r="BD615" s="152"/>
      <c r="BE615" s="152"/>
      <c r="BF615" s="152"/>
      <c r="BG615" s="152"/>
      <c r="BH615" s="152"/>
      <c r="BI615" s="152"/>
      <c r="BJ615" s="152"/>
      <c r="BK615" s="152"/>
      <c r="BL615" s="152"/>
      <c r="BM615" s="152"/>
      <c r="BN615" s="152"/>
      <c r="BO615" s="152"/>
      <c r="BP615" s="152"/>
      <c r="BQ615" s="152"/>
      <c r="BR615" s="152"/>
      <c r="BS615" s="152"/>
      <c r="BT615" s="152"/>
      <c r="BU615" s="152"/>
      <c r="BV615" s="152"/>
      <c r="BW615" s="152"/>
      <c r="BX615" s="152"/>
      <c r="BY615" s="152"/>
      <c r="BZ615" s="152"/>
      <c r="CA615" s="152"/>
      <c r="CB615" s="152"/>
      <c r="CC615" s="152"/>
      <c r="CD615" s="152"/>
      <c r="CE615" s="152"/>
      <c r="CF615" s="152"/>
      <c r="CG615" s="252"/>
    </row>
    <row r="616" spans="1:85" s="250" customFormat="1" ht="13.9" customHeight="1" x14ac:dyDescent="0.2">
      <c r="A616" s="251" t="s">
        <v>158</v>
      </c>
      <c r="B616" s="147">
        <v>91</v>
      </c>
      <c r="C616" s="244" t="s">
        <v>583</v>
      </c>
      <c r="D616" s="154" t="s">
        <v>159</v>
      </c>
      <c r="E616" s="155"/>
      <c r="F616" s="155">
        <v>3098514986</v>
      </c>
      <c r="G616" s="155"/>
      <c r="H616" s="154" t="s">
        <v>749</v>
      </c>
      <c r="I616" s="244" t="s">
        <v>671</v>
      </c>
      <c r="J616" s="147">
        <v>1</v>
      </c>
      <c r="K616" s="147">
        <v>1</v>
      </c>
      <c r="L616" s="147">
        <v>12</v>
      </c>
      <c r="M616" s="132">
        <f t="shared" si="110"/>
        <v>1</v>
      </c>
      <c r="N616" s="140" t="s">
        <v>36</v>
      </c>
      <c r="O616" s="141" t="str">
        <f>IF(ISBLANK(N616),"",VLOOKUP(N616,[25]Parámetros!$G$2:$H$23,2,FALSE))</f>
        <v xml:space="preserve">Contratación directa (con ofertas) </v>
      </c>
      <c r="P616" s="245">
        <f t="shared" si="108"/>
        <v>1</v>
      </c>
      <c r="Q616" s="143">
        <f t="shared" si="111"/>
        <v>3098514986</v>
      </c>
      <c r="R616" s="143">
        <f t="shared" si="112"/>
        <v>3098514986</v>
      </c>
      <c r="S616" s="246" t="s">
        <v>222</v>
      </c>
      <c r="T616" s="245">
        <f t="shared" si="109"/>
        <v>0</v>
      </c>
      <c r="U616" s="145" t="str">
        <f t="shared" si="113"/>
        <v>SUBDIRECCION DE GESTION CONTRACTUAL</v>
      </c>
      <c r="V616" s="245" t="str">
        <f t="shared" si="106"/>
        <v>CO-DC</v>
      </c>
      <c r="W616" s="245" t="str">
        <f t="shared" si="107"/>
        <v>Distrito Capital de Bogotá</v>
      </c>
      <c r="X616" s="154" t="s">
        <v>553</v>
      </c>
      <c r="Y616" s="147">
        <v>2427400</v>
      </c>
      <c r="Z616" s="157" t="s">
        <v>160</v>
      </c>
      <c r="AA616" s="248"/>
      <c r="AB616" s="248"/>
      <c r="AC616" s="248"/>
      <c r="AD616" s="248"/>
      <c r="AE616" s="248"/>
      <c r="AF616" s="248"/>
      <c r="AG616" s="248"/>
      <c r="AH616" s="248"/>
      <c r="AI616" s="248"/>
      <c r="AJ616" s="248"/>
      <c r="AK616" s="248"/>
      <c r="AL616" s="248"/>
      <c r="AM616" s="248"/>
      <c r="AN616" s="248"/>
      <c r="AO616" s="248"/>
      <c r="AP616" s="248"/>
      <c r="AQ616" s="248"/>
      <c r="AR616" s="248"/>
      <c r="AS616" s="248"/>
      <c r="AT616" s="248"/>
      <c r="AU616" s="152"/>
      <c r="AV616" s="152"/>
      <c r="AW616" s="152"/>
      <c r="AX616" s="152"/>
      <c r="AY616" s="152"/>
      <c r="AZ616" s="152"/>
      <c r="BA616" s="152"/>
      <c r="BB616" s="152"/>
      <c r="BC616" s="152"/>
      <c r="BD616" s="152"/>
      <c r="BE616" s="152"/>
      <c r="BF616" s="152"/>
      <c r="BG616" s="152"/>
      <c r="BH616" s="152"/>
      <c r="BI616" s="152"/>
      <c r="BJ616" s="152"/>
      <c r="BK616" s="152"/>
      <c r="BL616" s="152"/>
      <c r="BM616" s="152"/>
      <c r="BN616" s="152"/>
      <c r="BO616" s="152"/>
      <c r="BP616" s="152"/>
      <c r="BQ616" s="152"/>
      <c r="BR616" s="152"/>
      <c r="BS616" s="152"/>
      <c r="BT616" s="152"/>
      <c r="BU616" s="152"/>
      <c r="BV616" s="152"/>
      <c r="BW616" s="152"/>
      <c r="BX616" s="152"/>
      <c r="BY616" s="152"/>
      <c r="BZ616" s="152"/>
      <c r="CA616" s="152"/>
      <c r="CB616" s="152"/>
      <c r="CC616" s="152"/>
      <c r="CD616" s="152"/>
      <c r="CE616" s="152"/>
      <c r="CF616" s="152"/>
      <c r="CG616" s="252"/>
    </row>
    <row r="617" spans="1:85" s="250" customFormat="1" ht="13.9" customHeight="1" x14ac:dyDescent="0.2">
      <c r="A617" s="251" t="s">
        <v>158</v>
      </c>
      <c r="B617" s="147">
        <v>92</v>
      </c>
      <c r="C617" s="244" t="s">
        <v>583</v>
      </c>
      <c r="D617" s="154" t="s">
        <v>159</v>
      </c>
      <c r="E617" s="155"/>
      <c r="F617" s="155">
        <v>725962018</v>
      </c>
      <c r="G617" s="155"/>
      <c r="H617" s="154" t="s">
        <v>749</v>
      </c>
      <c r="I617" s="244" t="s">
        <v>670</v>
      </c>
      <c r="J617" s="147">
        <v>1</v>
      </c>
      <c r="K617" s="147">
        <v>1</v>
      </c>
      <c r="L617" s="147">
        <v>12</v>
      </c>
      <c r="M617" s="132">
        <f t="shared" si="110"/>
        <v>1</v>
      </c>
      <c r="N617" s="140" t="s">
        <v>36</v>
      </c>
      <c r="O617" s="141" t="str">
        <f>IF(ISBLANK(N617),"",VLOOKUP(N617,[25]Parámetros!$G$2:$H$23,2,FALSE))</f>
        <v xml:space="preserve">Contratación directa (con ofertas) </v>
      </c>
      <c r="P617" s="245">
        <f t="shared" si="108"/>
        <v>1</v>
      </c>
      <c r="Q617" s="143">
        <f t="shared" si="111"/>
        <v>725962018</v>
      </c>
      <c r="R617" s="143">
        <f t="shared" si="112"/>
        <v>725962018</v>
      </c>
      <c r="S617" s="246" t="s">
        <v>222</v>
      </c>
      <c r="T617" s="245">
        <f t="shared" si="109"/>
        <v>0</v>
      </c>
      <c r="U617" s="145" t="str">
        <f t="shared" si="113"/>
        <v>SUBDIRECCION DE GESTION CONTRACTUAL</v>
      </c>
      <c r="V617" s="245" t="str">
        <f t="shared" si="106"/>
        <v>CO-DC</v>
      </c>
      <c r="W617" s="245" t="str">
        <f t="shared" si="107"/>
        <v>Distrito Capital de Bogotá</v>
      </c>
      <c r="X617" s="154" t="s">
        <v>553</v>
      </c>
      <c r="Y617" s="147">
        <v>2427400</v>
      </c>
      <c r="Z617" s="157" t="s">
        <v>160</v>
      </c>
      <c r="AA617" s="248"/>
      <c r="AB617" s="248"/>
      <c r="AC617" s="248"/>
      <c r="AD617" s="248"/>
      <c r="AE617" s="248"/>
      <c r="AF617" s="248"/>
      <c r="AG617" s="248"/>
      <c r="AH617" s="248"/>
      <c r="AI617" s="248"/>
      <c r="AJ617" s="248"/>
      <c r="AK617" s="248"/>
      <c r="AL617" s="248"/>
      <c r="AM617" s="248"/>
      <c r="AN617" s="248"/>
      <c r="AO617" s="248"/>
      <c r="AP617" s="248"/>
      <c r="AQ617" s="248"/>
      <c r="AR617" s="248"/>
      <c r="AS617" s="248"/>
      <c r="AT617" s="248"/>
      <c r="AU617" s="152"/>
      <c r="AV617" s="152"/>
      <c r="AW617" s="152"/>
      <c r="AX617" s="152"/>
      <c r="AY617" s="152"/>
      <c r="AZ617" s="152"/>
      <c r="BA617" s="152"/>
      <c r="BB617" s="152"/>
      <c r="BC617" s="152"/>
      <c r="BD617" s="152"/>
      <c r="BE617" s="152"/>
      <c r="BF617" s="152"/>
      <c r="BG617" s="152"/>
      <c r="BH617" s="152"/>
      <c r="BI617" s="152"/>
      <c r="BJ617" s="152"/>
      <c r="BK617" s="152"/>
      <c r="BL617" s="152"/>
      <c r="BM617" s="152"/>
      <c r="BN617" s="152"/>
      <c r="BO617" s="152"/>
      <c r="BP617" s="152"/>
      <c r="BQ617" s="152"/>
      <c r="BR617" s="152"/>
      <c r="BS617" s="152"/>
      <c r="BT617" s="152"/>
      <c r="BU617" s="152"/>
      <c r="BV617" s="152"/>
      <c r="BW617" s="152"/>
      <c r="BX617" s="152"/>
      <c r="BY617" s="152"/>
      <c r="BZ617" s="152"/>
      <c r="CA617" s="152"/>
      <c r="CB617" s="152"/>
      <c r="CC617" s="152"/>
      <c r="CD617" s="152"/>
      <c r="CE617" s="152"/>
      <c r="CF617" s="152"/>
      <c r="CG617" s="252"/>
    </row>
    <row r="618" spans="1:85" s="250" customFormat="1" ht="13.9" customHeight="1" x14ac:dyDescent="0.2">
      <c r="A618" s="251" t="s">
        <v>158</v>
      </c>
      <c r="B618" s="147">
        <v>93</v>
      </c>
      <c r="C618" s="244" t="s">
        <v>583</v>
      </c>
      <c r="D618" s="154" t="s">
        <v>159</v>
      </c>
      <c r="E618" s="155"/>
      <c r="F618" s="155">
        <f>8400000000+1100000000</f>
        <v>9500000000</v>
      </c>
      <c r="G618" s="155"/>
      <c r="H618" s="154">
        <v>80111600</v>
      </c>
      <c r="I618" s="244" t="s">
        <v>669</v>
      </c>
      <c r="J618" s="147">
        <v>1</v>
      </c>
      <c r="K618" s="147">
        <v>1</v>
      </c>
      <c r="L618" s="147">
        <v>12</v>
      </c>
      <c r="M618" s="132">
        <f t="shared" si="110"/>
        <v>1</v>
      </c>
      <c r="N618" s="140" t="s">
        <v>216</v>
      </c>
      <c r="O618" s="141" t="str">
        <f>IF(ISBLANK(N618),"",VLOOKUP(N618,[25]Parámetros!$G$2:$H$23,2,FALSE))</f>
        <v>Contratación directa.</v>
      </c>
      <c r="P618" s="245">
        <f t="shared" si="108"/>
        <v>1</v>
      </c>
      <c r="Q618" s="143">
        <f t="shared" si="111"/>
        <v>9500000000</v>
      </c>
      <c r="R618" s="143">
        <f t="shared" si="112"/>
        <v>9500000000</v>
      </c>
      <c r="S618" s="246" t="s">
        <v>222</v>
      </c>
      <c r="T618" s="245">
        <f t="shared" si="109"/>
        <v>0</v>
      </c>
      <c r="U618" s="145" t="str">
        <f t="shared" si="113"/>
        <v>SUBDIRECCION DE GESTION CONTRACTUAL</v>
      </c>
      <c r="V618" s="245" t="str">
        <f t="shared" si="106"/>
        <v>CO-DC</v>
      </c>
      <c r="W618" s="245" t="str">
        <f t="shared" si="107"/>
        <v>Distrito Capital de Bogotá</v>
      </c>
      <c r="X618" s="154" t="s">
        <v>553</v>
      </c>
      <c r="Y618" s="147">
        <v>2427400</v>
      </c>
      <c r="Z618" s="130" t="s">
        <v>160</v>
      </c>
      <c r="AA618" s="248"/>
      <c r="AB618" s="248"/>
      <c r="AC618" s="248"/>
      <c r="AD618" s="248"/>
      <c r="AE618" s="248"/>
      <c r="AF618" s="248"/>
      <c r="AG618" s="248"/>
      <c r="AH618" s="248"/>
      <c r="AI618" s="248"/>
      <c r="AJ618" s="248"/>
      <c r="AK618" s="248"/>
      <c r="AL618" s="248"/>
      <c r="AM618" s="248"/>
      <c r="AN618" s="248"/>
      <c r="AO618" s="248"/>
      <c r="AP618" s="248"/>
      <c r="AQ618" s="248"/>
      <c r="AR618" s="248"/>
      <c r="AS618" s="248"/>
      <c r="AT618" s="248"/>
      <c r="AU618" s="152"/>
      <c r="AV618" s="152"/>
      <c r="AW618" s="152"/>
      <c r="AX618" s="152"/>
      <c r="AY618" s="152"/>
      <c r="AZ618" s="152"/>
      <c r="BA618" s="152"/>
      <c r="BB618" s="152"/>
      <c r="BC618" s="152"/>
      <c r="BD618" s="152"/>
      <c r="BE618" s="152"/>
      <c r="BF618" s="152"/>
      <c r="BG618" s="152"/>
      <c r="BH618" s="152"/>
      <c r="BI618" s="152"/>
      <c r="BJ618" s="152"/>
      <c r="BK618" s="152"/>
      <c r="BL618" s="152"/>
      <c r="BM618" s="152"/>
      <c r="BN618" s="152"/>
      <c r="BO618" s="152"/>
      <c r="BP618" s="152"/>
      <c r="BQ618" s="152"/>
      <c r="BR618" s="152"/>
      <c r="BS618" s="152"/>
      <c r="BT618" s="152"/>
      <c r="BU618" s="152"/>
      <c r="BV618" s="152"/>
      <c r="BW618" s="152"/>
      <c r="BX618" s="152"/>
      <c r="BY618" s="152"/>
      <c r="BZ618" s="152"/>
      <c r="CA618" s="152"/>
      <c r="CB618" s="152"/>
      <c r="CC618" s="152"/>
      <c r="CD618" s="152"/>
      <c r="CE618" s="152"/>
      <c r="CF618" s="152"/>
      <c r="CG618" s="252"/>
    </row>
    <row r="619" spans="1:85" s="250" customFormat="1" ht="13.9" customHeight="1" x14ac:dyDescent="0.2">
      <c r="A619" s="251" t="s">
        <v>158</v>
      </c>
      <c r="B619" s="147">
        <v>94</v>
      </c>
      <c r="C619" s="244" t="s">
        <v>583</v>
      </c>
      <c r="D619" s="154" t="s">
        <v>159</v>
      </c>
      <c r="E619" s="155"/>
      <c r="F619" s="155">
        <v>650000000</v>
      </c>
      <c r="G619" s="155"/>
      <c r="H619" s="135" t="s">
        <v>103</v>
      </c>
      <c r="I619" s="244" t="s">
        <v>598</v>
      </c>
      <c r="J619" s="137">
        <v>2</v>
      </c>
      <c r="K619" s="138">
        <v>3</v>
      </c>
      <c r="L619" s="139">
        <v>10</v>
      </c>
      <c r="M619" s="132">
        <f t="shared" si="110"/>
        <v>1</v>
      </c>
      <c r="N619" s="140" t="s">
        <v>36</v>
      </c>
      <c r="O619" s="141" t="str">
        <f>IF(ISBLANK(N619),"",VLOOKUP(N619,[1]Parámetros!$G$2:$H$23,2,FALSE))</f>
        <v xml:space="preserve">Contratación directa (con ofertas) </v>
      </c>
      <c r="P619" s="245">
        <f t="shared" si="108"/>
        <v>1</v>
      </c>
      <c r="Q619" s="143">
        <f t="shared" si="111"/>
        <v>650000000</v>
      </c>
      <c r="R619" s="143">
        <f t="shared" si="112"/>
        <v>650000000</v>
      </c>
      <c r="S619" s="246" t="s">
        <v>222</v>
      </c>
      <c r="T619" s="245">
        <f t="shared" si="109"/>
        <v>0</v>
      </c>
      <c r="U619" s="145" t="str">
        <f t="shared" si="113"/>
        <v>SUBDIRECCION DE GESTION CONTRACTUAL</v>
      </c>
      <c r="V619" s="245" t="str">
        <f t="shared" si="106"/>
        <v>CO-DC</v>
      </c>
      <c r="W619" s="245" t="str">
        <f t="shared" si="107"/>
        <v>Distrito Capital de Bogotá</v>
      </c>
      <c r="X619" s="154" t="s">
        <v>553</v>
      </c>
      <c r="Y619" s="147">
        <v>2427400</v>
      </c>
      <c r="Z619" s="157" t="s">
        <v>160</v>
      </c>
      <c r="AA619" s="248"/>
      <c r="AB619" s="248"/>
      <c r="AC619" s="248"/>
      <c r="AD619" s="248"/>
      <c r="AE619" s="248"/>
      <c r="AF619" s="248"/>
      <c r="AG619" s="248"/>
      <c r="AH619" s="248"/>
      <c r="AI619" s="248"/>
      <c r="AJ619" s="248"/>
      <c r="AK619" s="248"/>
      <c r="AL619" s="248"/>
      <c r="AM619" s="248"/>
      <c r="AN619" s="248"/>
      <c r="AO619" s="248"/>
      <c r="AP619" s="248"/>
      <c r="AQ619" s="248"/>
      <c r="AR619" s="248"/>
      <c r="AS619" s="248"/>
      <c r="AT619" s="248"/>
      <c r="AU619" s="152"/>
      <c r="AV619" s="152"/>
      <c r="AW619" s="152"/>
      <c r="AX619" s="152"/>
      <c r="AY619" s="152"/>
      <c r="AZ619" s="152"/>
      <c r="BA619" s="152"/>
      <c r="BB619" s="152"/>
      <c r="BC619" s="152"/>
      <c r="BD619" s="152"/>
      <c r="BE619" s="152"/>
      <c r="BF619" s="152"/>
      <c r="BG619" s="152"/>
      <c r="BH619" s="152"/>
      <c r="BI619" s="152"/>
      <c r="BJ619" s="152"/>
      <c r="BK619" s="152"/>
      <c r="BL619" s="152"/>
      <c r="BM619" s="152"/>
      <c r="BN619" s="152"/>
      <c r="BO619" s="152"/>
      <c r="BP619" s="152"/>
      <c r="BQ619" s="152"/>
      <c r="BR619" s="152"/>
      <c r="BS619" s="152"/>
      <c r="BT619" s="152"/>
      <c r="BU619" s="152"/>
      <c r="BV619" s="152"/>
      <c r="BW619" s="152"/>
      <c r="BX619" s="152"/>
      <c r="BY619" s="152"/>
      <c r="BZ619" s="152"/>
      <c r="CA619" s="152"/>
      <c r="CB619" s="152"/>
      <c r="CC619" s="152"/>
      <c r="CD619" s="152"/>
      <c r="CE619" s="152"/>
      <c r="CF619" s="152"/>
      <c r="CG619" s="252"/>
    </row>
    <row r="620" spans="1:85" s="250" customFormat="1" ht="13.9" customHeight="1" x14ac:dyDescent="0.2">
      <c r="A620" s="251" t="s">
        <v>158</v>
      </c>
      <c r="B620" s="147">
        <v>95</v>
      </c>
      <c r="C620" s="244" t="s">
        <v>583</v>
      </c>
      <c r="D620" s="154" t="s">
        <v>159</v>
      </c>
      <c r="E620" s="155"/>
      <c r="F620" s="155">
        <v>80000000</v>
      </c>
      <c r="G620" s="155"/>
      <c r="H620" s="135" t="s">
        <v>752</v>
      </c>
      <c r="I620" s="244" t="s">
        <v>584</v>
      </c>
      <c r="J620" s="160">
        <v>1</v>
      </c>
      <c r="K620" s="160">
        <v>2</v>
      </c>
      <c r="L620" s="160">
        <v>3</v>
      </c>
      <c r="M620" s="132">
        <f t="shared" si="110"/>
        <v>1</v>
      </c>
      <c r="N620" s="140" t="s">
        <v>36</v>
      </c>
      <c r="O620" s="141" t="str">
        <f>IF(ISBLANK(N620),"",VLOOKUP(N620,[25]Parámetros!$G$2:$H$23,2,FALSE))</f>
        <v xml:space="preserve">Contratación directa (con ofertas) </v>
      </c>
      <c r="P620" s="245">
        <f t="shared" si="108"/>
        <v>1</v>
      </c>
      <c r="Q620" s="143">
        <f t="shared" si="111"/>
        <v>80000000</v>
      </c>
      <c r="R620" s="143">
        <f t="shared" si="112"/>
        <v>80000000</v>
      </c>
      <c r="S620" s="246" t="s">
        <v>222</v>
      </c>
      <c r="T620" s="245">
        <f t="shared" si="109"/>
        <v>0</v>
      </c>
      <c r="U620" s="145" t="str">
        <f t="shared" si="113"/>
        <v>SUBDIRECCION DE GESTION CONTRACTUAL</v>
      </c>
      <c r="V620" s="245" t="str">
        <f t="shared" si="106"/>
        <v>CO-DC</v>
      </c>
      <c r="W620" s="245" t="str">
        <f t="shared" si="107"/>
        <v>Distrito Capital de Bogotá</v>
      </c>
      <c r="X620" s="154" t="s">
        <v>553</v>
      </c>
      <c r="Y620" s="147">
        <v>2427400</v>
      </c>
      <c r="Z620" s="157" t="s">
        <v>160</v>
      </c>
      <c r="AA620" s="248"/>
      <c r="AB620" s="248"/>
      <c r="AC620" s="248"/>
      <c r="AD620" s="248"/>
      <c r="AE620" s="248"/>
      <c r="AF620" s="248"/>
      <c r="AG620" s="248"/>
      <c r="AH620" s="248"/>
      <c r="AI620" s="248"/>
      <c r="AJ620" s="248"/>
      <c r="AK620" s="248"/>
      <c r="AL620" s="248"/>
      <c r="AM620" s="248"/>
      <c r="AN620" s="248"/>
      <c r="AO620" s="248"/>
      <c r="AP620" s="248"/>
      <c r="AQ620" s="248"/>
      <c r="AR620" s="248"/>
      <c r="AS620" s="248"/>
      <c r="AT620" s="248"/>
      <c r="AU620" s="152"/>
      <c r="AV620" s="152"/>
      <c r="AW620" s="152"/>
      <c r="AX620" s="152"/>
      <c r="AY620" s="152"/>
      <c r="AZ620" s="152"/>
      <c r="BA620" s="152"/>
      <c r="BB620" s="152"/>
      <c r="BC620" s="152"/>
      <c r="BD620" s="152"/>
      <c r="BE620" s="152"/>
      <c r="BF620" s="152"/>
      <c r="BG620" s="152"/>
      <c r="BH620" s="152"/>
      <c r="BI620" s="152"/>
      <c r="BJ620" s="152"/>
      <c r="BK620" s="152"/>
      <c r="BL620" s="152"/>
      <c r="BM620" s="152"/>
      <c r="BN620" s="152"/>
      <c r="BO620" s="152"/>
      <c r="BP620" s="152"/>
      <c r="BQ620" s="152"/>
      <c r="BR620" s="152"/>
      <c r="BS620" s="152"/>
      <c r="BT620" s="152"/>
      <c r="BU620" s="152"/>
      <c r="BV620" s="152"/>
      <c r="BW620" s="152"/>
      <c r="BX620" s="152"/>
      <c r="BY620" s="152"/>
      <c r="BZ620" s="152"/>
      <c r="CA620" s="152"/>
      <c r="CB620" s="152"/>
      <c r="CC620" s="152"/>
      <c r="CD620" s="152"/>
      <c r="CE620" s="152"/>
      <c r="CF620" s="152"/>
      <c r="CG620" s="252"/>
    </row>
    <row r="621" spans="1:85" s="250" customFormat="1" ht="13.9" customHeight="1" x14ac:dyDescent="0.2">
      <c r="A621" s="251" t="s">
        <v>158</v>
      </c>
      <c r="B621" s="147">
        <v>96</v>
      </c>
      <c r="C621" s="244" t="s">
        <v>583</v>
      </c>
      <c r="D621" s="154" t="s">
        <v>159</v>
      </c>
      <c r="E621" s="155"/>
      <c r="F621" s="155">
        <v>850000000</v>
      </c>
      <c r="G621" s="155"/>
      <c r="H621" s="135" t="s">
        <v>42</v>
      </c>
      <c r="I621" s="244" t="s">
        <v>589</v>
      </c>
      <c r="J621" s="137">
        <v>3</v>
      </c>
      <c r="K621" s="138">
        <v>4</v>
      </c>
      <c r="L621" s="139">
        <v>9</v>
      </c>
      <c r="M621" s="132">
        <f t="shared" si="110"/>
        <v>1</v>
      </c>
      <c r="N621" s="140" t="s">
        <v>61</v>
      </c>
      <c r="O621" s="141" t="str">
        <f>IF(ISBLANK(N621),"",VLOOKUP(N621,[25]Parámetros!$G$2:$H$23,2,FALSE))</f>
        <v>Contratación régimen especial - Selección de comisionista</v>
      </c>
      <c r="P621" s="245">
        <f t="shared" si="108"/>
        <v>1</v>
      </c>
      <c r="Q621" s="143">
        <f t="shared" si="111"/>
        <v>850000000</v>
      </c>
      <c r="R621" s="143">
        <f t="shared" si="112"/>
        <v>850000000</v>
      </c>
      <c r="S621" s="246" t="s">
        <v>222</v>
      </c>
      <c r="T621" s="245">
        <f t="shared" si="109"/>
        <v>0</v>
      </c>
      <c r="U621" s="145" t="str">
        <f t="shared" si="113"/>
        <v>SUBDIRECCION DE GESTION CONTRACTUAL</v>
      </c>
      <c r="V621" s="132" t="str">
        <f t="shared" ref="V621:V660" si="114">IF(ISBLANK(N621),"","CO-DC")</f>
        <v>CO-DC</v>
      </c>
      <c r="W621" s="145" t="str">
        <f t="shared" ref="W621:W660" si="115">IF(ISBLANK(N621),"","Distrito Capital de Bogotá")</f>
        <v>Distrito Capital de Bogotá</v>
      </c>
      <c r="X621" s="154" t="s">
        <v>553</v>
      </c>
      <c r="Y621" s="147">
        <v>2427400</v>
      </c>
      <c r="Z621" s="157" t="s">
        <v>160</v>
      </c>
      <c r="AA621" s="248"/>
      <c r="AB621" s="248"/>
      <c r="AC621" s="248"/>
      <c r="AD621" s="248"/>
      <c r="AE621" s="248"/>
      <c r="AF621" s="248"/>
      <c r="AG621" s="248"/>
      <c r="AH621" s="248"/>
      <c r="AI621" s="248"/>
      <c r="AJ621" s="248"/>
      <c r="AK621" s="248"/>
      <c r="AL621" s="248"/>
      <c r="AM621" s="248"/>
      <c r="AN621" s="248"/>
      <c r="AO621" s="248"/>
      <c r="AP621" s="248"/>
      <c r="AQ621" s="248"/>
      <c r="AR621" s="248"/>
      <c r="AS621" s="248"/>
      <c r="AT621" s="248"/>
      <c r="AU621" s="152"/>
      <c r="AV621" s="152"/>
      <c r="AW621" s="152"/>
      <c r="AX621" s="152"/>
      <c r="AY621" s="152"/>
      <c r="AZ621" s="152"/>
      <c r="BA621" s="152"/>
      <c r="BB621" s="152"/>
      <c r="BC621" s="152"/>
      <c r="BD621" s="152"/>
      <c r="BE621" s="152"/>
      <c r="BF621" s="152"/>
      <c r="BG621" s="152"/>
      <c r="BH621" s="152"/>
      <c r="BI621" s="152"/>
      <c r="BJ621" s="152"/>
      <c r="BK621" s="152"/>
      <c r="BL621" s="152"/>
      <c r="BM621" s="152"/>
      <c r="BN621" s="152"/>
      <c r="BO621" s="152"/>
      <c r="BP621" s="152"/>
      <c r="BQ621" s="152"/>
      <c r="BR621" s="152"/>
      <c r="BS621" s="152"/>
      <c r="BT621" s="152"/>
      <c r="BU621" s="152"/>
      <c r="BV621" s="152"/>
      <c r="BW621" s="152"/>
      <c r="BX621" s="152"/>
      <c r="BY621" s="152"/>
      <c r="BZ621" s="152"/>
      <c r="CA621" s="152"/>
      <c r="CB621" s="152"/>
      <c r="CC621" s="152"/>
      <c r="CD621" s="152"/>
      <c r="CE621" s="152"/>
      <c r="CF621" s="152"/>
      <c r="CG621" s="252"/>
    </row>
    <row r="622" spans="1:85" s="250" customFormat="1" ht="13.9" customHeight="1" x14ac:dyDescent="0.2">
      <c r="A622" s="251" t="s">
        <v>158</v>
      </c>
      <c r="B622" s="147">
        <v>97</v>
      </c>
      <c r="C622" s="244" t="s">
        <v>792</v>
      </c>
      <c r="D622" s="154" t="s">
        <v>567</v>
      </c>
      <c r="E622" s="155"/>
      <c r="F622" s="155">
        <v>19980000000</v>
      </c>
      <c r="G622" s="155"/>
      <c r="H622" s="154" t="s">
        <v>745</v>
      </c>
      <c r="I622" s="244" t="s">
        <v>663</v>
      </c>
      <c r="J622" s="147">
        <v>1</v>
      </c>
      <c r="K622" s="147">
        <v>1</v>
      </c>
      <c r="L622" s="147">
        <v>12</v>
      </c>
      <c r="M622" s="132">
        <f t="shared" si="110"/>
        <v>1</v>
      </c>
      <c r="N622" s="140" t="s">
        <v>36</v>
      </c>
      <c r="O622" s="141" t="str">
        <f>IF(ISBLANK(N622),"",VLOOKUP(N622,[25]Parámetros!$G$2:$H$23,2,FALSE))</f>
        <v xml:space="preserve">Contratación directa (con ofertas) </v>
      </c>
      <c r="P622" s="245">
        <f t="shared" ref="P622:P660" si="116">IF(ISBLANK(N622),"",1)</f>
        <v>1</v>
      </c>
      <c r="Q622" s="143">
        <f t="shared" si="111"/>
        <v>19980000000</v>
      </c>
      <c r="R622" s="143">
        <f t="shared" si="112"/>
        <v>19980000000</v>
      </c>
      <c r="S622" s="246" t="s">
        <v>222</v>
      </c>
      <c r="T622" s="245">
        <f t="shared" si="109"/>
        <v>0</v>
      </c>
      <c r="U622" s="145" t="str">
        <f t="shared" si="113"/>
        <v>SUBDIRECCION DE GESTION CONTRACTUAL</v>
      </c>
      <c r="V622" s="245" t="str">
        <f t="shared" si="114"/>
        <v>CO-DC</v>
      </c>
      <c r="W622" s="245" t="str">
        <f t="shared" si="115"/>
        <v>Distrito Capital de Bogotá</v>
      </c>
      <c r="X622" s="154" t="s">
        <v>553</v>
      </c>
      <c r="Y622" s="147">
        <v>2427400</v>
      </c>
      <c r="Z622" s="157" t="s">
        <v>160</v>
      </c>
      <c r="AA622" s="248"/>
      <c r="AB622" s="248"/>
      <c r="AC622" s="248"/>
      <c r="AD622" s="248"/>
      <c r="AE622" s="248"/>
      <c r="AF622" s="248"/>
      <c r="AG622" s="248"/>
      <c r="AH622" s="248"/>
      <c r="AI622" s="248"/>
      <c r="AJ622" s="248"/>
      <c r="AK622" s="248"/>
      <c r="AL622" s="248"/>
      <c r="AM622" s="248"/>
      <c r="AN622" s="248"/>
      <c r="AO622" s="248"/>
      <c r="AP622" s="248"/>
      <c r="AQ622" s="248"/>
      <c r="AR622" s="248"/>
      <c r="AS622" s="248"/>
      <c r="AT622" s="248"/>
      <c r="AU622" s="152"/>
      <c r="AV622" s="152"/>
      <c r="AW622" s="152"/>
      <c r="AX622" s="152"/>
      <c r="AY622" s="152"/>
      <c r="AZ622" s="152"/>
      <c r="BA622" s="152"/>
      <c r="BB622" s="152"/>
      <c r="BC622" s="152"/>
      <c r="BD622" s="152"/>
      <c r="BE622" s="152"/>
      <c r="BF622" s="152"/>
      <c r="BG622" s="152"/>
      <c r="BH622" s="152"/>
      <c r="BI622" s="152"/>
      <c r="BJ622" s="152"/>
      <c r="BK622" s="152"/>
      <c r="BL622" s="152"/>
      <c r="BM622" s="152"/>
      <c r="BN622" s="152"/>
      <c r="BO622" s="152"/>
      <c r="BP622" s="152"/>
      <c r="BQ622" s="152"/>
      <c r="BR622" s="152"/>
      <c r="BS622" s="152"/>
      <c r="BT622" s="152"/>
      <c r="BU622" s="152"/>
      <c r="BV622" s="152"/>
      <c r="BW622" s="152"/>
      <c r="BX622" s="152"/>
      <c r="BY622" s="152"/>
      <c r="BZ622" s="152"/>
      <c r="CA622" s="152"/>
      <c r="CB622" s="152"/>
      <c r="CC622" s="152"/>
      <c r="CD622" s="152"/>
      <c r="CE622" s="152"/>
      <c r="CF622" s="152"/>
      <c r="CG622" s="252"/>
    </row>
    <row r="623" spans="1:85" s="250" customFormat="1" ht="13.9" customHeight="1" x14ac:dyDescent="0.2">
      <c r="A623" s="251" t="s">
        <v>158</v>
      </c>
      <c r="B623" s="147">
        <v>98</v>
      </c>
      <c r="C623" s="244" t="s">
        <v>792</v>
      </c>
      <c r="D623" s="154" t="s">
        <v>567</v>
      </c>
      <c r="E623" s="155"/>
      <c r="F623" s="155">
        <v>1184122275</v>
      </c>
      <c r="G623" s="155"/>
      <c r="H623" s="154" t="s">
        <v>749</v>
      </c>
      <c r="I623" s="244" t="s">
        <v>664</v>
      </c>
      <c r="J623" s="147">
        <v>1</v>
      </c>
      <c r="K623" s="147">
        <v>1</v>
      </c>
      <c r="L623" s="147">
        <v>12</v>
      </c>
      <c r="M623" s="132">
        <f t="shared" si="110"/>
        <v>1</v>
      </c>
      <c r="N623" s="140" t="s">
        <v>36</v>
      </c>
      <c r="O623" s="141" t="str">
        <f>IF(ISBLANK(N623),"",VLOOKUP(N623,[25]Parámetros!$G$2:$H$23,2,FALSE))</f>
        <v xml:space="preserve">Contratación directa (con ofertas) </v>
      </c>
      <c r="P623" s="245">
        <f t="shared" si="116"/>
        <v>1</v>
      </c>
      <c r="Q623" s="143">
        <f t="shared" si="111"/>
        <v>1184122275</v>
      </c>
      <c r="R623" s="143">
        <f t="shared" si="112"/>
        <v>1184122275</v>
      </c>
      <c r="S623" s="246" t="s">
        <v>222</v>
      </c>
      <c r="T623" s="245">
        <f t="shared" si="109"/>
        <v>0</v>
      </c>
      <c r="U623" s="145" t="str">
        <f t="shared" si="113"/>
        <v>SUBDIRECCION DE GESTION CONTRACTUAL</v>
      </c>
      <c r="V623" s="245" t="str">
        <f t="shared" si="114"/>
        <v>CO-DC</v>
      </c>
      <c r="W623" s="245" t="str">
        <f t="shared" si="115"/>
        <v>Distrito Capital de Bogotá</v>
      </c>
      <c r="X623" s="154" t="s">
        <v>553</v>
      </c>
      <c r="Y623" s="147">
        <v>2427400</v>
      </c>
      <c r="Z623" s="157" t="s">
        <v>160</v>
      </c>
      <c r="AA623" s="248"/>
      <c r="AB623" s="248"/>
      <c r="AC623" s="248"/>
      <c r="AD623" s="248"/>
      <c r="AE623" s="248"/>
      <c r="AF623" s="248"/>
      <c r="AG623" s="248"/>
      <c r="AH623" s="248"/>
      <c r="AI623" s="248"/>
      <c r="AJ623" s="248"/>
      <c r="AK623" s="248"/>
      <c r="AL623" s="248"/>
      <c r="AM623" s="248"/>
      <c r="AN623" s="248"/>
      <c r="AO623" s="248"/>
      <c r="AP623" s="248"/>
      <c r="AQ623" s="248"/>
      <c r="AR623" s="248"/>
      <c r="AS623" s="248"/>
      <c r="AT623" s="248"/>
      <c r="AU623" s="152"/>
      <c r="AV623" s="152"/>
      <c r="AW623" s="152"/>
      <c r="AX623" s="152"/>
      <c r="AY623" s="152"/>
      <c r="AZ623" s="152"/>
      <c r="BA623" s="152"/>
      <c r="BB623" s="152"/>
      <c r="BC623" s="152"/>
      <c r="BD623" s="152"/>
      <c r="BE623" s="152"/>
      <c r="BF623" s="152"/>
      <c r="BG623" s="152"/>
      <c r="BH623" s="152"/>
      <c r="BI623" s="152"/>
      <c r="BJ623" s="152"/>
      <c r="BK623" s="152"/>
      <c r="BL623" s="152"/>
      <c r="BM623" s="152"/>
      <c r="BN623" s="152"/>
      <c r="BO623" s="152"/>
      <c r="BP623" s="152"/>
      <c r="BQ623" s="152"/>
      <c r="BR623" s="152"/>
      <c r="BS623" s="152"/>
      <c r="BT623" s="152"/>
      <c r="BU623" s="152"/>
      <c r="BV623" s="152"/>
      <c r="BW623" s="152"/>
      <c r="BX623" s="152"/>
      <c r="BY623" s="152"/>
      <c r="BZ623" s="152"/>
      <c r="CA623" s="152"/>
      <c r="CB623" s="152"/>
      <c r="CC623" s="152"/>
      <c r="CD623" s="152"/>
      <c r="CE623" s="152"/>
      <c r="CF623" s="152"/>
      <c r="CG623" s="252"/>
    </row>
    <row r="624" spans="1:85" s="250" customFormat="1" ht="13.9" customHeight="1" x14ac:dyDescent="0.2">
      <c r="A624" s="251" t="s">
        <v>158</v>
      </c>
      <c r="B624" s="147">
        <v>99</v>
      </c>
      <c r="C624" s="244" t="s">
        <v>792</v>
      </c>
      <c r="D624" s="154" t="s">
        <v>567</v>
      </c>
      <c r="E624" s="155"/>
      <c r="F624" s="155">
        <v>1302951521</v>
      </c>
      <c r="G624" s="155"/>
      <c r="H624" s="154" t="s">
        <v>749</v>
      </c>
      <c r="I624" s="244" t="s">
        <v>665</v>
      </c>
      <c r="J624" s="147">
        <v>1</v>
      </c>
      <c r="K624" s="147">
        <v>1</v>
      </c>
      <c r="L624" s="147">
        <v>12</v>
      </c>
      <c r="M624" s="132">
        <f t="shared" si="110"/>
        <v>1</v>
      </c>
      <c r="N624" s="140" t="s">
        <v>36</v>
      </c>
      <c r="O624" s="141" t="str">
        <f>IF(ISBLANK(N624),"",VLOOKUP(N624,[25]Parámetros!$G$2:$H$23,2,FALSE))</f>
        <v xml:space="preserve">Contratación directa (con ofertas) </v>
      </c>
      <c r="P624" s="245">
        <f t="shared" si="116"/>
        <v>1</v>
      </c>
      <c r="Q624" s="143">
        <f t="shared" si="111"/>
        <v>1302951521</v>
      </c>
      <c r="R624" s="143">
        <f t="shared" si="112"/>
        <v>1302951521</v>
      </c>
      <c r="S624" s="246" t="s">
        <v>222</v>
      </c>
      <c r="T624" s="245">
        <f t="shared" si="109"/>
        <v>0</v>
      </c>
      <c r="U624" s="145" t="str">
        <f t="shared" si="113"/>
        <v>SUBDIRECCION DE GESTION CONTRACTUAL</v>
      </c>
      <c r="V624" s="245" t="str">
        <f t="shared" si="114"/>
        <v>CO-DC</v>
      </c>
      <c r="W624" s="245" t="str">
        <f t="shared" si="115"/>
        <v>Distrito Capital de Bogotá</v>
      </c>
      <c r="X624" s="154" t="s">
        <v>553</v>
      </c>
      <c r="Y624" s="147">
        <v>2427400</v>
      </c>
      <c r="Z624" s="157" t="s">
        <v>160</v>
      </c>
      <c r="AA624" s="248"/>
      <c r="AB624" s="248"/>
      <c r="AC624" s="248"/>
      <c r="AD624" s="248"/>
      <c r="AE624" s="248"/>
      <c r="AF624" s="248"/>
      <c r="AG624" s="248"/>
      <c r="AH624" s="248"/>
      <c r="AI624" s="248"/>
      <c r="AJ624" s="248"/>
      <c r="AK624" s="248"/>
      <c r="AL624" s="248"/>
      <c r="AM624" s="248"/>
      <c r="AN624" s="248"/>
      <c r="AO624" s="248"/>
      <c r="AP624" s="248"/>
      <c r="AQ624" s="248"/>
      <c r="AR624" s="248"/>
      <c r="AS624" s="248"/>
      <c r="AT624" s="248"/>
      <c r="AU624" s="152"/>
      <c r="AV624" s="152"/>
      <c r="AW624" s="152"/>
      <c r="AX624" s="152"/>
      <c r="AY624" s="152"/>
      <c r="AZ624" s="152"/>
      <c r="BA624" s="152"/>
      <c r="BB624" s="152"/>
      <c r="BC624" s="152"/>
      <c r="BD624" s="152"/>
      <c r="BE624" s="152"/>
      <c r="BF624" s="152"/>
      <c r="BG624" s="152"/>
      <c r="BH624" s="152"/>
      <c r="BI624" s="152"/>
      <c r="BJ624" s="152"/>
      <c r="BK624" s="152"/>
      <c r="BL624" s="152"/>
      <c r="BM624" s="152"/>
      <c r="BN624" s="152"/>
      <c r="BO624" s="152"/>
      <c r="BP624" s="152"/>
      <c r="BQ624" s="152"/>
      <c r="BR624" s="152"/>
      <c r="BS624" s="152"/>
      <c r="BT624" s="152"/>
      <c r="BU624" s="152"/>
      <c r="BV624" s="152"/>
      <c r="BW624" s="152"/>
      <c r="BX624" s="152"/>
      <c r="BY624" s="152"/>
      <c r="BZ624" s="152"/>
      <c r="CA624" s="152"/>
      <c r="CB624" s="152"/>
      <c r="CC624" s="152"/>
      <c r="CD624" s="152"/>
      <c r="CE624" s="152"/>
      <c r="CF624" s="152"/>
      <c r="CG624" s="252"/>
    </row>
    <row r="625" spans="1:85" s="250" customFormat="1" ht="13.9" customHeight="1" x14ac:dyDescent="0.2">
      <c r="A625" s="251" t="s">
        <v>158</v>
      </c>
      <c r="B625" s="147">
        <v>100</v>
      </c>
      <c r="C625" s="244" t="s">
        <v>792</v>
      </c>
      <c r="D625" s="154" t="s">
        <v>567</v>
      </c>
      <c r="E625" s="155"/>
      <c r="F625" s="155">
        <v>1351896195</v>
      </c>
      <c r="G625" s="155"/>
      <c r="H625" s="154" t="s">
        <v>749</v>
      </c>
      <c r="I625" s="244" t="s">
        <v>666</v>
      </c>
      <c r="J625" s="147">
        <v>1</v>
      </c>
      <c r="K625" s="147">
        <v>1</v>
      </c>
      <c r="L625" s="147">
        <v>12</v>
      </c>
      <c r="M625" s="132">
        <f t="shared" si="110"/>
        <v>1</v>
      </c>
      <c r="N625" s="140" t="s">
        <v>36</v>
      </c>
      <c r="O625" s="141" t="str">
        <f>IF(ISBLANK(N625),"",VLOOKUP(N625,[25]Parámetros!$G$2:$H$23,2,FALSE))</f>
        <v xml:space="preserve">Contratación directa (con ofertas) </v>
      </c>
      <c r="P625" s="245">
        <f t="shared" si="116"/>
        <v>1</v>
      </c>
      <c r="Q625" s="143">
        <f t="shared" si="111"/>
        <v>1351896195</v>
      </c>
      <c r="R625" s="143">
        <f t="shared" si="112"/>
        <v>1351896195</v>
      </c>
      <c r="S625" s="246" t="s">
        <v>222</v>
      </c>
      <c r="T625" s="245">
        <f t="shared" si="109"/>
        <v>0</v>
      </c>
      <c r="U625" s="145" t="str">
        <f t="shared" si="113"/>
        <v>SUBDIRECCION DE GESTION CONTRACTUAL</v>
      </c>
      <c r="V625" s="245" t="str">
        <f t="shared" si="114"/>
        <v>CO-DC</v>
      </c>
      <c r="W625" s="245" t="str">
        <f t="shared" si="115"/>
        <v>Distrito Capital de Bogotá</v>
      </c>
      <c r="X625" s="154" t="s">
        <v>553</v>
      </c>
      <c r="Y625" s="147">
        <v>2427400</v>
      </c>
      <c r="Z625" s="157" t="s">
        <v>160</v>
      </c>
      <c r="AA625" s="248"/>
      <c r="AB625" s="248"/>
      <c r="AC625" s="248"/>
      <c r="AD625" s="248"/>
      <c r="AE625" s="248"/>
      <c r="AF625" s="248"/>
      <c r="AG625" s="248"/>
      <c r="AH625" s="248"/>
      <c r="AI625" s="248"/>
      <c r="AJ625" s="248"/>
      <c r="AK625" s="248"/>
      <c r="AL625" s="248"/>
      <c r="AM625" s="248"/>
      <c r="AN625" s="248"/>
      <c r="AO625" s="248"/>
      <c r="AP625" s="248"/>
      <c r="AQ625" s="248"/>
      <c r="AR625" s="248"/>
      <c r="AS625" s="248"/>
      <c r="AT625" s="248"/>
      <c r="AU625" s="152"/>
      <c r="AV625" s="152"/>
      <c r="AW625" s="152"/>
      <c r="AX625" s="152"/>
      <c r="AY625" s="152"/>
      <c r="AZ625" s="152"/>
      <c r="BA625" s="152"/>
      <c r="BB625" s="152"/>
      <c r="BC625" s="152"/>
      <c r="BD625" s="152"/>
      <c r="BE625" s="152"/>
      <c r="BF625" s="152"/>
      <c r="BG625" s="152"/>
      <c r="BH625" s="152"/>
      <c r="BI625" s="152"/>
      <c r="BJ625" s="152"/>
      <c r="BK625" s="152"/>
      <c r="BL625" s="152"/>
      <c r="BM625" s="152"/>
      <c r="BN625" s="152"/>
      <c r="BO625" s="152"/>
      <c r="BP625" s="152"/>
      <c r="BQ625" s="152"/>
      <c r="BR625" s="152"/>
      <c r="BS625" s="152"/>
      <c r="BT625" s="152"/>
      <c r="BU625" s="152"/>
      <c r="BV625" s="152"/>
      <c r="BW625" s="152"/>
      <c r="BX625" s="152"/>
      <c r="BY625" s="152"/>
      <c r="BZ625" s="152"/>
      <c r="CA625" s="152"/>
      <c r="CB625" s="152"/>
      <c r="CC625" s="152"/>
      <c r="CD625" s="152"/>
      <c r="CE625" s="152"/>
      <c r="CF625" s="152"/>
      <c r="CG625" s="252"/>
    </row>
    <row r="626" spans="1:85" s="250" customFormat="1" ht="13.9" customHeight="1" x14ac:dyDescent="0.2">
      <c r="A626" s="251" t="s">
        <v>158</v>
      </c>
      <c r="B626" s="147">
        <v>101</v>
      </c>
      <c r="C626" s="244" t="s">
        <v>792</v>
      </c>
      <c r="D626" s="154" t="s">
        <v>567</v>
      </c>
      <c r="E626" s="155"/>
      <c r="F626" s="155">
        <v>1965929315</v>
      </c>
      <c r="G626" s="155"/>
      <c r="H626" s="154" t="s">
        <v>749</v>
      </c>
      <c r="I626" s="244" t="s">
        <v>667</v>
      </c>
      <c r="J626" s="147">
        <v>1</v>
      </c>
      <c r="K626" s="147">
        <v>1</v>
      </c>
      <c r="L626" s="147">
        <v>12</v>
      </c>
      <c r="M626" s="132">
        <f t="shared" si="110"/>
        <v>1</v>
      </c>
      <c r="N626" s="140" t="s">
        <v>36</v>
      </c>
      <c r="O626" s="141" t="str">
        <f>IF(ISBLANK(N626),"",VLOOKUP(N626,[25]Parámetros!$G$2:$H$23,2,FALSE))</f>
        <v xml:space="preserve">Contratación directa (con ofertas) </v>
      </c>
      <c r="P626" s="245">
        <f t="shared" si="116"/>
        <v>1</v>
      </c>
      <c r="Q626" s="143">
        <f t="shared" si="111"/>
        <v>1965929315</v>
      </c>
      <c r="R626" s="143">
        <f t="shared" si="112"/>
        <v>1965929315</v>
      </c>
      <c r="S626" s="246" t="s">
        <v>222</v>
      </c>
      <c r="T626" s="245">
        <f t="shared" si="109"/>
        <v>0</v>
      </c>
      <c r="U626" s="145" t="str">
        <f t="shared" si="113"/>
        <v>SUBDIRECCION DE GESTION CONTRACTUAL</v>
      </c>
      <c r="V626" s="245" t="str">
        <f t="shared" si="114"/>
        <v>CO-DC</v>
      </c>
      <c r="W626" s="245" t="str">
        <f t="shared" si="115"/>
        <v>Distrito Capital de Bogotá</v>
      </c>
      <c r="X626" s="154" t="s">
        <v>553</v>
      </c>
      <c r="Y626" s="147">
        <v>2427400</v>
      </c>
      <c r="Z626" s="157" t="s">
        <v>160</v>
      </c>
      <c r="AA626" s="248"/>
      <c r="AB626" s="248"/>
      <c r="AC626" s="248"/>
      <c r="AD626" s="248"/>
      <c r="AE626" s="248"/>
      <c r="AF626" s="248"/>
      <c r="AG626" s="248"/>
      <c r="AH626" s="248"/>
      <c r="AI626" s="248"/>
      <c r="AJ626" s="248"/>
      <c r="AK626" s="248"/>
      <c r="AL626" s="248"/>
      <c r="AM626" s="248"/>
      <c r="AN626" s="248"/>
      <c r="AO626" s="248"/>
      <c r="AP626" s="248"/>
      <c r="AQ626" s="248"/>
      <c r="AR626" s="248"/>
      <c r="AS626" s="248"/>
      <c r="AT626" s="248"/>
      <c r="AU626" s="152"/>
      <c r="AV626" s="152"/>
      <c r="AW626" s="152"/>
      <c r="AX626" s="152"/>
      <c r="AY626" s="152"/>
      <c r="AZ626" s="152"/>
      <c r="BA626" s="152"/>
      <c r="BB626" s="152"/>
      <c r="BC626" s="152"/>
      <c r="BD626" s="152"/>
      <c r="BE626" s="152"/>
      <c r="BF626" s="152"/>
      <c r="BG626" s="152"/>
      <c r="BH626" s="152"/>
      <c r="BI626" s="152"/>
      <c r="BJ626" s="152"/>
      <c r="BK626" s="152"/>
      <c r="BL626" s="152"/>
      <c r="BM626" s="152"/>
      <c r="BN626" s="152"/>
      <c r="BO626" s="152"/>
      <c r="BP626" s="152"/>
      <c r="BQ626" s="152"/>
      <c r="BR626" s="152"/>
      <c r="BS626" s="152"/>
      <c r="BT626" s="152"/>
      <c r="BU626" s="152"/>
      <c r="BV626" s="152"/>
      <c r="BW626" s="152"/>
      <c r="BX626" s="152"/>
      <c r="BY626" s="152"/>
      <c r="BZ626" s="152"/>
      <c r="CA626" s="152"/>
      <c r="CB626" s="152"/>
      <c r="CC626" s="152"/>
      <c r="CD626" s="152"/>
      <c r="CE626" s="152"/>
      <c r="CF626" s="152"/>
      <c r="CG626" s="252"/>
    </row>
    <row r="627" spans="1:85" s="250" customFormat="1" ht="13.9" customHeight="1" x14ac:dyDescent="0.2">
      <c r="A627" s="251" t="s">
        <v>158</v>
      </c>
      <c r="B627" s="147">
        <v>102</v>
      </c>
      <c r="C627" s="244" t="s">
        <v>792</v>
      </c>
      <c r="D627" s="154" t="s">
        <v>567</v>
      </c>
      <c r="E627" s="155"/>
      <c r="F627" s="155">
        <v>1700289171</v>
      </c>
      <c r="G627" s="155"/>
      <c r="H627" s="154" t="s">
        <v>749</v>
      </c>
      <c r="I627" s="244" t="s">
        <v>668</v>
      </c>
      <c r="J627" s="147">
        <v>1</v>
      </c>
      <c r="K627" s="147">
        <v>1</v>
      </c>
      <c r="L627" s="147">
        <v>12</v>
      </c>
      <c r="M627" s="132">
        <f t="shared" si="110"/>
        <v>1</v>
      </c>
      <c r="N627" s="140" t="s">
        <v>36</v>
      </c>
      <c r="O627" s="141" t="str">
        <f>IF(ISBLANK(N627),"",VLOOKUP(N627,[25]Parámetros!$G$2:$H$23,2,FALSE))</f>
        <v xml:space="preserve">Contratación directa (con ofertas) </v>
      </c>
      <c r="P627" s="245">
        <f t="shared" si="116"/>
        <v>1</v>
      </c>
      <c r="Q627" s="143">
        <f t="shared" si="111"/>
        <v>1700289171</v>
      </c>
      <c r="R627" s="143">
        <f t="shared" si="112"/>
        <v>1700289171</v>
      </c>
      <c r="S627" s="246" t="s">
        <v>222</v>
      </c>
      <c r="T627" s="245">
        <f t="shared" si="109"/>
        <v>0</v>
      </c>
      <c r="U627" s="145" t="str">
        <f t="shared" si="113"/>
        <v>SUBDIRECCION DE GESTION CONTRACTUAL</v>
      </c>
      <c r="V627" s="245" t="str">
        <f t="shared" si="114"/>
        <v>CO-DC</v>
      </c>
      <c r="W627" s="245" t="str">
        <f t="shared" si="115"/>
        <v>Distrito Capital de Bogotá</v>
      </c>
      <c r="X627" s="154" t="s">
        <v>553</v>
      </c>
      <c r="Y627" s="147">
        <v>2427400</v>
      </c>
      <c r="Z627" s="157" t="s">
        <v>160</v>
      </c>
      <c r="AA627" s="248"/>
      <c r="AB627" s="248"/>
      <c r="AC627" s="248"/>
      <c r="AD627" s="248"/>
      <c r="AE627" s="248"/>
      <c r="AF627" s="248"/>
      <c r="AG627" s="248"/>
      <c r="AH627" s="248"/>
      <c r="AI627" s="248"/>
      <c r="AJ627" s="248"/>
      <c r="AK627" s="248"/>
      <c r="AL627" s="248"/>
      <c r="AM627" s="248"/>
      <c r="AN627" s="248"/>
      <c r="AO627" s="248"/>
      <c r="AP627" s="248"/>
      <c r="AQ627" s="248"/>
      <c r="AR627" s="248"/>
      <c r="AS627" s="248"/>
      <c r="AT627" s="248"/>
      <c r="AU627" s="152"/>
      <c r="AV627" s="152"/>
      <c r="AW627" s="152"/>
      <c r="AX627" s="152"/>
      <c r="AY627" s="152"/>
      <c r="AZ627" s="152"/>
      <c r="BA627" s="152"/>
      <c r="BB627" s="152"/>
      <c r="BC627" s="152"/>
      <c r="BD627" s="152"/>
      <c r="BE627" s="152"/>
      <c r="BF627" s="152"/>
      <c r="BG627" s="152"/>
      <c r="BH627" s="152"/>
      <c r="BI627" s="152"/>
      <c r="BJ627" s="152"/>
      <c r="BK627" s="152"/>
      <c r="BL627" s="152"/>
      <c r="BM627" s="152"/>
      <c r="BN627" s="152"/>
      <c r="BO627" s="152"/>
      <c r="BP627" s="152"/>
      <c r="BQ627" s="152"/>
      <c r="BR627" s="152"/>
      <c r="BS627" s="152"/>
      <c r="BT627" s="152"/>
      <c r="BU627" s="152"/>
      <c r="BV627" s="152"/>
      <c r="BW627" s="152"/>
      <c r="BX627" s="152"/>
      <c r="BY627" s="152"/>
      <c r="BZ627" s="152"/>
      <c r="CA627" s="152"/>
      <c r="CB627" s="152"/>
      <c r="CC627" s="152"/>
      <c r="CD627" s="152"/>
      <c r="CE627" s="152"/>
      <c r="CF627" s="152"/>
      <c r="CG627" s="252"/>
    </row>
    <row r="628" spans="1:85" s="250" customFormat="1" ht="13.9" customHeight="1" x14ac:dyDescent="0.2">
      <c r="A628" s="251" t="s">
        <v>158</v>
      </c>
      <c r="B628" s="147">
        <v>103</v>
      </c>
      <c r="C628" s="244" t="s">
        <v>792</v>
      </c>
      <c r="D628" s="154" t="s">
        <v>567</v>
      </c>
      <c r="E628" s="155"/>
      <c r="F628" s="155">
        <v>1965929315</v>
      </c>
      <c r="G628" s="155"/>
      <c r="H628" s="154" t="s">
        <v>749</v>
      </c>
      <c r="I628" s="244" t="s">
        <v>662</v>
      </c>
      <c r="J628" s="147">
        <v>1</v>
      </c>
      <c r="K628" s="147">
        <v>1</v>
      </c>
      <c r="L628" s="147">
        <v>12</v>
      </c>
      <c r="M628" s="132">
        <f t="shared" si="110"/>
        <v>1</v>
      </c>
      <c r="N628" s="140" t="s">
        <v>36</v>
      </c>
      <c r="O628" s="141" t="str">
        <f>IF(ISBLANK(N628),"",VLOOKUP(N628,[25]Parámetros!$G$2:$H$23,2,FALSE))</f>
        <v xml:space="preserve">Contratación directa (con ofertas) </v>
      </c>
      <c r="P628" s="245">
        <f t="shared" si="116"/>
        <v>1</v>
      </c>
      <c r="Q628" s="143">
        <f t="shared" si="111"/>
        <v>1965929315</v>
      </c>
      <c r="R628" s="143">
        <f t="shared" si="112"/>
        <v>1965929315</v>
      </c>
      <c r="S628" s="246" t="s">
        <v>222</v>
      </c>
      <c r="T628" s="245">
        <f t="shared" si="109"/>
        <v>0</v>
      </c>
      <c r="U628" s="145" t="str">
        <f t="shared" si="113"/>
        <v>SUBDIRECCION DE GESTION CONTRACTUAL</v>
      </c>
      <c r="V628" s="245" t="str">
        <f t="shared" si="114"/>
        <v>CO-DC</v>
      </c>
      <c r="W628" s="245" t="str">
        <f t="shared" si="115"/>
        <v>Distrito Capital de Bogotá</v>
      </c>
      <c r="X628" s="154" t="s">
        <v>553</v>
      </c>
      <c r="Y628" s="147">
        <v>2427400</v>
      </c>
      <c r="Z628" s="157" t="s">
        <v>160</v>
      </c>
      <c r="AA628" s="248"/>
      <c r="AB628" s="248"/>
      <c r="AC628" s="248"/>
      <c r="AD628" s="248"/>
      <c r="AE628" s="248"/>
      <c r="AF628" s="248"/>
      <c r="AG628" s="248"/>
      <c r="AH628" s="248"/>
      <c r="AI628" s="248"/>
      <c r="AJ628" s="248"/>
      <c r="AK628" s="248"/>
      <c r="AL628" s="248"/>
      <c r="AM628" s="248"/>
      <c r="AN628" s="248"/>
      <c r="AO628" s="248"/>
      <c r="AP628" s="248"/>
      <c r="AQ628" s="248"/>
      <c r="AR628" s="248"/>
      <c r="AS628" s="248"/>
      <c r="AT628" s="248"/>
      <c r="AU628" s="152"/>
      <c r="AV628" s="152"/>
      <c r="AW628" s="152"/>
      <c r="AX628" s="152"/>
      <c r="AY628" s="152"/>
      <c r="AZ628" s="152"/>
      <c r="BA628" s="152"/>
      <c r="BB628" s="152"/>
      <c r="BC628" s="152"/>
      <c r="BD628" s="152"/>
      <c r="BE628" s="152"/>
      <c r="BF628" s="152"/>
      <c r="BG628" s="152"/>
      <c r="BH628" s="152"/>
      <c r="BI628" s="152"/>
      <c r="BJ628" s="152"/>
      <c r="BK628" s="152"/>
      <c r="BL628" s="152"/>
      <c r="BM628" s="152"/>
      <c r="BN628" s="152"/>
      <c r="BO628" s="152"/>
      <c r="BP628" s="152"/>
      <c r="BQ628" s="152"/>
      <c r="BR628" s="152"/>
      <c r="BS628" s="152"/>
      <c r="BT628" s="152"/>
      <c r="BU628" s="152"/>
      <c r="BV628" s="152"/>
      <c r="BW628" s="152"/>
      <c r="BX628" s="152"/>
      <c r="BY628" s="152"/>
      <c r="BZ628" s="152"/>
      <c r="CA628" s="152"/>
      <c r="CB628" s="152"/>
      <c r="CC628" s="152"/>
      <c r="CD628" s="152"/>
      <c r="CE628" s="152"/>
      <c r="CF628" s="152"/>
      <c r="CG628" s="252"/>
    </row>
    <row r="629" spans="1:85" s="250" customFormat="1" ht="13.9" customHeight="1" x14ac:dyDescent="0.2">
      <c r="A629" s="251" t="s">
        <v>158</v>
      </c>
      <c r="B629" s="147">
        <v>104</v>
      </c>
      <c r="C629" s="244" t="s">
        <v>792</v>
      </c>
      <c r="D629" s="154" t="s">
        <v>567</v>
      </c>
      <c r="E629" s="155"/>
      <c r="F629" s="155">
        <v>1481100270.5</v>
      </c>
      <c r="G629" s="155"/>
      <c r="H629" s="154" t="s">
        <v>749</v>
      </c>
      <c r="I629" s="244" t="s">
        <v>661</v>
      </c>
      <c r="J629" s="147">
        <v>1</v>
      </c>
      <c r="K629" s="147">
        <v>1</v>
      </c>
      <c r="L629" s="147">
        <v>12</v>
      </c>
      <c r="M629" s="132">
        <f t="shared" si="110"/>
        <v>1</v>
      </c>
      <c r="N629" s="140" t="s">
        <v>36</v>
      </c>
      <c r="O629" s="141" t="str">
        <f>IF(ISBLANK(N629),"",VLOOKUP(N629,[25]Parámetros!$G$2:$H$23,2,FALSE))</f>
        <v xml:space="preserve">Contratación directa (con ofertas) </v>
      </c>
      <c r="P629" s="245">
        <f t="shared" si="116"/>
        <v>1</v>
      </c>
      <c r="Q629" s="143">
        <f t="shared" si="111"/>
        <v>1481100270.5</v>
      </c>
      <c r="R629" s="143">
        <f t="shared" si="112"/>
        <v>1481100270.5</v>
      </c>
      <c r="S629" s="246" t="s">
        <v>222</v>
      </c>
      <c r="T629" s="245">
        <f t="shared" si="109"/>
        <v>0</v>
      </c>
      <c r="U629" s="145" t="str">
        <f t="shared" si="113"/>
        <v>SUBDIRECCION DE GESTION CONTRACTUAL</v>
      </c>
      <c r="V629" s="245" t="str">
        <f t="shared" si="114"/>
        <v>CO-DC</v>
      </c>
      <c r="W629" s="245" t="str">
        <f t="shared" si="115"/>
        <v>Distrito Capital de Bogotá</v>
      </c>
      <c r="X629" s="154" t="s">
        <v>553</v>
      </c>
      <c r="Y629" s="147">
        <v>2427400</v>
      </c>
      <c r="Z629" s="157" t="s">
        <v>160</v>
      </c>
      <c r="AA629" s="248"/>
      <c r="AB629" s="248"/>
      <c r="AC629" s="248"/>
      <c r="AD629" s="248"/>
      <c r="AE629" s="248"/>
      <c r="AF629" s="248"/>
      <c r="AG629" s="248"/>
      <c r="AH629" s="248"/>
      <c r="AI629" s="248"/>
      <c r="AJ629" s="248"/>
      <c r="AK629" s="248"/>
      <c r="AL629" s="248"/>
      <c r="AM629" s="248"/>
      <c r="AN629" s="248"/>
      <c r="AO629" s="248"/>
      <c r="AP629" s="248"/>
      <c r="AQ629" s="248"/>
      <c r="AR629" s="248"/>
      <c r="AS629" s="248"/>
      <c r="AT629" s="248"/>
      <c r="AU629" s="152"/>
      <c r="AV629" s="152"/>
      <c r="AW629" s="152"/>
      <c r="AX629" s="152"/>
      <c r="AY629" s="152"/>
      <c r="AZ629" s="152"/>
      <c r="BA629" s="152"/>
      <c r="BB629" s="152"/>
      <c r="BC629" s="152"/>
      <c r="BD629" s="152"/>
      <c r="BE629" s="152"/>
      <c r="BF629" s="152"/>
      <c r="BG629" s="152"/>
      <c r="BH629" s="152"/>
      <c r="BI629" s="152"/>
      <c r="BJ629" s="152"/>
      <c r="BK629" s="152"/>
      <c r="BL629" s="152"/>
      <c r="BM629" s="152"/>
      <c r="BN629" s="152"/>
      <c r="BO629" s="152"/>
      <c r="BP629" s="152"/>
      <c r="BQ629" s="152"/>
      <c r="BR629" s="152"/>
      <c r="BS629" s="152"/>
      <c r="BT629" s="152"/>
      <c r="BU629" s="152"/>
      <c r="BV629" s="152"/>
      <c r="BW629" s="152"/>
      <c r="BX629" s="152"/>
      <c r="BY629" s="152"/>
      <c r="BZ629" s="152"/>
      <c r="CA629" s="152"/>
      <c r="CB629" s="152"/>
      <c r="CC629" s="152"/>
      <c r="CD629" s="152"/>
      <c r="CE629" s="152"/>
      <c r="CF629" s="152"/>
      <c r="CG629" s="252"/>
    </row>
    <row r="630" spans="1:85" s="250" customFormat="1" ht="13.9" customHeight="1" x14ac:dyDescent="0.2">
      <c r="A630" s="251" t="s">
        <v>158</v>
      </c>
      <c r="B630" s="147">
        <v>105</v>
      </c>
      <c r="C630" s="244" t="s">
        <v>792</v>
      </c>
      <c r="D630" s="154" t="s">
        <v>567</v>
      </c>
      <c r="E630" s="155"/>
      <c r="F630" s="155">
        <v>5944059397</v>
      </c>
      <c r="G630" s="155"/>
      <c r="H630" s="154" t="s">
        <v>749</v>
      </c>
      <c r="I630" s="244" t="s">
        <v>660</v>
      </c>
      <c r="J630" s="147">
        <v>1</v>
      </c>
      <c r="K630" s="147">
        <v>1</v>
      </c>
      <c r="L630" s="147">
        <v>12</v>
      </c>
      <c r="M630" s="132">
        <f t="shared" si="110"/>
        <v>1</v>
      </c>
      <c r="N630" s="140" t="s">
        <v>36</v>
      </c>
      <c r="O630" s="141" t="str">
        <f>IF(ISBLANK(N630),"",VLOOKUP(N630,[25]Parámetros!$G$2:$H$23,2,FALSE))</f>
        <v xml:space="preserve">Contratación directa (con ofertas) </v>
      </c>
      <c r="P630" s="245">
        <f t="shared" si="116"/>
        <v>1</v>
      </c>
      <c r="Q630" s="143">
        <f t="shared" si="111"/>
        <v>5944059397</v>
      </c>
      <c r="R630" s="143">
        <f t="shared" si="112"/>
        <v>5944059397</v>
      </c>
      <c r="S630" s="246" t="s">
        <v>222</v>
      </c>
      <c r="T630" s="245">
        <f t="shared" si="109"/>
        <v>0</v>
      </c>
      <c r="U630" s="145" t="str">
        <f t="shared" si="113"/>
        <v>SUBDIRECCION DE GESTION CONTRACTUAL</v>
      </c>
      <c r="V630" s="245" t="str">
        <f t="shared" si="114"/>
        <v>CO-DC</v>
      </c>
      <c r="W630" s="245" t="str">
        <f t="shared" si="115"/>
        <v>Distrito Capital de Bogotá</v>
      </c>
      <c r="X630" s="154" t="s">
        <v>553</v>
      </c>
      <c r="Y630" s="147">
        <v>2427400</v>
      </c>
      <c r="Z630" s="157" t="s">
        <v>160</v>
      </c>
      <c r="AA630" s="248"/>
      <c r="AB630" s="248"/>
      <c r="AC630" s="248"/>
      <c r="AD630" s="248"/>
      <c r="AE630" s="248"/>
      <c r="AF630" s="248"/>
      <c r="AG630" s="248"/>
      <c r="AH630" s="248"/>
      <c r="AI630" s="248"/>
      <c r="AJ630" s="248"/>
      <c r="AK630" s="248"/>
      <c r="AL630" s="248"/>
      <c r="AM630" s="248"/>
      <c r="AN630" s="248"/>
      <c r="AO630" s="248"/>
      <c r="AP630" s="248"/>
      <c r="AQ630" s="248"/>
      <c r="AR630" s="248"/>
      <c r="AS630" s="248"/>
      <c r="AT630" s="248"/>
      <c r="AU630" s="152"/>
      <c r="AV630" s="152"/>
      <c r="AW630" s="152"/>
      <c r="AX630" s="152"/>
      <c r="AY630" s="152"/>
      <c r="AZ630" s="152"/>
      <c r="BA630" s="152"/>
      <c r="BB630" s="152"/>
      <c r="BC630" s="152"/>
      <c r="BD630" s="152"/>
      <c r="BE630" s="152"/>
      <c r="BF630" s="152"/>
      <c r="BG630" s="152"/>
      <c r="BH630" s="152"/>
      <c r="BI630" s="152"/>
      <c r="BJ630" s="152"/>
      <c r="BK630" s="152"/>
      <c r="BL630" s="152"/>
      <c r="BM630" s="152"/>
      <c r="BN630" s="152"/>
      <c r="BO630" s="152"/>
      <c r="BP630" s="152"/>
      <c r="BQ630" s="152"/>
      <c r="BR630" s="152"/>
      <c r="BS630" s="152"/>
      <c r="BT630" s="152"/>
      <c r="BU630" s="152"/>
      <c r="BV630" s="152"/>
      <c r="BW630" s="152"/>
      <c r="BX630" s="152"/>
      <c r="BY630" s="152"/>
      <c r="BZ630" s="152"/>
      <c r="CA630" s="152"/>
      <c r="CB630" s="152"/>
      <c r="CC630" s="152"/>
      <c r="CD630" s="152"/>
      <c r="CE630" s="152"/>
      <c r="CF630" s="152"/>
      <c r="CG630" s="252"/>
    </row>
    <row r="631" spans="1:85" s="250" customFormat="1" ht="13.9" customHeight="1" x14ac:dyDescent="0.2">
      <c r="A631" s="251" t="s">
        <v>158</v>
      </c>
      <c r="B631" s="147">
        <v>106</v>
      </c>
      <c r="C631" s="244" t="s">
        <v>792</v>
      </c>
      <c r="D631" s="154" t="s">
        <v>567</v>
      </c>
      <c r="E631" s="155"/>
      <c r="F631" s="155">
        <v>1393976725</v>
      </c>
      <c r="G631" s="155"/>
      <c r="H631" s="154" t="s">
        <v>749</v>
      </c>
      <c r="I631" s="244" t="s">
        <v>659</v>
      </c>
      <c r="J631" s="147">
        <v>1</v>
      </c>
      <c r="K631" s="147">
        <v>1</v>
      </c>
      <c r="L631" s="147">
        <v>12</v>
      </c>
      <c r="M631" s="132">
        <f t="shared" si="110"/>
        <v>1</v>
      </c>
      <c r="N631" s="140" t="s">
        <v>36</v>
      </c>
      <c r="O631" s="141" t="str">
        <f>IF(ISBLANK(N631),"",VLOOKUP(N631,[25]Parámetros!$G$2:$H$23,2,FALSE))</f>
        <v xml:space="preserve">Contratación directa (con ofertas) </v>
      </c>
      <c r="P631" s="245">
        <f t="shared" si="116"/>
        <v>1</v>
      </c>
      <c r="Q631" s="143">
        <f t="shared" si="111"/>
        <v>1393976725</v>
      </c>
      <c r="R631" s="143">
        <f t="shared" si="112"/>
        <v>1393976725</v>
      </c>
      <c r="S631" s="246" t="s">
        <v>222</v>
      </c>
      <c r="T631" s="245">
        <f t="shared" si="109"/>
        <v>0</v>
      </c>
      <c r="U631" s="145" t="str">
        <f t="shared" si="113"/>
        <v>SUBDIRECCION DE GESTION CONTRACTUAL</v>
      </c>
      <c r="V631" s="245" t="str">
        <f t="shared" si="114"/>
        <v>CO-DC</v>
      </c>
      <c r="W631" s="245" t="str">
        <f t="shared" si="115"/>
        <v>Distrito Capital de Bogotá</v>
      </c>
      <c r="X631" s="154" t="s">
        <v>553</v>
      </c>
      <c r="Y631" s="147">
        <v>2427400</v>
      </c>
      <c r="Z631" s="157" t="s">
        <v>160</v>
      </c>
      <c r="AA631" s="248"/>
      <c r="AB631" s="248"/>
      <c r="AC631" s="248"/>
      <c r="AD631" s="248"/>
      <c r="AE631" s="248"/>
      <c r="AF631" s="248"/>
      <c r="AG631" s="248"/>
      <c r="AH631" s="248"/>
      <c r="AI631" s="248"/>
      <c r="AJ631" s="248"/>
      <c r="AK631" s="248"/>
      <c r="AL631" s="248"/>
      <c r="AM631" s="248"/>
      <c r="AN631" s="248"/>
      <c r="AO631" s="248"/>
      <c r="AP631" s="248"/>
      <c r="AQ631" s="248"/>
      <c r="AR631" s="248"/>
      <c r="AS631" s="248"/>
      <c r="AT631" s="248"/>
      <c r="AU631" s="152"/>
      <c r="AV631" s="152"/>
      <c r="AW631" s="152"/>
      <c r="AX631" s="152"/>
      <c r="AY631" s="152"/>
      <c r="AZ631" s="152"/>
      <c r="BA631" s="152"/>
      <c r="BB631" s="152"/>
      <c r="BC631" s="152"/>
      <c r="BD631" s="152"/>
      <c r="BE631" s="152"/>
      <c r="BF631" s="152"/>
      <c r="BG631" s="152"/>
      <c r="BH631" s="152"/>
      <c r="BI631" s="152"/>
      <c r="BJ631" s="152"/>
      <c r="BK631" s="152"/>
      <c r="BL631" s="152"/>
      <c r="BM631" s="152"/>
      <c r="BN631" s="152"/>
      <c r="BO631" s="152"/>
      <c r="BP631" s="152"/>
      <c r="BQ631" s="152"/>
      <c r="BR631" s="152"/>
      <c r="BS631" s="152"/>
      <c r="BT631" s="152"/>
      <c r="BU631" s="152"/>
      <c r="BV631" s="152"/>
      <c r="BW631" s="152"/>
      <c r="BX631" s="152"/>
      <c r="BY631" s="152"/>
      <c r="BZ631" s="152"/>
      <c r="CA631" s="152"/>
      <c r="CB631" s="152"/>
      <c r="CC631" s="152"/>
      <c r="CD631" s="152"/>
      <c r="CE631" s="152"/>
      <c r="CF631" s="152"/>
      <c r="CG631" s="252"/>
    </row>
    <row r="632" spans="1:85" s="250" customFormat="1" ht="13.9" customHeight="1" x14ac:dyDescent="0.2">
      <c r="A632" s="251" t="s">
        <v>158</v>
      </c>
      <c r="B632" s="147">
        <v>107</v>
      </c>
      <c r="C632" s="244" t="s">
        <v>792</v>
      </c>
      <c r="D632" s="154" t="s">
        <v>567</v>
      </c>
      <c r="E632" s="155"/>
      <c r="F632" s="155">
        <v>4407956236</v>
      </c>
      <c r="G632" s="155"/>
      <c r="H632" s="154" t="s">
        <v>749</v>
      </c>
      <c r="I632" s="244" t="s">
        <v>658</v>
      </c>
      <c r="J632" s="147">
        <v>1</v>
      </c>
      <c r="K632" s="147">
        <v>1</v>
      </c>
      <c r="L632" s="147">
        <v>12</v>
      </c>
      <c r="M632" s="132">
        <f t="shared" si="110"/>
        <v>1</v>
      </c>
      <c r="N632" s="140" t="s">
        <v>36</v>
      </c>
      <c r="O632" s="141" t="str">
        <f>IF(ISBLANK(N632),"",VLOOKUP(N632,[25]Parámetros!$G$2:$H$23,2,FALSE))</f>
        <v xml:space="preserve">Contratación directa (con ofertas) </v>
      </c>
      <c r="P632" s="245">
        <f t="shared" si="116"/>
        <v>1</v>
      </c>
      <c r="Q632" s="143">
        <f t="shared" si="111"/>
        <v>4407956236</v>
      </c>
      <c r="R632" s="143">
        <f t="shared" si="112"/>
        <v>4407956236</v>
      </c>
      <c r="S632" s="246" t="s">
        <v>222</v>
      </c>
      <c r="T632" s="245">
        <f t="shared" si="109"/>
        <v>0</v>
      </c>
      <c r="U632" s="145" t="str">
        <f t="shared" si="113"/>
        <v>SUBDIRECCION DE GESTION CONTRACTUAL</v>
      </c>
      <c r="V632" s="245" t="str">
        <f t="shared" si="114"/>
        <v>CO-DC</v>
      </c>
      <c r="W632" s="245" t="str">
        <f t="shared" si="115"/>
        <v>Distrito Capital de Bogotá</v>
      </c>
      <c r="X632" s="154" t="s">
        <v>553</v>
      </c>
      <c r="Y632" s="147">
        <v>2427400</v>
      </c>
      <c r="Z632" s="157" t="s">
        <v>160</v>
      </c>
      <c r="AA632" s="248"/>
      <c r="AB632" s="248"/>
      <c r="AC632" s="248"/>
      <c r="AD632" s="248"/>
      <c r="AE632" s="248"/>
      <c r="AF632" s="248"/>
      <c r="AG632" s="248"/>
      <c r="AH632" s="248"/>
      <c r="AI632" s="248"/>
      <c r="AJ632" s="248"/>
      <c r="AK632" s="248"/>
      <c r="AL632" s="248"/>
      <c r="AM632" s="248"/>
      <c r="AN632" s="248"/>
      <c r="AO632" s="248"/>
      <c r="AP632" s="248"/>
      <c r="AQ632" s="248"/>
      <c r="AR632" s="248"/>
      <c r="AS632" s="248"/>
      <c r="AT632" s="248"/>
      <c r="AU632" s="152"/>
      <c r="AV632" s="152"/>
      <c r="AW632" s="152"/>
      <c r="AX632" s="152"/>
      <c r="AY632" s="152"/>
      <c r="AZ632" s="152"/>
      <c r="BA632" s="152"/>
      <c r="BB632" s="152"/>
      <c r="BC632" s="152"/>
      <c r="BD632" s="152"/>
      <c r="BE632" s="152"/>
      <c r="BF632" s="152"/>
      <c r="BG632" s="152"/>
      <c r="BH632" s="152"/>
      <c r="BI632" s="152"/>
      <c r="BJ632" s="152"/>
      <c r="BK632" s="152"/>
      <c r="BL632" s="152"/>
      <c r="BM632" s="152"/>
      <c r="BN632" s="152"/>
      <c r="BO632" s="152"/>
      <c r="BP632" s="152"/>
      <c r="BQ632" s="152"/>
      <c r="BR632" s="152"/>
      <c r="BS632" s="152"/>
      <c r="BT632" s="152"/>
      <c r="BU632" s="152"/>
      <c r="BV632" s="152"/>
      <c r="BW632" s="152"/>
      <c r="BX632" s="152"/>
      <c r="BY632" s="152"/>
      <c r="BZ632" s="152"/>
      <c r="CA632" s="152"/>
      <c r="CB632" s="152"/>
      <c r="CC632" s="152"/>
      <c r="CD632" s="152"/>
      <c r="CE632" s="152"/>
      <c r="CF632" s="152"/>
      <c r="CG632" s="252"/>
    </row>
    <row r="633" spans="1:85" s="250" customFormat="1" ht="13.9" customHeight="1" x14ac:dyDescent="0.2">
      <c r="A633" s="251" t="s">
        <v>158</v>
      </c>
      <c r="B633" s="147">
        <v>108</v>
      </c>
      <c r="C633" s="244" t="s">
        <v>792</v>
      </c>
      <c r="D633" s="154" t="s">
        <v>567</v>
      </c>
      <c r="E633" s="155"/>
      <c r="F633" s="155">
        <v>7235924929</v>
      </c>
      <c r="G633" s="155"/>
      <c r="H633" s="154" t="s">
        <v>749</v>
      </c>
      <c r="I633" s="244" t="s">
        <v>657</v>
      </c>
      <c r="J633" s="147">
        <v>1</v>
      </c>
      <c r="K633" s="147">
        <v>1</v>
      </c>
      <c r="L633" s="147">
        <v>12</v>
      </c>
      <c r="M633" s="132">
        <f t="shared" si="110"/>
        <v>1</v>
      </c>
      <c r="N633" s="140" t="s">
        <v>36</v>
      </c>
      <c r="O633" s="141" t="str">
        <f>IF(ISBLANK(N633),"",VLOOKUP(N633,[25]Parámetros!$G$2:$H$23,2,FALSE))</f>
        <v xml:space="preserve">Contratación directa (con ofertas) </v>
      </c>
      <c r="P633" s="245">
        <f t="shared" si="116"/>
        <v>1</v>
      </c>
      <c r="Q633" s="143">
        <f t="shared" si="111"/>
        <v>7235924929</v>
      </c>
      <c r="R633" s="143">
        <f t="shared" si="112"/>
        <v>7235924929</v>
      </c>
      <c r="S633" s="246" t="s">
        <v>222</v>
      </c>
      <c r="T633" s="245">
        <f t="shared" ref="T633:T660" si="117">IF(ISBLANK(S633),"",IF(VALUE(S633)=0,0,IF(VALUE(S633)=1,3,"")))</f>
        <v>0</v>
      </c>
      <c r="U633" s="145" t="str">
        <f t="shared" si="113"/>
        <v>SUBDIRECCION DE GESTION CONTRACTUAL</v>
      </c>
      <c r="V633" s="245" t="str">
        <f t="shared" si="114"/>
        <v>CO-DC</v>
      </c>
      <c r="W633" s="245" t="str">
        <f t="shared" si="115"/>
        <v>Distrito Capital de Bogotá</v>
      </c>
      <c r="X633" s="154" t="s">
        <v>553</v>
      </c>
      <c r="Y633" s="147">
        <v>2427400</v>
      </c>
      <c r="Z633" s="157" t="s">
        <v>160</v>
      </c>
      <c r="AA633" s="248"/>
      <c r="AB633" s="248"/>
      <c r="AC633" s="248"/>
      <c r="AD633" s="248"/>
      <c r="AE633" s="248"/>
      <c r="AF633" s="248"/>
      <c r="AG633" s="248"/>
      <c r="AH633" s="248"/>
      <c r="AI633" s="248"/>
      <c r="AJ633" s="248"/>
      <c r="AK633" s="248"/>
      <c r="AL633" s="248"/>
      <c r="AM633" s="248"/>
      <c r="AN633" s="248"/>
      <c r="AO633" s="248"/>
      <c r="AP633" s="248"/>
      <c r="AQ633" s="248"/>
      <c r="AR633" s="248"/>
      <c r="AS633" s="248"/>
      <c r="AT633" s="248"/>
      <c r="AU633" s="152"/>
      <c r="AV633" s="152"/>
      <c r="AW633" s="152"/>
      <c r="AX633" s="152"/>
      <c r="AY633" s="152"/>
      <c r="AZ633" s="152"/>
      <c r="BA633" s="152"/>
      <c r="BB633" s="152"/>
      <c r="BC633" s="152"/>
      <c r="BD633" s="152"/>
      <c r="BE633" s="152"/>
      <c r="BF633" s="152"/>
      <c r="BG633" s="152"/>
      <c r="BH633" s="152"/>
      <c r="BI633" s="152"/>
      <c r="BJ633" s="152"/>
      <c r="BK633" s="152"/>
      <c r="BL633" s="152"/>
      <c r="BM633" s="152"/>
      <c r="BN633" s="152"/>
      <c r="BO633" s="152"/>
      <c r="BP633" s="152"/>
      <c r="BQ633" s="152"/>
      <c r="BR633" s="152"/>
      <c r="BS633" s="152"/>
      <c r="BT633" s="152"/>
      <c r="BU633" s="152"/>
      <c r="BV633" s="152"/>
      <c r="BW633" s="152"/>
      <c r="BX633" s="152"/>
      <c r="BY633" s="152"/>
      <c r="BZ633" s="152"/>
      <c r="CA633" s="152"/>
      <c r="CB633" s="152"/>
      <c r="CC633" s="152"/>
      <c r="CD633" s="152"/>
      <c r="CE633" s="152"/>
      <c r="CF633" s="152"/>
      <c r="CG633" s="252"/>
    </row>
    <row r="634" spans="1:85" s="250" customFormat="1" ht="13.9" customHeight="1" x14ac:dyDescent="0.2">
      <c r="A634" s="251" t="s">
        <v>158</v>
      </c>
      <c r="B634" s="147">
        <v>109</v>
      </c>
      <c r="C634" s="244" t="s">
        <v>792</v>
      </c>
      <c r="D634" s="154" t="s">
        <v>567</v>
      </c>
      <c r="E634" s="155"/>
      <c r="F634" s="155">
        <v>1174429162</v>
      </c>
      <c r="G634" s="155"/>
      <c r="H634" s="154" t="s">
        <v>749</v>
      </c>
      <c r="I634" s="244" t="s">
        <v>656</v>
      </c>
      <c r="J634" s="147">
        <v>1</v>
      </c>
      <c r="K634" s="147">
        <v>1</v>
      </c>
      <c r="L634" s="147">
        <v>12</v>
      </c>
      <c r="M634" s="132">
        <f t="shared" si="110"/>
        <v>1</v>
      </c>
      <c r="N634" s="140" t="s">
        <v>36</v>
      </c>
      <c r="O634" s="141" t="str">
        <f>IF(ISBLANK(N634),"",VLOOKUP(N634,[25]Parámetros!$G$2:$H$23,2,FALSE))</f>
        <v xml:space="preserve">Contratación directa (con ofertas) </v>
      </c>
      <c r="P634" s="245">
        <f t="shared" si="116"/>
        <v>1</v>
      </c>
      <c r="Q634" s="143">
        <f t="shared" si="111"/>
        <v>1174429162</v>
      </c>
      <c r="R634" s="143">
        <f t="shared" si="112"/>
        <v>1174429162</v>
      </c>
      <c r="S634" s="246" t="s">
        <v>222</v>
      </c>
      <c r="T634" s="245">
        <f t="shared" si="117"/>
        <v>0</v>
      </c>
      <c r="U634" s="145" t="str">
        <f t="shared" si="113"/>
        <v>SUBDIRECCION DE GESTION CONTRACTUAL</v>
      </c>
      <c r="V634" s="245" t="str">
        <f t="shared" si="114"/>
        <v>CO-DC</v>
      </c>
      <c r="W634" s="245" t="str">
        <f t="shared" si="115"/>
        <v>Distrito Capital de Bogotá</v>
      </c>
      <c r="X634" s="154" t="s">
        <v>553</v>
      </c>
      <c r="Y634" s="147">
        <v>2427400</v>
      </c>
      <c r="Z634" s="157" t="s">
        <v>160</v>
      </c>
      <c r="AA634" s="248"/>
      <c r="AB634" s="248"/>
      <c r="AC634" s="248"/>
      <c r="AD634" s="248"/>
      <c r="AE634" s="248"/>
      <c r="AF634" s="248"/>
      <c r="AG634" s="248"/>
      <c r="AH634" s="248"/>
      <c r="AI634" s="248"/>
      <c r="AJ634" s="248"/>
      <c r="AK634" s="248"/>
      <c r="AL634" s="248"/>
      <c r="AM634" s="248"/>
      <c r="AN634" s="248"/>
      <c r="AO634" s="248"/>
      <c r="AP634" s="248"/>
      <c r="AQ634" s="248"/>
      <c r="AR634" s="248"/>
      <c r="AS634" s="248"/>
      <c r="AT634" s="248"/>
      <c r="AU634" s="152"/>
      <c r="AV634" s="152"/>
      <c r="AW634" s="152"/>
      <c r="AX634" s="152"/>
      <c r="AY634" s="152"/>
      <c r="AZ634" s="152"/>
      <c r="BA634" s="152"/>
      <c r="BB634" s="152"/>
      <c r="BC634" s="152"/>
      <c r="BD634" s="152"/>
      <c r="BE634" s="152"/>
      <c r="BF634" s="152"/>
      <c r="BG634" s="152"/>
      <c r="BH634" s="152"/>
      <c r="BI634" s="152"/>
      <c r="BJ634" s="152"/>
      <c r="BK634" s="152"/>
      <c r="BL634" s="152"/>
      <c r="BM634" s="152"/>
      <c r="BN634" s="152"/>
      <c r="BO634" s="152"/>
      <c r="BP634" s="152"/>
      <c r="BQ634" s="152"/>
      <c r="BR634" s="152"/>
      <c r="BS634" s="152"/>
      <c r="BT634" s="152"/>
      <c r="BU634" s="152"/>
      <c r="BV634" s="152"/>
      <c r="BW634" s="152"/>
      <c r="BX634" s="152"/>
      <c r="BY634" s="152"/>
      <c r="BZ634" s="152"/>
      <c r="CA634" s="152"/>
      <c r="CB634" s="152"/>
      <c r="CC634" s="152"/>
      <c r="CD634" s="152"/>
      <c r="CE634" s="152"/>
      <c r="CF634" s="152"/>
      <c r="CG634" s="252"/>
    </row>
    <row r="635" spans="1:85" s="250" customFormat="1" ht="13.9" customHeight="1" x14ac:dyDescent="0.2">
      <c r="A635" s="251" t="s">
        <v>158</v>
      </c>
      <c r="B635" s="147">
        <v>110</v>
      </c>
      <c r="C635" s="244" t="s">
        <v>792</v>
      </c>
      <c r="D635" s="154" t="s">
        <v>567</v>
      </c>
      <c r="E635" s="155"/>
      <c r="F635" s="155">
        <v>4428608739</v>
      </c>
      <c r="G635" s="155"/>
      <c r="H635" s="154" t="s">
        <v>749</v>
      </c>
      <c r="I635" s="244" t="s">
        <v>655</v>
      </c>
      <c r="J635" s="147">
        <v>1</v>
      </c>
      <c r="K635" s="147">
        <v>1</v>
      </c>
      <c r="L635" s="147">
        <v>12</v>
      </c>
      <c r="M635" s="132">
        <f t="shared" si="110"/>
        <v>1</v>
      </c>
      <c r="N635" s="140" t="s">
        <v>36</v>
      </c>
      <c r="O635" s="141" t="str">
        <f>IF(ISBLANK(N635),"",VLOOKUP(N635,[25]Parámetros!$G$2:$H$23,2,FALSE))</f>
        <v xml:space="preserve">Contratación directa (con ofertas) </v>
      </c>
      <c r="P635" s="245">
        <f t="shared" si="116"/>
        <v>1</v>
      </c>
      <c r="Q635" s="143">
        <f t="shared" si="111"/>
        <v>4428608739</v>
      </c>
      <c r="R635" s="143">
        <f t="shared" si="112"/>
        <v>4428608739</v>
      </c>
      <c r="S635" s="246" t="s">
        <v>222</v>
      </c>
      <c r="T635" s="245">
        <f t="shared" si="117"/>
        <v>0</v>
      </c>
      <c r="U635" s="145" t="str">
        <f t="shared" si="113"/>
        <v>SUBDIRECCION DE GESTION CONTRACTUAL</v>
      </c>
      <c r="V635" s="245" t="str">
        <f t="shared" si="114"/>
        <v>CO-DC</v>
      </c>
      <c r="W635" s="245" t="str">
        <f t="shared" si="115"/>
        <v>Distrito Capital de Bogotá</v>
      </c>
      <c r="X635" s="154" t="s">
        <v>553</v>
      </c>
      <c r="Y635" s="147">
        <v>2427400</v>
      </c>
      <c r="Z635" s="157" t="s">
        <v>160</v>
      </c>
      <c r="AA635" s="248"/>
      <c r="AB635" s="248"/>
      <c r="AC635" s="248"/>
      <c r="AD635" s="248"/>
      <c r="AE635" s="248"/>
      <c r="AF635" s="248"/>
      <c r="AG635" s="248"/>
      <c r="AH635" s="248"/>
      <c r="AI635" s="248"/>
      <c r="AJ635" s="248"/>
      <c r="AK635" s="248"/>
      <c r="AL635" s="248"/>
      <c r="AM635" s="248"/>
      <c r="AN635" s="248"/>
      <c r="AO635" s="248"/>
      <c r="AP635" s="248"/>
      <c r="AQ635" s="248"/>
      <c r="AR635" s="248"/>
      <c r="AS635" s="248"/>
      <c r="AT635" s="248"/>
      <c r="AU635" s="152"/>
      <c r="AV635" s="152"/>
      <c r="AW635" s="152"/>
      <c r="AX635" s="152"/>
      <c r="AY635" s="152"/>
      <c r="AZ635" s="152"/>
      <c r="BA635" s="152"/>
      <c r="BB635" s="152"/>
      <c r="BC635" s="152"/>
      <c r="BD635" s="152"/>
      <c r="BE635" s="152"/>
      <c r="BF635" s="152"/>
      <c r="BG635" s="152"/>
      <c r="BH635" s="152"/>
      <c r="BI635" s="152"/>
      <c r="BJ635" s="152"/>
      <c r="BK635" s="152"/>
      <c r="BL635" s="152"/>
      <c r="BM635" s="152"/>
      <c r="BN635" s="152"/>
      <c r="BO635" s="152"/>
      <c r="BP635" s="152"/>
      <c r="BQ635" s="152"/>
      <c r="BR635" s="152"/>
      <c r="BS635" s="152"/>
      <c r="BT635" s="152"/>
      <c r="BU635" s="152"/>
      <c r="BV635" s="152"/>
      <c r="BW635" s="152"/>
      <c r="BX635" s="152"/>
      <c r="BY635" s="152"/>
      <c r="BZ635" s="152"/>
      <c r="CA635" s="152"/>
      <c r="CB635" s="152"/>
      <c r="CC635" s="152"/>
      <c r="CD635" s="152"/>
      <c r="CE635" s="152"/>
      <c r="CF635" s="152"/>
      <c r="CG635" s="252"/>
    </row>
    <row r="636" spans="1:85" s="250" customFormat="1" ht="13.9" customHeight="1" x14ac:dyDescent="0.2">
      <c r="A636" s="251" t="s">
        <v>158</v>
      </c>
      <c r="B636" s="147">
        <v>111</v>
      </c>
      <c r="C636" s="244" t="s">
        <v>792</v>
      </c>
      <c r="D636" s="154" t="s">
        <v>567</v>
      </c>
      <c r="E636" s="155"/>
      <c r="F636" s="155">
        <v>1816499827</v>
      </c>
      <c r="G636" s="155"/>
      <c r="H636" s="154" t="s">
        <v>749</v>
      </c>
      <c r="I636" s="244" t="s">
        <v>654</v>
      </c>
      <c r="J636" s="147">
        <v>1</v>
      </c>
      <c r="K636" s="147">
        <v>1</v>
      </c>
      <c r="L636" s="147">
        <v>12</v>
      </c>
      <c r="M636" s="132">
        <f t="shared" si="110"/>
        <v>1</v>
      </c>
      <c r="N636" s="140" t="s">
        <v>36</v>
      </c>
      <c r="O636" s="141" t="str">
        <f>IF(ISBLANK(N636),"",VLOOKUP(N636,[25]Parámetros!$G$2:$H$23,2,FALSE))</f>
        <v xml:space="preserve">Contratación directa (con ofertas) </v>
      </c>
      <c r="P636" s="245">
        <f t="shared" si="116"/>
        <v>1</v>
      </c>
      <c r="Q636" s="143">
        <f t="shared" si="111"/>
        <v>1816499827</v>
      </c>
      <c r="R636" s="143">
        <f t="shared" si="112"/>
        <v>1816499827</v>
      </c>
      <c r="S636" s="246" t="s">
        <v>222</v>
      </c>
      <c r="T636" s="245">
        <f t="shared" si="117"/>
        <v>0</v>
      </c>
      <c r="U636" s="145" t="str">
        <f t="shared" si="113"/>
        <v>SUBDIRECCION DE GESTION CONTRACTUAL</v>
      </c>
      <c r="V636" s="245" t="str">
        <f t="shared" si="114"/>
        <v>CO-DC</v>
      </c>
      <c r="W636" s="245" t="str">
        <f t="shared" si="115"/>
        <v>Distrito Capital de Bogotá</v>
      </c>
      <c r="X636" s="154" t="s">
        <v>553</v>
      </c>
      <c r="Y636" s="147">
        <v>2427400</v>
      </c>
      <c r="Z636" s="157" t="s">
        <v>160</v>
      </c>
      <c r="AA636" s="248"/>
      <c r="AB636" s="248"/>
      <c r="AC636" s="248"/>
      <c r="AD636" s="248"/>
      <c r="AE636" s="248"/>
      <c r="AF636" s="248"/>
      <c r="AG636" s="248"/>
      <c r="AH636" s="248"/>
      <c r="AI636" s="248"/>
      <c r="AJ636" s="248"/>
      <c r="AK636" s="248"/>
      <c r="AL636" s="248"/>
      <c r="AM636" s="248"/>
      <c r="AN636" s="248"/>
      <c r="AO636" s="248"/>
      <c r="AP636" s="248"/>
      <c r="AQ636" s="248"/>
      <c r="AR636" s="248"/>
      <c r="AS636" s="248"/>
      <c r="AT636" s="248"/>
      <c r="AU636" s="152"/>
      <c r="AV636" s="152"/>
      <c r="AW636" s="152"/>
      <c r="AX636" s="152"/>
      <c r="AY636" s="152"/>
      <c r="AZ636" s="152"/>
      <c r="BA636" s="152"/>
      <c r="BB636" s="152"/>
      <c r="BC636" s="152"/>
      <c r="BD636" s="152"/>
      <c r="BE636" s="152"/>
      <c r="BF636" s="152"/>
      <c r="BG636" s="152"/>
      <c r="BH636" s="152"/>
      <c r="BI636" s="152"/>
      <c r="BJ636" s="152"/>
      <c r="BK636" s="152"/>
      <c r="BL636" s="152"/>
      <c r="BM636" s="152"/>
      <c r="BN636" s="152"/>
      <c r="BO636" s="152"/>
      <c r="BP636" s="152"/>
      <c r="BQ636" s="152"/>
      <c r="BR636" s="152"/>
      <c r="BS636" s="152"/>
      <c r="BT636" s="152"/>
      <c r="BU636" s="152"/>
      <c r="BV636" s="152"/>
      <c r="BW636" s="152"/>
      <c r="BX636" s="152"/>
      <c r="BY636" s="152"/>
      <c r="BZ636" s="152"/>
      <c r="CA636" s="152"/>
      <c r="CB636" s="152"/>
      <c r="CC636" s="152"/>
      <c r="CD636" s="152"/>
      <c r="CE636" s="152"/>
      <c r="CF636" s="152"/>
      <c r="CG636" s="252"/>
    </row>
    <row r="637" spans="1:85" s="250" customFormat="1" ht="13.9" customHeight="1" x14ac:dyDescent="0.2">
      <c r="A637" s="251" t="s">
        <v>158</v>
      </c>
      <c r="B637" s="147">
        <v>112</v>
      </c>
      <c r="C637" s="244" t="s">
        <v>792</v>
      </c>
      <c r="D637" s="154" t="s">
        <v>567</v>
      </c>
      <c r="E637" s="155"/>
      <c r="F637" s="155">
        <v>1965929315</v>
      </c>
      <c r="G637" s="155"/>
      <c r="H637" s="154" t="s">
        <v>749</v>
      </c>
      <c r="I637" s="244" t="s">
        <v>653</v>
      </c>
      <c r="J637" s="147">
        <v>1</v>
      </c>
      <c r="K637" s="147">
        <v>1</v>
      </c>
      <c r="L637" s="147">
        <v>12</v>
      </c>
      <c r="M637" s="132">
        <f t="shared" si="110"/>
        <v>1</v>
      </c>
      <c r="N637" s="140" t="s">
        <v>36</v>
      </c>
      <c r="O637" s="141" t="str">
        <f>IF(ISBLANK(N637),"",VLOOKUP(N637,[25]Parámetros!$G$2:$H$23,2,FALSE))</f>
        <v xml:space="preserve">Contratación directa (con ofertas) </v>
      </c>
      <c r="P637" s="245">
        <f t="shared" si="116"/>
        <v>1</v>
      </c>
      <c r="Q637" s="143">
        <f t="shared" si="111"/>
        <v>1965929315</v>
      </c>
      <c r="R637" s="143">
        <f t="shared" si="112"/>
        <v>1965929315</v>
      </c>
      <c r="S637" s="246" t="s">
        <v>222</v>
      </c>
      <c r="T637" s="245">
        <f t="shared" si="117"/>
        <v>0</v>
      </c>
      <c r="U637" s="145" t="str">
        <f t="shared" si="113"/>
        <v>SUBDIRECCION DE GESTION CONTRACTUAL</v>
      </c>
      <c r="V637" s="245" t="str">
        <f t="shared" si="114"/>
        <v>CO-DC</v>
      </c>
      <c r="W637" s="245" t="str">
        <f t="shared" si="115"/>
        <v>Distrito Capital de Bogotá</v>
      </c>
      <c r="X637" s="154" t="s">
        <v>553</v>
      </c>
      <c r="Y637" s="147">
        <v>2427400</v>
      </c>
      <c r="Z637" s="157" t="s">
        <v>160</v>
      </c>
      <c r="AA637" s="248"/>
      <c r="AB637" s="248"/>
      <c r="AC637" s="248"/>
      <c r="AD637" s="248"/>
      <c r="AE637" s="248"/>
      <c r="AF637" s="248"/>
      <c r="AG637" s="248"/>
      <c r="AH637" s="248"/>
      <c r="AI637" s="248"/>
      <c r="AJ637" s="248"/>
      <c r="AK637" s="248"/>
      <c r="AL637" s="248"/>
      <c r="AM637" s="248"/>
      <c r="AN637" s="248"/>
      <c r="AO637" s="248"/>
      <c r="AP637" s="248"/>
      <c r="AQ637" s="248"/>
      <c r="AR637" s="248"/>
      <c r="AS637" s="248"/>
      <c r="AT637" s="248"/>
      <c r="AU637" s="152"/>
      <c r="AV637" s="152"/>
      <c r="AW637" s="152"/>
      <c r="AX637" s="152"/>
      <c r="AY637" s="152"/>
      <c r="AZ637" s="152"/>
      <c r="BA637" s="152"/>
      <c r="BB637" s="152"/>
      <c r="BC637" s="152"/>
      <c r="BD637" s="152"/>
      <c r="BE637" s="152"/>
      <c r="BF637" s="152"/>
      <c r="BG637" s="152"/>
      <c r="BH637" s="152"/>
      <c r="BI637" s="152"/>
      <c r="BJ637" s="152"/>
      <c r="BK637" s="152"/>
      <c r="BL637" s="152"/>
      <c r="BM637" s="152"/>
      <c r="BN637" s="152"/>
      <c r="BO637" s="152"/>
      <c r="BP637" s="152"/>
      <c r="BQ637" s="152"/>
      <c r="BR637" s="152"/>
      <c r="BS637" s="152"/>
      <c r="BT637" s="152"/>
      <c r="BU637" s="152"/>
      <c r="BV637" s="152"/>
      <c r="BW637" s="152"/>
      <c r="BX637" s="152"/>
      <c r="BY637" s="152"/>
      <c r="BZ637" s="152"/>
      <c r="CA637" s="152"/>
      <c r="CB637" s="152"/>
      <c r="CC637" s="152"/>
      <c r="CD637" s="152"/>
      <c r="CE637" s="152"/>
      <c r="CF637" s="152"/>
      <c r="CG637" s="252"/>
    </row>
    <row r="638" spans="1:85" s="250" customFormat="1" ht="13.9" customHeight="1" x14ac:dyDescent="0.2">
      <c r="A638" s="251" t="s">
        <v>158</v>
      </c>
      <c r="B638" s="147">
        <v>113</v>
      </c>
      <c r="C638" s="244" t="s">
        <v>792</v>
      </c>
      <c r="D638" s="154" t="s">
        <v>567</v>
      </c>
      <c r="E638" s="155"/>
      <c r="F638" s="155">
        <v>6443016559</v>
      </c>
      <c r="G638" s="155"/>
      <c r="H638" s="154" t="s">
        <v>749</v>
      </c>
      <c r="I638" s="244" t="s">
        <v>652</v>
      </c>
      <c r="J638" s="147">
        <v>1</v>
      </c>
      <c r="K638" s="147">
        <v>1</v>
      </c>
      <c r="L638" s="147">
        <v>12</v>
      </c>
      <c r="M638" s="132">
        <f t="shared" si="110"/>
        <v>1</v>
      </c>
      <c r="N638" s="140" t="s">
        <v>36</v>
      </c>
      <c r="O638" s="141" t="str">
        <f>IF(ISBLANK(N638),"",VLOOKUP(N638,[25]Parámetros!$G$2:$H$23,2,FALSE))</f>
        <v xml:space="preserve">Contratación directa (con ofertas) </v>
      </c>
      <c r="P638" s="245">
        <f t="shared" si="116"/>
        <v>1</v>
      </c>
      <c r="Q638" s="143">
        <f t="shared" si="111"/>
        <v>6443016559</v>
      </c>
      <c r="R638" s="143">
        <f t="shared" si="112"/>
        <v>6443016559</v>
      </c>
      <c r="S638" s="246" t="s">
        <v>222</v>
      </c>
      <c r="T638" s="245">
        <f t="shared" si="117"/>
        <v>0</v>
      </c>
      <c r="U638" s="145" t="str">
        <f t="shared" si="113"/>
        <v>SUBDIRECCION DE GESTION CONTRACTUAL</v>
      </c>
      <c r="V638" s="245" t="str">
        <f t="shared" si="114"/>
        <v>CO-DC</v>
      </c>
      <c r="W638" s="245" t="str">
        <f t="shared" si="115"/>
        <v>Distrito Capital de Bogotá</v>
      </c>
      <c r="X638" s="154" t="s">
        <v>553</v>
      </c>
      <c r="Y638" s="147">
        <v>2427400</v>
      </c>
      <c r="Z638" s="157" t="s">
        <v>160</v>
      </c>
      <c r="AA638" s="248"/>
      <c r="AB638" s="248"/>
      <c r="AC638" s="248"/>
      <c r="AD638" s="248"/>
      <c r="AE638" s="248"/>
      <c r="AF638" s="248"/>
      <c r="AG638" s="248"/>
      <c r="AH638" s="248"/>
      <c r="AI638" s="248"/>
      <c r="AJ638" s="248"/>
      <c r="AK638" s="248"/>
      <c r="AL638" s="248"/>
      <c r="AM638" s="248"/>
      <c r="AN638" s="248"/>
      <c r="AO638" s="248"/>
      <c r="AP638" s="248"/>
      <c r="AQ638" s="248"/>
      <c r="AR638" s="248"/>
      <c r="AS638" s="248"/>
      <c r="AT638" s="248"/>
      <c r="AU638" s="152"/>
      <c r="AV638" s="152"/>
      <c r="AW638" s="152"/>
      <c r="AX638" s="152"/>
      <c r="AY638" s="152"/>
      <c r="AZ638" s="152"/>
      <c r="BA638" s="152"/>
      <c r="BB638" s="152"/>
      <c r="BC638" s="152"/>
      <c r="BD638" s="152"/>
      <c r="BE638" s="152"/>
      <c r="BF638" s="152"/>
      <c r="BG638" s="152"/>
      <c r="BH638" s="152"/>
      <c r="BI638" s="152"/>
      <c r="BJ638" s="152"/>
      <c r="BK638" s="152"/>
      <c r="BL638" s="152"/>
      <c r="BM638" s="152"/>
      <c r="BN638" s="152"/>
      <c r="BO638" s="152"/>
      <c r="BP638" s="152"/>
      <c r="BQ638" s="152"/>
      <c r="BR638" s="152"/>
      <c r="BS638" s="152"/>
      <c r="BT638" s="152"/>
      <c r="BU638" s="152"/>
      <c r="BV638" s="152"/>
      <c r="BW638" s="152"/>
      <c r="BX638" s="152"/>
      <c r="BY638" s="152"/>
      <c r="BZ638" s="152"/>
      <c r="CA638" s="152"/>
      <c r="CB638" s="152"/>
      <c r="CC638" s="152"/>
      <c r="CD638" s="152"/>
      <c r="CE638" s="152"/>
      <c r="CF638" s="152"/>
      <c r="CG638" s="252"/>
    </row>
    <row r="639" spans="1:85" s="250" customFormat="1" ht="13.9" customHeight="1" x14ac:dyDescent="0.2">
      <c r="A639" s="251" t="s">
        <v>158</v>
      </c>
      <c r="B639" s="147">
        <v>114</v>
      </c>
      <c r="C639" s="244" t="s">
        <v>792</v>
      </c>
      <c r="D639" s="154" t="s">
        <v>567</v>
      </c>
      <c r="E639" s="155"/>
      <c r="F639" s="155">
        <v>5349657667.9499998</v>
      </c>
      <c r="G639" s="155"/>
      <c r="H639" s="154" t="s">
        <v>749</v>
      </c>
      <c r="I639" s="244" t="s">
        <v>651</v>
      </c>
      <c r="J639" s="147">
        <v>1</v>
      </c>
      <c r="K639" s="147">
        <v>1</v>
      </c>
      <c r="L639" s="147">
        <v>12</v>
      </c>
      <c r="M639" s="132">
        <f t="shared" si="110"/>
        <v>1</v>
      </c>
      <c r="N639" s="140" t="s">
        <v>36</v>
      </c>
      <c r="O639" s="141" t="str">
        <f>IF(ISBLANK(N639),"",VLOOKUP(N639,[25]Parámetros!$G$2:$H$23,2,FALSE))</f>
        <v xml:space="preserve">Contratación directa (con ofertas) </v>
      </c>
      <c r="P639" s="245">
        <f t="shared" si="116"/>
        <v>1</v>
      </c>
      <c r="Q639" s="143">
        <f t="shared" si="111"/>
        <v>5349657667.9499998</v>
      </c>
      <c r="R639" s="143">
        <f t="shared" si="112"/>
        <v>5349657667.9499998</v>
      </c>
      <c r="S639" s="246" t="s">
        <v>222</v>
      </c>
      <c r="T639" s="245">
        <f t="shared" si="117"/>
        <v>0</v>
      </c>
      <c r="U639" s="145" t="str">
        <f t="shared" si="113"/>
        <v>SUBDIRECCION DE GESTION CONTRACTUAL</v>
      </c>
      <c r="V639" s="245" t="str">
        <f t="shared" si="114"/>
        <v>CO-DC</v>
      </c>
      <c r="W639" s="245" t="str">
        <f t="shared" si="115"/>
        <v>Distrito Capital de Bogotá</v>
      </c>
      <c r="X639" s="154" t="s">
        <v>553</v>
      </c>
      <c r="Y639" s="147">
        <v>2427400</v>
      </c>
      <c r="Z639" s="157" t="s">
        <v>160</v>
      </c>
      <c r="AA639" s="248"/>
      <c r="AB639" s="248"/>
      <c r="AC639" s="248"/>
      <c r="AD639" s="248"/>
      <c r="AE639" s="248"/>
      <c r="AF639" s="248"/>
      <c r="AG639" s="248"/>
      <c r="AH639" s="248"/>
      <c r="AI639" s="248"/>
      <c r="AJ639" s="248"/>
      <c r="AK639" s="248"/>
      <c r="AL639" s="248"/>
      <c r="AM639" s="248"/>
      <c r="AN639" s="248"/>
      <c r="AO639" s="248"/>
      <c r="AP639" s="248"/>
      <c r="AQ639" s="248"/>
      <c r="AR639" s="248"/>
      <c r="AS639" s="248"/>
      <c r="AT639" s="248"/>
      <c r="AU639" s="152"/>
      <c r="AV639" s="152"/>
      <c r="AW639" s="152"/>
      <c r="AX639" s="152"/>
      <c r="AY639" s="152"/>
      <c r="AZ639" s="152"/>
      <c r="BA639" s="152"/>
      <c r="BB639" s="152"/>
      <c r="BC639" s="152"/>
      <c r="BD639" s="152"/>
      <c r="BE639" s="152"/>
      <c r="BF639" s="152"/>
      <c r="BG639" s="152"/>
      <c r="BH639" s="152"/>
      <c r="BI639" s="152"/>
      <c r="BJ639" s="152"/>
      <c r="BK639" s="152"/>
      <c r="BL639" s="152"/>
      <c r="BM639" s="152"/>
      <c r="BN639" s="152"/>
      <c r="BO639" s="152"/>
      <c r="BP639" s="152"/>
      <c r="BQ639" s="152"/>
      <c r="BR639" s="152"/>
      <c r="BS639" s="152"/>
      <c r="BT639" s="152"/>
      <c r="BU639" s="152"/>
      <c r="BV639" s="152"/>
      <c r="BW639" s="152"/>
      <c r="BX639" s="152"/>
      <c r="BY639" s="152"/>
      <c r="BZ639" s="152"/>
      <c r="CA639" s="152"/>
      <c r="CB639" s="152"/>
      <c r="CC639" s="152"/>
      <c r="CD639" s="152"/>
      <c r="CE639" s="152"/>
      <c r="CF639" s="152"/>
      <c r="CG639" s="252"/>
    </row>
    <row r="640" spans="1:85" s="250" customFormat="1" ht="13.9" customHeight="1" x14ac:dyDescent="0.2">
      <c r="A640" s="251" t="s">
        <v>158</v>
      </c>
      <c r="B640" s="147">
        <v>115</v>
      </c>
      <c r="C640" s="244" t="s">
        <v>792</v>
      </c>
      <c r="D640" s="154" t="s">
        <v>567</v>
      </c>
      <c r="E640" s="155"/>
      <c r="F640" s="155">
        <v>4254451334</v>
      </c>
      <c r="G640" s="155"/>
      <c r="H640" s="154" t="s">
        <v>749</v>
      </c>
      <c r="I640" s="244" t="s">
        <v>650</v>
      </c>
      <c r="J640" s="147">
        <v>1</v>
      </c>
      <c r="K640" s="147">
        <v>1</v>
      </c>
      <c r="L640" s="147">
        <v>12</v>
      </c>
      <c r="M640" s="132">
        <f t="shared" si="110"/>
        <v>1</v>
      </c>
      <c r="N640" s="140" t="s">
        <v>36</v>
      </c>
      <c r="O640" s="141" t="str">
        <f>IF(ISBLANK(N640),"",VLOOKUP(N640,[25]Parámetros!$G$2:$H$23,2,FALSE))</f>
        <v xml:space="preserve">Contratación directa (con ofertas) </v>
      </c>
      <c r="P640" s="245">
        <f t="shared" si="116"/>
        <v>1</v>
      </c>
      <c r="Q640" s="143">
        <f t="shared" si="111"/>
        <v>4254451334</v>
      </c>
      <c r="R640" s="143">
        <f t="shared" si="112"/>
        <v>4254451334</v>
      </c>
      <c r="S640" s="246" t="s">
        <v>222</v>
      </c>
      <c r="T640" s="245">
        <f t="shared" si="117"/>
        <v>0</v>
      </c>
      <c r="U640" s="145" t="str">
        <f t="shared" si="113"/>
        <v>SUBDIRECCION DE GESTION CONTRACTUAL</v>
      </c>
      <c r="V640" s="245" t="str">
        <f t="shared" si="114"/>
        <v>CO-DC</v>
      </c>
      <c r="W640" s="245" t="str">
        <f t="shared" si="115"/>
        <v>Distrito Capital de Bogotá</v>
      </c>
      <c r="X640" s="154" t="s">
        <v>553</v>
      </c>
      <c r="Y640" s="147">
        <v>2427400</v>
      </c>
      <c r="Z640" s="157" t="s">
        <v>160</v>
      </c>
      <c r="AA640" s="248"/>
      <c r="AB640" s="248"/>
      <c r="AC640" s="248"/>
      <c r="AD640" s="248"/>
      <c r="AE640" s="248"/>
      <c r="AF640" s="248"/>
      <c r="AG640" s="248"/>
      <c r="AH640" s="248"/>
      <c r="AI640" s="248"/>
      <c r="AJ640" s="248"/>
      <c r="AK640" s="248"/>
      <c r="AL640" s="248"/>
      <c r="AM640" s="248"/>
      <c r="AN640" s="248"/>
      <c r="AO640" s="248"/>
      <c r="AP640" s="248"/>
      <c r="AQ640" s="248"/>
      <c r="AR640" s="248"/>
      <c r="AS640" s="248"/>
      <c r="AT640" s="248"/>
      <c r="AU640" s="152"/>
      <c r="AV640" s="152"/>
      <c r="AW640" s="152"/>
      <c r="AX640" s="152"/>
      <c r="AY640" s="152"/>
      <c r="AZ640" s="152"/>
      <c r="BA640" s="152"/>
      <c r="BB640" s="152"/>
      <c r="BC640" s="152"/>
      <c r="BD640" s="152"/>
      <c r="BE640" s="152"/>
      <c r="BF640" s="152"/>
      <c r="BG640" s="152"/>
      <c r="BH640" s="152"/>
      <c r="BI640" s="152"/>
      <c r="BJ640" s="152"/>
      <c r="BK640" s="152"/>
      <c r="BL640" s="152"/>
      <c r="BM640" s="152"/>
      <c r="BN640" s="152"/>
      <c r="BO640" s="152"/>
      <c r="BP640" s="152"/>
      <c r="BQ640" s="152"/>
      <c r="BR640" s="152"/>
      <c r="BS640" s="152"/>
      <c r="BT640" s="152"/>
      <c r="BU640" s="152"/>
      <c r="BV640" s="152"/>
      <c r="BW640" s="152"/>
      <c r="BX640" s="152"/>
      <c r="BY640" s="152"/>
      <c r="BZ640" s="152"/>
      <c r="CA640" s="152"/>
      <c r="CB640" s="152"/>
      <c r="CC640" s="152"/>
      <c r="CD640" s="152"/>
      <c r="CE640" s="152"/>
      <c r="CF640" s="152"/>
      <c r="CG640" s="252"/>
    </row>
    <row r="641" spans="1:85" s="250" customFormat="1" ht="13.9" customHeight="1" x14ac:dyDescent="0.2">
      <c r="A641" s="251" t="s">
        <v>158</v>
      </c>
      <c r="B641" s="147">
        <v>116</v>
      </c>
      <c r="C641" s="244" t="s">
        <v>792</v>
      </c>
      <c r="D641" s="154" t="s">
        <v>567</v>
      </c>
      <c r="E641" s="155"/>
      <c r="F641" s="155">
        <v>1664508782.5999999</v>
      </c>
      <c r="G641" s="155"/>
      <c r="H641" s="154" t="s">
        <v>749</v>
      </c>
      <c r="I641" s="244" t="s">
        <v>649</v>
      </c>
      <c r="J641" s="147">
        <v>1</v>
      </c>
      <c r="K641" s="147">
        <v>1</v>
      </c>
      <c r="L641" s="147">
        <v>12</v>
      </c>
      <c r="M641" s="132">
        <f t="shared" si="110"/>
        <v>1</v>
      </c>
      <c r="N641" s="140" t="s">
        <v>36</v>
      </c>
      <c r="O641" s="141" t="str">
        <f>IF(ISBLANK(N641),"",VLOOKUP(N641,[25]Parámetros!$G$2:$H$23,2,FALSE))</f>
        <v xml:space="preserve">Contratación directa (con ofertas) </v>
      </c>
      <c r="P641" s="245">
        <f t="shared" si="116"/>
        <v>1</v>
      </c>
      <c r="Q641" s="143">
        <f t="shared" si="111"/>
        <v>1664508782.5999999</v>
      </c>
      <c r="R641" s="143">
        <f t="shared" si="112"/>
        <v>1664508782.5999999</v>
      </c>
      <c r="S641" s="246" t="s">
        <v>222</v>
      </c>
      <c r="T641" s="245">
        <f t="shared" si="117"/>
        <v>0</v>
      </c>
      <c r="U641" s="145" t="str">
        <f t="shared" si="113"/>
        <v>SUBDIRECCION DE GESTION CONTRACTUAL</v>
      </c>
      <c r="V641" s="245" t="str">
        <f t="shared" si="114"/>
        <v>CO-DC</v>
      </c>
      <c r="W641" s="245" t="str">
        <f t="shared" si="115"/>
        <v>Distrito Capital de Bogotá</v>
      </c>
      <c r="X641" s="154" t="s">
        <v>553</v>
      </c>
      <c r="Y641" s="147">
        <v>2427400</v>
      </c>
      <c r="Z641" s="157" t="s">
        <v>160</v>
      </c>
      <c r="AA641" s="248"/>
      <c r="AB641" s="248"/>
      <c r="AC641" s="248"/>
      <c r="AD641" s="248"/>
      <c r="AE641" s="248"/>
      <c r="AF641" s="248"/>
      <c r="AG641" s="248"/>
      <c r="AH641" s="248"/>
      <c r="AI641" s="248"/>
      <c r="AJ641" s="248"/>
      <c r="AK641" s="248"/>
      <c r="AL641" s="248"/>
      <c r="AM641" s="248"/>
      <c r="AN641" s="248"/>
      <c r="AO641" s="248"/>
      <c r="AP641" s="248"/>
      <c r="AQ641" s="248"/>
      <c r="AR641" s="248"/>
      <c r="AS641" s="248"/>
      <c r="AT641" s="248"/>
      <c r="AU641" s="152"/>
      <c r="AV641" s="152"/>
      <c r="AW641" s="152"/>
      <c r="AX641" s="152"/>
      <c r="AY641" s="152"/>
      <c r="AZ641" s="152"/>
      <c r="BA641" s="152"/>
      <c r="BB641" s="152"/>
      <c r="BC641" s="152"/>
      <c r="BD641" s="152"/>
      <c r="BE641" s="152"/>
      <c r="BF641" s="152"/>
      <c r="BG641" s="152"/>
      <c r="BH641" s="152"/>
      <c r="BI641" s="152"/>
      <c r="BJ641" s="152"/>
      <c r="BK641" s="152"/>
      <c r="BL641" s="152"/>
      <c r="BM641" s="152"/>
      <c r="BN641" s="152"/>
      <c r="BO641" s="152"/>
      <c r="BP641" s="152"/>
      <c r="BQ641" s="152"/>
      <c r="BR641" s="152"/>
      <c r="BS641" s="152"/>
      <c r="BT641" s="152"/>
      <c r="BU641" s="152"/>
      <c r="BV641" s="152"/>
      <c r="BW641" s="152"/>
      <c r="BX641" s="152"/>
      <c r="BY641" s="152"/>
      <c r="BZ641" s="152"/>
      <c r="CA641" s="152"/>
      <c r="CB641" s="152"/>
      <c r="CC641" s="152"/>
      <c r="CD641" s="152"/>
      <c r="CE641" s="152"/>
      <c r="CF641" s="152"/>
      <c r="CG641" s="252"/>
    </row>
    <row r="642" spans="1:85" s="250" customFormat="1" ht="13.9" customHeight="1" x14ac:dyDescent="0.2">
      <c r="A642" s="251" t="s">
        <v>158</v>
      </c>
      <c r="B642" s="147">
        <v>117</v>
      </c>
      <c r="C642" s="244" t="s">
        <v>794</v>
      </c>
      <c r="D642" s="154" t="s">
        <v>161</v>
      </c>
      <c r="E642" s="155"/>
      <c r="F642" s="155">
        <v>608003369</v>
      </c>
      <c r="G642" s="155"/>
      <c r="H642" s="154">
        <v>45121500</v>
      </c>
      <c r="I642" s="244" t="s">
        <v>648</v>
      </c>
      <c r="J642" s="147">
        <v>1</v>
      </c>
      <c r="K642" s="147">
        <v>1</v>
      </c>
      <c r="L642" s="147">
        <v>12</v>
      </c>
      <c r="M642" s="132">
        <f t="shared" si="110"/>
        <v>1</v>
      </c>
      <c r="N642" s="140" t="s">
        <v>36</v>
      </c>
      <c r="O642" s="141" t="str">
        <f>IF(ISBLANK(N642),"",VLOOKUP(N642,[25]Parámetros!$G$2:$H$23,2,FALSE))</f>
        <v xml:space="preserve">Contratación directa (con ofertas) </v>
      </c>
      <c r="P642" s="245">
        <f t="shared" si="116"/>
        <v>1</v>
      </c>
      <c r="Q642" s="143">
        <f t="shared" si="111"/>
        <v>608003369</v>
      </c>
      <c r="R642" s="143">
        <f t="shared" si="112"/>
        <v>608003369</v>
      </c>
      <c r="S642" s="246" t="s">
        <v>222</v>
      </c>
      <c r="T642" s="245">
        <f t="shared" si="117"/>
        <v>0</v>
      </c>
      <c r="U642" s="145" t="str">
        <f t="shared" si="113"/>
        <v>SUBDIRECCION DE GESTION CONTRACTUAL</v>
      </c>
      <c r="V642" s="245" t="str">
        <f t="shared" si="114"/>
        <v>CO-DC</v>
      </c>
      <c r="W642" s="245" t="str">
        <f t="shared" si="115"/>
        <v>Distrito Capital de Bogotá</v>
      </c>
      <c r="X642" s="154" t="s">
        <v>553</v>
      </c>
      <c r="Y642" s="147">
        <v>2427400</v>
      </c>
      <c r="Z642" s="157" t="s">
        <v>160</v>
      </c>
      <c r="AA642" s="248"/>
      <c r="AB642" s="248"/>
      <c r="AC642" s="248"/>
      <c r="AD642" s="248"/>
      <c r="AE642" s="248"/>
      <c r="AF642" s="248"/>
      <c r="AG642" s="248"/>
      <c r="AH642" s="248"/>
      <c r="AI642" s="248"/>
      <c r="AJ642" s="248"/>
      <c r="AK642" s="248"/>
      <c r="AL642" s="248"/>
      <c r="AM642" s="248"/>
      <c r="AN642" s="248"/>
      <c r="AO642" s="248"/>
      <c r="AP642" s="248"/>
      <c r="AQ642" s="248"/>
      <c r="AR642" s="248"/>
      <c r="AS642" s="248"/>
      <c r="AT642" s="248"/>
      <c r="AU642" s="152"/>
      <c r="AV642" s="152"/>
      <c r="AW642" s="152"/>
      <c r="AX642" s="152"/>
      <c r="AY642" s="152"/>
      <c r="AZ642" s="152"/>
      <c r="BA642" s="152"/>
      <c r="BB642" s="152"/>
      <c r="BC642" s="152"/>
      <c r="BD642" s="152"/>
      <c r="BE642" s="152"/>
      <c r="BF642" s="152"/>
      <c r="BG642" s="152"/>
      <c r="BH642" s="152"/>
      <c r="BI642" s="152"/>
      <c r="BJ642" s="152"/>
      <c r="BK642" s="152"/>
      <c r="BL642" s="152"/>
      <c r="BM642" s="152"/>
      <c r="BN642" s="152"/>
      <c r="BO642" s="152"/>
      <c r="BP642" s="152"/>
      <c r="BQ642" s="152"/>
      <c r="BR642" s="152"/>
      <c r="BS642" s="152"/>
      <c r="BT642" s="152"/>
      <c r="BU642" s="152"/>
      <c r="BV642" s="152"/>
      <c r="BW642" s="152"/>
      <c r="BX642" s="152"/>
      <c r="BY642" s="152"/>
      <c r="BZ642" s="152"/>
      <c r="CA642" s="152"/>
      <c r="CB642" s="152"/>
      <c r="CC642" s="152"/>
      <c r="CD642" s="152"/>
      <c r="CE642" s="152"/>
      <c r="CF642" s="152"/>
      <c r="CG642" s="252"/>
    </row>
    <row r="643" spans="1:85" s="250" customFormat="1" ht="13.9" customHeight="1" x14ac:dyDescent="0.2">
      <c r="A643" s="251" t="s">
        <v>158</v>
      </c>
      <c r="B643" s="147">
        <v>118</v>
      </c>
      <c r="C643" s="244" t="s">
        <v>794</v>
      </c>
      <c r="D643" s="154" t="s">
        <v>161</v>
      </c>
      <c r="E643" s="155"/>
      <c r="F643" s="155">
        <v>491099100</v>
      </c>
      <c r="G643" s="155"/>
      <c r="H643" s="154">
        <v>45121500</v>
      </c>
      <c r="I643" s="244" t="s">
        <v>647</v>
      </c>
      <c r="J643" s="147">
        <v>1</v>
      </c>
      <c r="K643" s="147">
        <v>1</v>
      </c>
      <c r="L643" s="147">
        <v>12</v>
      </c>
      <c r="M643" s="132">
        <f t="shared" si="110"/>
        <v>1</v>
      </c>
      <c r="N643" s="140" t="s">
        <v>36</v>
      </c>
      <c r="O643" s="141" t="str">
        <f>IF(ISBLANK(N643),"",VLOOKUP(N643,[25]Parámetros!$G$2:$H$23,2,FALSE))</f>
        <v xml:space="preserve">Contratación directa (con ofertas) </v>
      </c>
      <c r="P643" s="245">
        <f t="shared" si="116"/>
        <v>1</v>
      </c>
      <c r="Q643" s="143">
        <f t="shared" si="111"/>
        <v>491099100</v>
      </c>
      <c r="R643" s="143">
        <f t="shared" si="112"/>
        <v>491099100</v>
      </c>
      <c r="S643" s="246" t="s">
        <v>222</v>
      </c>
      <c r="T643" s="245">
        <f t="shared" si="117"/>
        <v>0</v>
      </c>
      <c r="U643" s="145" t="str">
        <f t="shared" si="113"/>
        <v>SUBDIRECCION DE GESTION CONTRACTUAL</v>
      </c>
      <c r="V643" s="245" t="str">
        <f t="shared" si="114"/>
        <v>CO-DC</v>
      </c>
      <c r="W643" s="245" t="str">
        <f t="shared" si="115"/>
        <v>Distrito Capital de Bogotá</v>
      </c>
      <c r="X643" s="154" t="s">
        <v>553</v>
      </c>
      <c r="Y643" s="147">
        <v>2427400</v>
      </c>
      <c r="Z643" s="157" t="s">
        <v>160</v>
      </c>
      <c r="AA643" s="248"/>
      <c r="AB643" s="248"/>
      <c r="AC643" s="248"/>
      <c r="AD643" s="248"/>
      <c r="AE643" s="248"/>
      <c r="AF643" s="248"/>
      <c r="AG643" s="248"/>
      <c r="AH643" s="248"/>
      <c r="AI643" s="248"/>
      <c r="AJ643" s="248"/>
      <c r="AK643" s="248"/>
      <c r="AL643" s="248"/>
      <c r="AM643" s="248"/>
      <c r="AN643" s="248"/>
      <c r="AO643" s="248"/>
      <c r="AP643" s="248"/>
      <c r="AQ643" s="248"/>
      <c r="AR643" s="248"/>
      <c r="AS643" s="248"/>
      <c r="AT643" s="248"/>
      <c r="AU643" s="152"/>
      <c r="AV643" s="152"/>
      <c r="AW643" s="152"/>
      <c r="AX643" s="152"/>
      <c r="AY643" s="152"/>
      <c r="AZ643" s="152"/>
      <c r="BA643" s="152"/>
      <c r="BB643" s="152"/>
      <c r="BC643" s="152"/>
      <c r="BD643" s="152"/>
      <c r="BE643" s="152"/>
      <c r="BF643" s="152"/>
      <c r="BG643" s="152"/>
      <c r="BH643" s="152"/>
      <c r="BI643" s="152"/>
      <c r="BJ643" s="152"/>
      <c r="BK643" s="152"/>
      <c r="BL643" s="152"/>
      <c r="BM643" s="152"/>
      <c r="BN643" s="152"/>
      <c r="BO643" s="152"/>
      <c r="BP643" s="152"/>
      <c r="BQ643" s="152"/>
      <c r="BR643" s="152"/>
      <c r="BS643" s="152"/>
      <c r="BT643" s="152"/>
      <c r="BU643" s="152"/>
      <c r="BV643" s="152"/>
      <c r="BW643" s="152"/>
      <c r="BX643" s="152"/>
      <c r="BY643" s="152"/>
      <c r="BZ643" s="152"/>
      <c r="CA643" s="152"/>
      <c r="CB643" s="152"/>
      <c r="CC643" s="152"/>
      <c r="CD643" s="152"/>
      <c r="CE643" s="152"/>
      <c r="CF643" s="152"/>
      <c r="CG643" s="252"/>
    </row>
    <row r="644" spans="1:85" s="250" customFormat="1" ht="13.9" customHeight="1" x14ac:dyDescent="0.2">
      <c r="A644" s="251" t="s">
        <v>158</v>
      </c>
      <c r="B644" s="147">
        <v>119</v>
      </c>
      <c r="C644" s="244" t="s">
        <v>794</v>
      </c>
      <c r="D644" s="154" t="s">
        <v>161</v>
      </c>
      <c r="E644" s="155"/>
      <c r="F644" s="155">
        <v>509619274</v>
      </c>
      <c r="G644" s="155"/>
      <c r="H644" s="154">
        <v>45121500</v>
      </c>
      <c r="I644" s="244" t="s">
        <v>646</v>
      </c>
      <c r="J644" s="147">
        <v>1</v>
      </c>
      <c r="K644" s="147">
        <v>1</v>
      </c>
      <c r="L644" s="147">
        <v>12</v>
      </c>
      <c r="M644" s="132">
        <f t="shared" si="110"/>
        <v>1</v>
      </c>
      <c r="N644" s="140" t="s">
        <v>36</v>
      </c>
      <c r="O644" s="141" t="str">
        <f>IF(ISBLANK(N644),"",VLOOKUP(N644,[25]Parámetros!$G$2:$H$23,2,FALSE))</f>
        <v xml:space="preserve">Contratación directa (con ofertas) </v>
      </c>
      <c r="P644" s="245">
        <f t="shared" si="116"/>
        <v>1</v>
      </c>
      <c r="Q644" s="143">
        <f t="shared" si="111"/>
        <v>509619274</v>
      </c>
      <c r="R644" s="143">
        <f t="shared" si="112"/>
        <v>509619274</v>
      </c>
      <c r="S644" s="246" t="s">
        <v>222</v>
      </c>
      <c r="T644" s="245">
        <f t="shared" si="117"/>
        <v>0</v>
      </c>
      <c r="U644" s="145" t="str">
        <f t="shared" si="113"/>
        <v>SUBDIRECCION DE GESTION CONTRACTUAL</v>
      </c>
      <c r="V644" s="245" t="str">
        <f t="shared" si="114"/>
        <v>CO-DC</v>
      </c>
      <c r="W644" s="245" t="str">
        <f t="shared" si="115"/>
        <v>Distrito Capital de Bogotá</v>
      </c>
      <c r="X644" s="154" t="s">
        <v>553</v>
      </c>
      <c r="Y644" s="147">
        <v>2427400</v>
      </c>
      <c r="Z644" s="157" t="s">
        <v>160</v>
      </c>
      <c r="AA644" s="248"/>
      <c r="AB644" s="248"/>
      <c r="AC644" s="248"/>
      <c r="AD644" s="248"/>
      <c r="AE644" s="248"/>
      <c r="AF644" s="248"/>
      <c r="AG644" s="248"/>
      <c r="AH644" s="248"/>
      <c r="AI644" s="248"/>
      <c r="AJ644" s="248"/>
      <c r="AK644" s="248"/>
      <c r="AL644" s="248"/>
      <c r="AM644" s="248"/>
      <c r="AN644" s="248"/>
      <c r="AO644" s="248"/>
      <c r="AP644" s="248"/>
      <c r="AQ644" s="248"/>
      <c r="AR644" s="248"/>
      <c r="AS644" s="248"/>
      <c r="AT644" s="248"/>
      <c r="AU644" s="152"/>
      <c r="AV644" s="152"/>
      <c r="AW644" s="152"/>
      <c r="AX644" s="152"/>
      <c r="AY644" s="152"/>
      <c r="AZ644" s="152"/>
      <c r="BA644" s="152"/>
      <c r="BB644" s="152"/>
      <c r="BC644" s="152"/>
      <c r="BD644" s="152"/>
      <c r="BE644" s="152"/>
      <c r="BF644" s="152"/>
      <c r="BG644" s="152"/>
      <c r="BH644" s="152"/>
      <c r="BI644" s="152"/>
      <c r="BJ644" s="152"/>
      <c r="BK644" s="152"/>
      <c r="BL644" s="152"/>
      <c r="BM644" s="152"/>
      <c r="BN644" s="152"/>
      <c r="BO644" s="152"/>
      <c r="BP644" s="152"/>
      <c r="BQ644" s="152"/>
      <c r="BR644" s="152"/>
      <c r="BS644" s="152"/>
      <c r="BT644" s="152"/>
      <c r="BU644" s="152"/>
      <c r="BV644" s="152"/>
      <c r="BW644" s="152"/>
      <c r="BX644" s="152"/>
      <c r="BY644" s="152"/>
      <c r="BZ644" s="152"/>
      <c r="CA644" s="152"/>
      <c r="CB644" s="152"/>
      <c r="CC644" s="152"/>
      <c r="CD644" s="152"/>
      <c r="CE644" s="152"/>
      <c r="CF644" s="152"/>
      <c r="CG644" s="252"/>
    </row>
    <row r="645" spans="1:85" s="250" customFormat="1" ht="13.9" customHeight="1" x14ac:dyDescent="0.2">
      <c r="A645" s="251" t="s">
        <v>158</v>
      </c>
      <c r="B645" s="147">
        <v>120</v>
      </c>
      <c r="C645" s="244" t="s">
        <v>794</v>
      </c>
      <c r="D645" s="154" t="s">
        <v>161</v>
      </c>
      <c r="E645" s="155"/>
      <c r="F645" s="155">
        <v>17982695111</v>
      </c>
      <c r="G645" s="155"/>
      <c r="H645" s="154">
        <v>45121500</v>
      </c>
      <c r="I645" s="244" t="s">
        <v>645</v>
      </c>
      <c r="J645" s="147">
        <v>1</v>
      </c>
      <c r="K645" s="147">
        <v>1</v>
      </c>
      <c r="L645" s="147">
        <v>12</v>
      </c>
      <c r="M645" s="132">
        <f t="shared" si="110"/>
        <v>1</v>
      </c>
      <c r="N645" s="140" t="s">
        <v>36</v>
      </c>
      <c r="O645" s="141" t="str">
        <f>IF(ISBLANK(N645),"",VLOOKUP(N645,[25]Parámetros!$G$2:$H$23,2,FALSE))</f>
        <v xml:space="preserve">Contratación directa (con ofertas) </v>
      </c>
      <c r="P645" s="245">
        <f t="shared" si="116"/>
        <v>1</v>
      </c>
      <c r="Q645" s="143">
        <f t="shared" si="111"/>
        <v>17982695111</v>
      </c>
      <c r="R645" s="143">
        <f t="shared" si="112"/>
        <v>17982695111</v>
      </c>
      <c r="S645" s="246" t="s">
        <v>222</v>
      </c>
      <c r="T645" s="245">
        <f t="shared" si="117"/>
        <v>0</v>
      </c>
      <c r="U645" s="145" t="str">
        <f t="shared" si="113"/>
        <v>SUBDIRECCION DE GESTION CONTRACTUAL</v>
      </c>
      <c r="V645" s="245" t="str">
        <f t="shared" si="114"/>
        <v>CO-DC</v>
      </c>
      <c r="W645" s="245" t="str">
        <f t="shared" si="115"/>
        <v>Distrito Capital de Bogotá</v>
      </c>
      <c r="X645" s="154" t="s">
        <v>553</v>
      </c>
      <c r="Y645" s="147">
        <v>2427400</v>
      </c>
      <c r="Z645" s="157" t="s">
        <v>160</v>
      </c>
      <c r="AA645" s="248"/>
      <c r="AB645" s="248"/>
      <c r="AC645" s="248"/>
      <c r="AD645" s="248"/>
      <c r="AE645" s="248"/>
      <c r="AF645" s="248"/>
      <c r="AG645" s="248"/>
      <c r="AH645" s="248"/>
      <c r="AI645" s="248"/>
      <c r="AJ645" s="248"/>
      <c r="AK645" s="248"/>
      <c r="AL645" s="248"/>
      <c r="AM645" s="248"/>
      <c r="AN645" s="248"/>
      <c r="AO645" s="248"/>
      <c r="AP645" s="248"/>
      <c r="AQ645" s="248"/>
      <c r="AR645" s="248"/>
      <c r="AS645" s="248"/>
      <c r="AT645" s="248"/>
      <c r="AU645" s="152"/>
      <c r="AV645" s="152"/>
      <c r="AW645" s="152"/>
      <c r="AX645" s="152"/>
      <c r="AY645" s="152"/>
      <c r="AZ645" s="152"/>
      <c r="BA645" s="152"/>
      <c r="BB645" s="152"/>
      <c r="BC645" s="152"/>
      <c r="BD645" s="152"/>
      <c r="BE645" s="152"/>
      <c r="BF645" s="152"/>
      <c r="BG645" s="152"/>
      <c r="BH645" s="152"/>
      <c r="BI645" s="152"/>
      <c r="BJ645" s="152"/>
      <c r="BK645" s="152"/>
      <c r="BL645" s="152"/>
      <c r="BM645" s="152"/>
      <c r="BN645" s="152"/>
      <c r="BO645" s="152"/>
      <c r="BP645" s="152"/>
      <c r="BQ645" s="152"/>
      <c r="BR645" s="152"/>
      <c r="BS645" s="152"/>
      <c r="BT645" s="152"/>
      <c r="BU645" s="152"/>
      <c r="BV645" s="152"/>
      <c r="BW645" s="152"/>
      <c r="BX645" s="152"/>
      <c r="BY645" s="152"/>
      <c r="BZ645" s="152"/>
      <c r="CA645" s="152"/>
      <c r="CB645" s="152"/>
      <c r="CC645" s="152"/>
      <c r="CD645" s="152"/>
      <c r="CE645" s="152"/>
      <c r="CF645" s="152"/>
      <c r="CG645" s="252"/>
    </row>
    <row r="646" spans="1:85" s="250" customFormat="1" ht="13.9" customHeight="1" x14ac:dyDescent="0.2">
      <c r="A646" s="251" t="s">
        <v>158</v>
      </c>
      <c r="B646" s="147">
        <v>121</v>
      </c>
      <c r="C646" s="244" t="s">
        <v>794</v>
      </c>
      <c r="D646" s="154" t="s">
        <v>161</v>
      </c>
      <c r="E646" s="155"/>
      <c r="F646" s="155">
        <v>1500000000</v>
      </c>
      <c r="G646" s="155"/>
      <c r="H646" s="154">
        <v>80111600</v>
      </c>
      <c r="I646" s="244" t="s">
        <v>644</v>
      </c>
      <c r="J646" s="147">
        <v>1</v>
      </c>
      <c r="K646" s="147">
        <v>1</v>
      </c>
      <c r="L646" s="147">
        <v>12</v>
      </c>
      <c r="M646" s="132">
        <f t="shared" si="110"/>
        <v>1</v>
      </c>
      <c r="N646" s="140" t="s">
        <v>216</v>
      </c>
      <c r="O646" s="141" t="str">
        <f>IF(ISBLANK(N646),"",VLOOKUP(N646,[25]Parámetros!$G$2:$H$23,2,FALSE))</f>
        <v>Contratación directa.</v>
      </c>
      <c r="P646" s="245">
        <f t="shared" si="116"/>
        <v>1</v>
      </c>
      <c r="Q646" s="143">
        <f t="shared" si="111"/>
        <v>1500000000</v>
      </c>
      <c r="R646" s="143">
        <f t="shared" si="112"/>
        <v>1500000000</v>
      </c>
      <c r="S646" s="246" t="s">
        <v>222</v>
      </c>
      <c r="T646" s="245">
        <f t="shared" si="117"/>
        <v>0</v>
      </c>
      <c r="U646" s="145" t="str">
        <f t="shared" si="113"/>
        <v>SUBDIRECCION DE GESTION CONTRACTUAL</v>
      </c>
      <c r="V646" s="245" t="str">
        <f t="shared" si="114"/>
        <v>CO-DC</v>
      </c>
      <c r="W646" s="245" t="str">
        <f t="shared" si="115"/>
        <v>Distrito Capital de Bogotá</v>
      </c>
      <c r="X646" s="154" t="s">
        <v>553</v>
      </c>
      <c r="Y646" s="147">
        <v>2427400</v>
      </c>
      <c r="Z646" s="157" t="s">
        <v>160</v>
      </c>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152"/>
      <c r="AV646" s="152"/>
      <c r="AW646" s="152"/>
      <c r="AX646" s="152"/>
      <c r="AY646" s="152"/>
      <c r="AZ646" s="152"/>
      <c r="BA646" s="152"/>
      <c r="BB646" s="152"/>
      <c r="BC646" s="152"/>
      <c r="BD646" s="152"/>
      <c r="BE646" s="152"/>
      <c r="BF646" s="152"/>
      <c r="BG646" s="152"/>
      <c r="BH646" s="152"/>
      <c r="BI646" s="152"/>
      <c r="BJ646" s="152"/>
      <c r="BK646" s="152"/>
      <c r="BL646" s="152"/>
      <c r="BM646" s="152"/>
      <c r="BN646" s="152"/>
      <c r="BO646" s="152"/>
      <c r="BP646" s="152"/>
      <c r="BQ646" s="152"/>
      <c r="BR646" s="152"/>
      <c r="BS646" s="152"/>
      <c r="BT646" s="152"/>
      <c r="BU646" s="152"/>
      <c r="BV646" s="152"/>
      <c r="BW646" s="152"/>
      <c r="BX646" s="152"/>
      <c r="BY646" s="152"/>
      <c r="BZ646" s="152"/>
      <c r="CA646" s="152"/>
      <c r="CB646" s="152"/>
      <c r="CC646" s="152"/>
      <c r="CD646" s="152"/>
      <c r="CE646" s="152"/>
      <c r="CF646" s="152"/>
      <c r="CG646" s="252"/>
    </row>
    <row r="647" spans="1:85" s="250" customFormat="1" ht="13.9" customHeight="1" x14ac:dyDescent="0.2">
      <c r="A647" s="251" t="s">
        <v>158</v>
      </c>
      <c r="B647" s="147">
        <v>122</v>
      </c>
      <c r="C647" s="244" t="s">
        <v>583</v>
      </c>
      <c r="D647" s="154" t="s">
        <v>159</v>
      </c>
      <c r="E647" s="155"/>
      <c r="F647" s="155">
        <v>117000000</v>
      </c>
      <c r="G647" s="155"/>
      <c r="H647" s="154" t="s">
        <v>121</v>
      </c>
      <c r="I647" s="244" t="s">
        <v>804</v>
      </c>
      <c r="J647" s="147">
        <v>1</v>
      </c>
      <c r="K647" s="147">
        <v>2</v>
      </c>
      <c r="L647" s="147">
        <v>10</v>
      </c>
      <c r="M647" s="132">
        <v>1</v>
      </c>
      <c r="N647" s="140" t="s">
        <v>43</v>
      </c>
      <c r="O647" s="141" t="str">
        <f>IF(ISBLANK(N647),"",VLOOKUP(N647,[26]Parámetros!$G$2:$H$23,2,FALSE))</f>
        <v>Selección abreviada subasta inversa</v>
      </c>
      <c r="P647" s="245">
        <f t="shared" si="116"/>
        <v>1</v>
      </c>
      <c r="Q647" s="143">
        <f t="shared" ref="Q647" si="118">IF(VALUE(E647+F647+G647)=0,"",E647+F647+G647)</f>
        <v>117000000</v>
      </c>
      <c r="R647" s="143">
        <f t="shared" ref="R647" si="119">IF(VALUE(F647)=0,"",F647)</f>
        <v>117000000</v>
      </c>
      <c r="S647" s="246" t="s">
        <v>222</v>
      </c>
      <c r="T647" s="245">
        <f t="shared" si="117"/>
        <v>0</v>
      </c>
      <c r="U647" s="145" t="str">
        <f t="shared" si="113"/>
        <v>SUBDIRECCION DE GESTION CONTRACTUAL</v>
      </c>
      <c r="V647" s="245" t="str">
        <f t="shared" si="114"/>
        <v>CO-DC</v>
      </c>
      <c r="W647" s="245" t="str">
        <f t="shared" si="115"/>
        <v>Distrito Capital de Bogotá</v>
      </c>
      <c r="X647" s="154" t="s">
        <v>553</v>
      </c>
      <c r="Y647" s="147">
        <v>2427400</v>
      </c>
      <c r="Z647" s="157" t="s">
        <v>160</v>
      </c>
      <c r="AA647" s="248"/>
      <c r="AB647" s="248"/>
      <c r="AC647" s="248"/>
      <c r="AD647" s="248"/>
      <c r="AE647" s="248"/>
      <c r="AF647" s="248"/>
      <c r="AG647" s="248"/>
      <c r="AH647" s="248"/>
      <c r="AI647" s="248"/>
      <c r="AJ647" s="248"/>
      <c r="AK647" s="248"/>
      <c r="AL647" s="248"/>
      <c r="AM647" s="248"/>
      <c r="AN647" s="248"/>
      <c r="AO647" s="248"/>
      <c r="AP647" s="248"/>
      <c r="AQ647" s="248"/>
      <c r="AR647" s="248"/>
      <c r="AS647" s="248"/>
      <c r="AT647" s="248"/>
      <c r="AU647" s="152"/>
      <c r="AV647" s="152"/>
      <c r="AW647" s="152"/>
      <c r="AX647" s="152"/>
      <c r="AY647" s="152"/>
      <c r="AZ647" s="152"/>
      <c r="BA647" s="152"/>
      <c r="BB647" s="152"/>
      <c r="BC647" s="152"/>
      <c r="BD647" s="152"/>
      <c r="BE647" s="152"/>
      <c r="BF647" s="152"/>
      <c r="BG647" s="152"/>
      <c r="BH647" s="152"/>
      <c r="BI647" s="152"/>
      <c r="BJ647" s="152"/>
      <c r="BK647" s="152"/>
      <c r="BL647" s="152"/>
      <c r="BM647" s="152"/>
      <c r="BN647" s="152"/>
      <c r="BO647" s="152"/>
      <c r="BP647" s="152"/>
      <c r="BQ647" s="152"/>
      <c r="BR647" s="152"/>
      <c r="BS647" s="152"/>
      <c r="BT647" s="152"/>
      <c r="BU647" s="152"/>
      <c r="BV647" s="152"/>
      <c r="BW647" s="152"/>
      <c r="BX647" s="152"/>
      <c r="BY647" s="152"/>
      <c r="BZ647" s="152"/>
      <c r="CA647" s="152"/>
      <c r="CB647" s="152"/>
      <c r="CC647" s="152"/>
      <c r="CD647" s="152"/>
      <c r="CE647" s="152"/>
      <c r="CF647" s="152"/>
      <c r="CG647" s="252"/>
    </row>
    <row r="648" spans="1:85" s="250" customFormat="1" ht="13.9" customHeight="1" x14ac:dyDescent="0.2">
      <c r="A648" s="251" t="s">
        <v>158</v>
      </c>
      <c r="B648" s="147">
        <v>123</v>
      </c>
      <c r="C648" s="244" t="s">
        <v>583</v>
      </c>
      <c r="D648" s="154" t="s">
        <v>159</v>
      </c>
      <c r="E648" s="155"/>
      <c r="F648" s="155">
        <f>370000000</f>
        <v>370000000</v>
      </c>
      <c r="G648" s="155"/>
      <c r="H648" s="154" t="s">
        <v>752</v>
      </c>
      <c r="I648" s="244" t="s">
        <v>584</v>
      </c>
      <c r="J648" s="147">
        <v>2</v>
      </c>
      <c r="K648" s="147">
        <v>3</v>
      </c>
      <c r="L648" s="147">
        <v>9</v>
      </c>
      <c r="M648" s="132">
        <v>1</v>
      </c>
      <c r="N648" s="140" t="s">
        <v>226</v>
      </c>
      <c r="O648" s="141" t="str">
        <f>IF(ISBLANK(N648),"",VLOOKUP(N648,[25]Parámetros!$G$2:$H$23,2,FALSE))</f>
        <v>Licitación pública</v>
      </c>
      <c r="P648" s="245">
        <f t="shared" si="116"/>
        <v>1</v>
      </c>
      <c r="Q648" s="143">
        <f t="shared" ref="Q648:Q650" si="120">+E648+F648+G648</f>
        <v>370000000</v>
      </c>
      <c r="R648" s="143">
        <f t="shared" ref="R648:R650" si="121">+F648</f>
        <v>370000000</v>
      </c>
      <c r="S648" s="246" t="s">
        <v>222</v>
      </c>
      <c r="T648" s="245">
        <f t="shared" si="117"/>
        <v>0</v>
      </c>
      <c r="U648" s="145" t="str">
        <f t="shared" si="113"/>
        <v>SUBDIRECCION DE GESTION CONTRACTUAL</v>
      </c>
      <c r="V648" s="245" t="str">
        <f t="shared" si="114"/>
        <v>CO-DC</v>
      </c>
      <c r="W648" s="245" t="str">
        <f t="shared" si="115"/>
        <v>Distrito Capital de Bogotá</v>
      </c>
      <c r="X648" s="154" t="s">
        <v>553</v>
      </c>
      <c r="Y648" s="147">
        <v>2427400</v>
      </c>
      <c r="Z648" s="157" t="s">
        <v>160</v>
      </c>
      <c r="AA648" s="248"/>
      <c r="AB648" s="248"/>
      <c r="AC648" s="248"/>
      <c r="AD648" s="248"/>
      <c r="AE648" s="248"/>
      <c r="AF648" s="248"/>
      <c r="AG648" s="248"/>
      <c r="AH648" s="248"/>
      <c r="AI648" s="248"/>
      <c r="AJ648" s="248"/>
      <c r="AK648" s="248"/>
      <c r="AL648" s="248"/>
      <c r="AM648" s="248"/>
      <c r="AN648" s="248"/>
      <c r="AO648" s="248"/>
      <c r="AP648" s="248"/>
      <c r="AQ648" s="248"/>
      <c r="AR648" s="248"/>
      <c r="AS648" s="248"/>
      <c r="AT648" s="248"/>
      <c r="AU648" s="152"/>
      <c r="AV648" s="152"/>
      <c r="AW648" s="152"/>
      <c r="AX648" s="152"/>
      <c r="AY648" s="152"/>
      <c r="AZ648" s="152"/>
      <c r="BA648" s="152"/>
      <c r="BB648" s="152"/>
      <c r="BC648" s="152"/>
      <c r="BD648" s="152"/>
      <c r="BE648" s="152"/>
      <c r="BF648" s="152"/>
      <c r="BG648" s="152"/>
      <c r="BH648" s="152"/>
      <c r="BI648" s="152"/>
      <c r="BJ648" s="152"/>
      <c r="BK648" s="152"/>
      <c r="BL648" s="152"/>
      <c r="BM648" s="152"/>
      <c r="BN648" s="152"/>
      <c r="BO648" s="152"/>
      <c r="BP648" s="152"/>
      <c r="BQ648" s="152"/>
      <c r="BR648" s="152"/>
      <c r="BS648" s="152"/>
      <c r="BT648" s="152"/>
      <c r="BU648" s="152"/>
      <c r="BV648" s="152"/>
      <c r="BW648" s="152"/>
      <c r="BX648" s="152"/>
      <c r="BY648" s="152"/>
      <c r="BZ648" s="152"/>
      <c r="CA648" s="152"/>
      <c r="CB648" s="152"/>
      <c r="CC648" s="152"/>
      <c r="CD648" s="152"/>
      <c r="CE648" s="152"/>
      <c r="CF648" s="152"/>
      <c r="CG648" s="252"/>
    </row>
    <row r="649" spans="1:85" s="250" customFormat="1" ht="13.9" customHeight="1" x14ac:dyDescent="0.2">
      <c r="A649" s="251" t="s">
        <v>158</v>
      </c>
      <c r="B649" s="147">
        <v>124</v>
      </c>
      <c r="C649" s="244" t="s">
        <v>794</v>
      </c>
      <c r="D649" s="154" t="s">
        <v>161</v>
      </c>
      <c r="E649" s="155"/>
      <c r="F649" s="155">
        <v>10497683192</v>
      </c>
      <c r="G649" s="155"/>
      <c r="H649" s="154">
        <v>43191510</v>
      </c>
      <c r="I649" s="244" t="s">
        <v>816</v>
      </c>
      <c r="J649" s="147">
        <v>2</v>
      </c>
      <c r="K649" s="147">
        <v>3</v>
      </c>
      <c r="L649" s="147">
        <v>9</v>
      </c>
      <c r="M649" s="132">
        <f t="shared" ref="M649:M650" si="122">IF(ISBLANK(J649),"",1)</f>
        <v>1</v>
      </c>
      <c r="N649" s="140" t="s">
        <v>36</v>
      </c>
      <c r="O649" s="141" t="str">
        <f>IF(ISBLANK(N649),"",VLOOKUP(N649,[25]Parámetros!$G$2:$H$23,2,FALSE))</f>
        <v xml:space="preserve">Contratación directa (con ofertas) </v>
      </c>
      <c r="P649" s="245">
        <f t="shared" si="116"/>
        <v>1</v>
      </c>
      <c r="Q649" s="143">
        <f t="shared" si="120"/>
        <v>10497683192</v>
      </c>
      <c r="R649" s="143">
        <f t="shared" si="121"/>
        <v>10497683192</v>
      </c>
      <c r="S649" s="246" t="s">
        <v>222</v>
      </c>
      <c r="T649" s="245">
        <f t="shared" si="117"/>
        <v>0</v>
      </c>
      <c r="U649" s="145" t="str">
        <f t="shared" si="113"/>
        <v>SUBDIRECCION DE GESTION CONTRACTUAL</v>
      </c>
      <c r="V649" s="245" t="str">
        <f t="shared" si="114"/>
        <v>CO-DC</v>
      </c>
      <c r="W649" s="245" t="str">
        <f t="shared" si="115"/>
        <v>Distrito Capital de Bogotá</v>
      </c>
      <c r="X649" s="154" t="s">
        <v>553</v>
      </c>
      <c r="Y649" s="147">
        <v>2427400</v>
      </c>
      <c r="Z649" s="157" t="s">
        <v>160</v>
      </c>
      <c r="AA649" s="248"/>
      <c r="AB649" s="248"/>
      <c r="AC649" s="248"/>
      <c r="AD649" s="248"/>
      <c r="AE649" s="248"/>
      <c r="AF649" s="248"/>
      <c r="AG649" s="248"/>
      <c r="AH649" s="248"/>
      <c r="AI649" s="248"/>
      <c r="AJ649" s="248"/>
      <c r="AK649" s="248"/>
      <c r="AL649" s="248"/>
      <c r="AM649" s="248"/>
      <c r="AN649" s="248"/>
      <c r="AO649" s="248"/>
      <c r="AP649" s="248"/>
      <c r="AQ649" s="248"/>
      <c r="AR649" s="248"/>
      <c r="AS649" s="248"/>
      <c r="AT649" s="248"/>
      <c r="AU649" s="152"/>
      <c r="AV649" s="152"/>
      <c r="AW649" s="152"/>
      <c r="AX649" s="152"/>
      <c r="AY649" s="152"/>
      <c r="AZ649" s="152"/>
      <c r="BA649" s="152"/>
      <c r="BB649" s="152"/>
      <c r="BC649" s="152"/>
      <c r="BD649" s="152"/>
      <c r="BE649" s="152"/>
      <c r="BF649" s="152"/>
      <c r="BG649" s="152"/>
      <c r="BH649" s="152"/>
      <c r="BI649" s="152"/>
      <c r="BJ649" s="152"/>
      <c r="BK649" s="152"/>
      <c r="BL649" s="152"/>
      <c r="BM649" s="152"/>
      <c r="BN649" s="152"/>
      <c r="BO649" s="152"/>
      <c r="BP649" s="152"/>
      <c r="BQ649" s="152"/>
      <c r="BR649" s="152"/>
      <c r="BS649" s="152"/>
      <c r="BT649" s="152"/>
      <c r="BU649" s="152"/>
      <c r="BV649" s="152"/>
      <c r="BW649" s="152"/>
      <c r="BX649" s="152"/>
      <c r="BY649" s="152"/>
      <c r="BZ649" s="152"/>
      <c r="CA649" s="152"/>
      <c r="CB649" s="152"/>
      <c r="CC649" s="152"/>
      <c r="CD649" s="152"/>
      <c r="CE649" s="152"/>
      <c r="CF649" s="152"/>
      <c r="CG649" s="252"/>
    </row>
    <row r="650" spans="1:85" s="250" customFormat="1" ht="13.9" customHeight="1" x14ac:dyDescent="0.2">
      <c r="A650" s="251" t="s">
        <v>158</v>
      </c>
      <c r="B650" s="147">
        <v>125</v>
      </c>
      <c r="C650" s="244" t="s">
        <v>794</v>
      </c>
      <c r="D650" s="154" t="s">
        <v>161</v>
      </c>
      <c r="E650" s="155"/>
      <c r="F650" s="155">
        <v>9075173050</v>
      </c>
      <c r="G650" s="155"/>
      <c r="H650" s="154" t="s">
        <v>841</v>
      </c>
      <c r="I650" s="244" t="s">
        <v>838</v>
      </c>
      <c r="J650" s="147">
        <v>3</v>
      </c>
      <c r="K650" s="147">
        <v>3</v>
      </c>
      <c r="L650" s="147">
        <v>9</v>
      </c>
      <c r="M650" s="132">
        <f t="shared" si="122"/>
        <v>1</v>
      </c>
      <c r="N650" s="140" t="s">
        <v>36</v>
      </c>
      <c r="O650" s="141" t="str">
        <f>IF(ISBLANK(N650),"",VLOOKUP(N650,[25]Parámetros!$G$2:$H$23,2,FALSE))</f>
        <v xml:space="preserve">Contratación directa (con ofertas) </v>
      </c>
      <c r="P650" s="245">
        <f t="shared" si="116"/>
        <v>1</v>
      </c>
      <c r="Q650" s="143">
        <f t="shared" si="120"/>
        <v>9075173050</v>
      </c>
      <c r="R650" s="143">
        <f t="shared" si="121"/>
        <v>9075173050</v>
      </c>
      <c r="S650" s="246" t="s">
        <v>222</v>
      </c>
      <c r="T650" s="245">
        <f t="shared" si="117"/>
        <v>0</v>
      </c>
      <c r="U650" s="145" t="str">
        <f t="shared" si="113"/>
        <v>SUBDIRECCION DE GESTION CONTRACTUAL</v>
      </c>
      <c r="V650" s="245" t="str">
        <f t="shared" si="114"/>
        <v>CO-DC</v>
      </c>
      <c r="W650" s="245" t="str">
        <f t="shared" si="115"/>
        <v>Distrito Capital de Bogotá</v>
      </c>
      <c r="X650" s="154" t="s">
        <v>553</v>
      </c>
      <c r="Y650" s="147">
        <v>2427400</v>
      </c>
      <c r="Z650" s="157" t="s">
        <v>160</v>
      </c>
      <c r="AA650" s="248"/>
      <c r="AB650" s="248"/>
      <c r="AC650" s="248"/>
      <c r="AD650" s="248"/>
      <c r="AE650" s="248"/>
      <c r="AF650" s="248"/>
      <c r="AG650" s="248"/>
      <c r="AH650" s="248"/>
      <c r="AI650" s="248"/>
      <c r="AJ650" s="248"/>
      <c r="AK650" s="248"/>
      <c r="AL650" s="248"/>
      <c r="AM650" s="248"/>
      <c r="AN650" s="248"/>
      <c r="AO650" s="248"/>
      <c r="AP650" s="248"/>
      <c r="AQ650" s="248"/>
      <c r="AR650" s="248"/>
      <c r="AS650" s="248"/>
      <c r="AT650" s="248"/>
      <c r="AU650" s="152"/>
      <c r="AV650" s="152"/>
      <c r="AW650" s="152"/>
      <c r="AX650" s="152"/>
      <c r="AY650" s="152"/>
      <c r="AZ650" s="152"/>
      <c r="BA650" s="152"/>
      <c r="BB650" s="152"/>
      <c r="BC650" s="152"/>
      <c r="BD650" s="152"/>
      <c r="BE650" s="152"/>
      <c r="BF650" s="152"/>
      <c r="BG650" s="152"/>
      <c r="BH650" s="152"/>
      <c r="BI650" s="152"/>
      <c r="BJ650" s="152"/>
      <c r="BK650" s="152"/>
      <c r="BL650" s="152"/>
      <c r="BM650" s="152"/>
      <c r="BN650" s="152"/>
      <c r="BO650" s="152"/>
      <c r="BP650" s="152"/>
      <c r="BQ650" s="152"/>
      <c r="BR650" s="152"/>
      <c r="BS650" s="152"/>
      <c r="BT650" s="152"/>
      <c r="BU650" s="152"/>
      <c r="BV650" s="152"/>
      <c r="BW650" s="152"/>
      <c r="BX650" s="152"/>
      <c r="BY650" s="152"/>
      <c r="BZ650" s="152"/>
      <c r="CA650" s="152"/>
      <c r="CB650" s="152"/>
      <c r="CC650" s="152"/>
      <c r="CD650" s="152"/>
      <c r="CE650" s="152"/>
      <c r="CF650" s="152"/>
      <c r="CG650" s="252"/>
    </row>
    <row r="651" spans="1:85" s="250" customFormat="1" ht="13.9" customHeight="1" x14ac:dyDescent="0.2">
      <c r="A651" s="251" t="s">
        <v>568</v>
      </c>
      <c r="B651" s="147">
        <v>1</v>
      </c>
      <c r="C651" s="244" t="s">
        <v>569</v>
      </c>
      <c r="D651" s="154" t="s">
        <v>570</v>
      </c>
      <c r="E651" s="155"/>
      <c r="F651" s="155">
        <v>3912000000</v>
      </c>
      <c r="G651" s="155"/>
      <c r="H651" s="154">
        <v>80111600</v>
      </c>
      <c r="I651" s="244" t="s">
        <v>571</v>
      </c>
      <c r="J651" s="147">
        <v>1</v>
      </c>
      <c r="K651" s="147">
        <v>1</v>
      </c>
      <c r="L651" s="147">
        <v>12</v>
      </c>
      <c r="M651" s="132">
        <f t="shared" si="110"/>
        <v>1</v>
      </c>
      <c r="N651" s="140" t="s">
        <v>216</v>
      </c>
      <c r="O651" s="141" t="str">
        <f>IF(ISBLANK(N651),"",VLOOKUP(N651,[27]Parámetros!$G$2:$H$23,2,FALSE))</f>
        <v>Contratación directa.</v>
      </c>
      <c r="P651" s="245">
        <f t="shared" si="116"/>
        <v>1</v>
      </c>
      <c r="Q651" s="143">
        <f t="shared" si="111"/>
        <v>3912000000</v>
      </c>
      <c r="R651" s="143">
        <f t="shared" si="112"/>
        <v>3912000000</v>
      </c>
      <c r="S651" s="246" t="s">
        <v>222</v>
      </c>
      <c r="T651" s="245">
        <f t="shared" si="117"/>
        <v>0</v>
      </c>
      <c r="U651" s="145" t="str">
        <f t="shared" si="113"/>
        <v>SUBDIRECCION DE GESTION CONTRACTUAL</v>
      </c>
      <c r="V651" s="245" t="str">
        <f t="shared" si="114"/>
        <v>CO-DC</v>
      </c>
      <c r="W651" s="245" t="str">
        <f t="shared" si="115"/>
        <v>Distrito Capital de Bogotá</v>
      </c>
      <c r="X651" s="154" t="s">
        <v>572</v>
      </c>
      <c r="Y651" s="147">
        <v>2427400</v>
      </c>
      <c r="Z651" s="157" t="s">
        <v>573</v>
      </c>
      <c r="AA651" s="248"/>
      <c r="AB651" s="248"/>
      <c r="AC651" s="248"/>
      <c r="AD651" s="248"/>
      <c r="AE651" s="248"/>
      <c r="AF651" s="248"/>
      <c r="AG651" s="248"/>
      <c r="AH651" s="248"/>
      <c r="AI651" s="248"/>
      <c r="AJ651" s="248"/>
      <c r="AK651" s="248"/>
      <c r="AL651" s="248"/>
      <c r="AM651" s="248"/>
      <c r="AN651" s="248"/>
      <c r="AO651" s="248"/>
      <c r="AP651" s="248"/>
      <c r="AQ651" s="248"/>
      <c r="AR651" s="248"/>
      <c r="AS651" s="248"/>
      <c r="AT651" s="248"/>
      <c r="AU651" s="152"/>
      <c r="AV651" s="152"/>
      <c r="AW651" s="152"/>
      <c r="AX651" s="152"/>
      <c r="AY651" s="152"/>
      <c r="AZ651" s="152"/>
      <c r="BA651" s="152"/>
      <c r="BB651" s="152"/>
      <c r="BC651" s="152"/>
      <c r="BD651" s="152"/>
      <c r="BE651" s="152"/>
      <c r="BF651" s="152"/>
      <c r="BG651" s="152"/>
      <c r="BH651" s="152"/>
      <c r="BI651" s="152"/>
      <c r="BJ651" s="152"/>
      <c r="BK651" s="152"/>
      <c r="BL651" s="152"/>
      <c r="BM651" s="152"/>
      <c r="BN651" s="152"/>
      <c r="BO651" s="152"/>
      <c r="BP651" s="152"/>
      <c r="BQ651" s="152"/>
      <c r="BR651" s="152"/>
      <c r="BS651" s="152"/>
      <c r="BT651" s="152"/>
      <c r="BU651" s="152"/>
      <c r="BV651" s="152"/>
      <c r="BW651" s="152"/>
      <c r="BX651" s="152"/>
      <c r="BY651" s="152"/>
      <c r="BZ651" s="152"/>
      <c r="CA651" s="152"/>
      <c r="CB651" s="152"/>
      <c r="CC651" s="152"/>
      <c r="CD651" s="152"/>
      <c r="CE651" s="152"/>
      <c r="CF651" s="152"/>
      <c r="CG651" s="252"/>
    </row>
    <row r="652" spans="1:85" s="250" customFormat="1" ht="13.9" customHeight="1" x14ac:dyDescent="0.2">
      <c r="A652" s="251" t="s">
        <v>568</v>
      </c>
      <c r="B652" s="147">
        <v>2</v>
      </c>
      <c r="C652" s="244" t="s">
        <v>569</v>
      </c>
      <c r="D652" s="154" t="s">
        <v>570</v>
      </c>
      <c r="E652" s="155"/>
      <c r="F652" s="155">
        <v>45600000000</v>
      </c>
      <c r="G652" s="155"/>
      <c r="H652" s="154" t="s">
        <v>72</v>
      </c>
      <c r="I652" s="244" t="s">
        <v>574</v>
      </c>
      <c r="J652" s="147">
        <v>5</v>
      </c>
      <c r="K652" s="147">
        <v>5</v>
      </c>
      <c r="L652" s="147">
        <v>7</v>
      </c>
      <c r="M652" s="132">
        <f t="shared" si="110"/>
        <v>1</v>
      </c>
      <c r="N652" s="140" t="s">
        <v>36</v>
      </c>
      <c r="O652" s="141" t="str">
        <f>IF(ISBLANK(N652),"",VLOOKUP(N652,[27]Parámetros!$G$2:$H$23,2,FALSE))</f>
        <v xml:space="preserve">Contratación directa (con ofertas) </v>
      </c>
      <c r="P652" s="245">
        <f t="shared" si="116"/>
        <v>1</v>
      </c>
      <c r="Q652" s="143">
        <f t="shared" si="111"/>
        <v>45600000000</v>
      </c>
      <c r="R652" s="143">
        <f t="shared" si="112"/>
        <v>45600000000</v>
      </c>
      <c r="S652" s="246" t="s">
        <v>222</v>
      </c>
      <c r="T652" s="245">
        <f t="shared" si="117"/>
        <v>0</v>
      </c>
      <c r="U652" s="145" t="str">
        <f t="shared" si="113"/>
        <v>SUBDIRECCION DE GESTION CONTRACTUAL</v>
      </c>
      <c r="V652" s="245" t="str">
        <f t="shared" si="114"/>
        <v>CO-DC</v>
      </c>
      <c r="W652" s="245" t="str">
        <f t="shared" si="115"/>
        <v>Distrito Capital de Bogotá</v>
      </c>
      <c r="X652" s="154" t="s">
        <v>572</v>
      </c>
      <c r="Y652" s="147">
        <v>2427400</v>
      </c>
      <c r="Z652" s="157" t="s">
        <v>573</v>
      </c>
      <c r="AA652" s="248"/>
      <c r="AB652" s="248"/>
      <c r="AC652" s="248"/>
      <c r="AD652" s="248"/>
      <c r="AE652" s="248"/>
      <c r="AF652" s="248"/>
      <c r="AG652" s="248"/>
      <c r="AH652" s="248"/>
      <c r="AI652" s="248"/>
      <c r="AJ652" s="248"/>
      <c r="AK652" s="248"/>
      <c r="AL652" s="248"/>
      <c r="AM652" s="248"/>
      <c r="AN652" s="248"/>
      <c r="AO652" s="248"/>
      <c r="AP652" s="248"/>
      <c r="AQ652" s="248"/>
      <c r="AR652" s="248"/>
      <c r="AS652" s="248"/>
      <c r="AT652" s="248"/>
      <c r="AU652" s="152"/>
      <c r="AV652" s="152"/>
      <c r="AW652" s="152"/>
      <c r="AX652" s="152"/>
      <c r="AY652" s="152"/>
      <c r="AZ652" s="152"/>
      <c r="BA652" s="152"/>
      <c r="BB652" s="152"/>
      <c r="BC652" s="152"/>
      <c r="BD652" s="152"/>
      <c r="BE652" s="152"/>
      <c r="BF652" s="152"/>
      <c r="BG652" s="152"/>
      <c r="BH652" s="152"/>
      <c r="BI652" s="152"/>
      <c r="BJ652" s="152"/>
      <c r="BK652" s="152"/>
      <c r="BL652" s="152"/>
      <c r="BM652" s="152"/>
      <c r="BN652" s="152"/>
      <c r="BO652" s="152"/>
      <c r="BP652" s="152"/>
      <c r="BQ652" s="152"/>
      <c r="BR652" s="152"/>
      <c r="BS652" s="152"/>
      <c r="BT652" s="152"/>
      <c r="BU652" s="152"/>
      <c r="BV652" s="152"/>
      <c r="BW652" s="152"/>
      <c r="BX652" s="152"/>
      <c r="BY652" s="152"/>
      <c r="BZ652" s="152"/>
      <c r="CA652" s="152"/>
      <c r="CB652" s="152"/>
      <c r="CC652" s="152"/>
      <c r="CD652" s="152"/>
      <c r="CE652" s="152"/>
      <c r="CF652" s="152"/>
      <c r="CG652" s="252"/>
    </row>
    <row r="653" spans="1:85" s="250" customFormat="1" ht="13.9" customHeight="1" x14ac:dyDescent="0.2">
      <c r="A653" s="251" t="s">
        <v>568</v>
      </c>
      <c r="B653" s="147">
        <v>3</v>
      </c>
      <c r="C653" s="244" t="s">
        <v>569</v>
      </c>
      <c r="D653" s="154" t="s">
        <v>570</v>
      </c>
      <c r="E653" s="155"/>
      <c r="F653" s="155">
        <v>217600000</v>
      </c>
      <c r="G653" s="155"/>
      <c r="H653" s="154">
        <v>81111800</v>
      </c>
      <c r="I653" s="244" t="s">
        <v>575</v>
      </c>
      <c r="J653" s="147">
        <v>5</v>
      </c>
      <c r="K653" s="147">
        <v>5</v>
      </c>
      <c r="L653" s="147">
        <v>7</v>
      </c>
      <c r="M653" s="132">
        <f t="shared" si="110"/>
        <v>1</v>
      </c>
      <c r="N653" s="140" t="s">
        <v>36</v>
      </c>
      <c r="O653" s="141" t="str">
        <f>IF(ISBLANK(N653),"",VLOOKUP(N653,[27]Parámetros!$G$2:$H$23,2,FALSE))</f>
        <v xml:space="preserve">Contratación directa (con ofertas) </v>
      </c>
      <c r="P653" s="245">
        <f t="shared" si="116"/>
        <v>1</v>
      </c>
      <c r="Q653" s="143">
        <f t="shared" si="111"/>
        <v>217600000</v>
      </c>
      <c r="R653" s="143">
        <f t="shared" si="112"/>
        <v>217600000</v>
      </c>
      <c r="S653" s="246" t="s">
        <v>222</v>
      </c>
      <c r="T653" s="245">
        <f t="shared" si="117"/>
        <v>0</v>
      </c>
      <c r="U653" s="145" t="str">
        <f t="shared" si="113"/>
        <v>SUBDIRECCION DE GESTION CONTRACTUAL</v>
      </c>
      <c r="V653" s="245" t="str">
        <f t="shared" si="114"/>
        <v>CO-DC</v>
      </c>
      <c r="W653" s="245" t="str">
        <f t="shared" si="115"/>
        <v>Distrito Capital de Bogotá</v>
      </c>
      <c r="X653" s="154" t="s">
        <v>572</v>
      </c>
      <c r="Y653" s="147">
        <v>2427400</v>
      </c>
      <c r="Z653" s="157" t="s">
        <v>573</v>
      </c>
      <c r="AA653" s="248"/>
      <c r="AB653" s="248"/>
      <c r="AC653" s="248"/>
      <c r="AD653" s="248"/>
      <c r="AE653" s="248"/>
      <c r="AF653" s="248"/>
      <c r="AG653" s="248"/>
      <c r="AH653" s="248"/>
      <c r="AI653" s="248"/>
      <c r="AJ653" s="248"/>
      <c r="AK653" s="248"/>
      <c r="AL653" s="248"/>
      <c r="AM653" s="248"/>
      <c r="AN653" s="248"/>
      <c r="AO653" s="248"/>
      <c r="AP653" s="248"/>
      <c r="AQ653" s="248"/>
      <c r="AR653" s="248"/>
      <c r="AS653" s="248"/>
      <c r="AT653" s="248"/>
      <c r="AU653" s="152"/>
      <c r="AV653" s="152"/>
      <c r="AW653" s="152"/>
      <c r="AX653" s="152"/>
      <c r="AY653" s="152"/>
      <c r="AZ653" s="152"/>
      <c r="BA653" s="152"/>
      <c r="BB653" s="152"/>
      <c r="BC653" s="152"/>
      <c r="BD653" s="152"/>
      <c r="BE653" s="152"/>
      <c r="BF653" s="152"/>
      <c r="BG653" s="152"/>
      <c r="BH653" s="152"/>
      <c r="BI653" s="152"/>
      <c r="BJ653" s="152"/>
      <c r="BK653" s="152"/>
      <c r="BL653" s="152"/>
      <c r="BM653" s="152"/>
      <c r="BN653" s="152"/>
      <c r="BO653" s="152"/>
      <c r="BP653" s="152"/>
      <c r="BQ653" s="152"/>
      <c r="BR653" s="152"/>
      <c r="BS653" s="152"/>
      <c r="BT653" s="152"/>
      <c r="BU653" s="152"/>
      <c r="BV653" s="152"/>
      <c r="BW653" s="152"/>
      <c r="BX653" s="152"/>
      <c r="BY653" s="152"/>
      <c r="BZ653" s="152"/>
      <c r="CA653" s="152"/>
      <c r="CB653" s="152"/>
      <c r="CC653" s="152"/>
      <c r="CD653" s="152"/>
      <c r="CE653" s="152"/>
      <c r="CF653" s="152"/>
      <c r="CG653" s="252"/>
    </row>
    <row r="654" spans="1:85" s="250" customFormat="1" ht="13.9" customHeight="1" x14ac:dyDescent="0.2">
      <c r="A654" s="251" t="s">
        <v>568</v>
      </c>
      <c r="B654" s="147">
        <v>4</v>
      </c>
      <c r="C654" s="244" t="s">
        <v>569</v>
      </c>
      <c r="D654" s="154" t="s">
        <v>570</v>
      </c>
      <c r="E654" s="155"/>
      <c r="F654" s="155">
        <v>16406400000</v>
      </c>
      <c r="G654" s="155"/>
      <c r="H654" s="135" t="s">
        <v>752</v>
      </c>
      <c r="I654" s="244" t="s">
        <v>576</v>
      </c>
      <c r="J654" s="137">
        <v>2</v>
      </c>
      <c r="K654" s="138">
        <v>3</v>
      </c>
      <c r="L654" s="139">
        <v>9</v>
      </c>
      <c r="M654" s="132">
        <f t="shared" si="110"/>
        <v>1</v>
      </c>
      <c r="N654" s="140" t="s">
        <v>226</v>
      </c>
      <c r="O654" s="141" t="str">
        <f>IF(ISBLANK(N654),"",VLOOKUP(N654,[27]Parámetros!$G$2:$H$23,2,FALSE))</f>
        <v>Licitación pública</v>
      </c>
      <c r="P654" s="245">
        <f t="shared" si="116"/>
        <v>1</v>
      </c>
      <c r="Q654" s="143">
        <f t="shared" si="111"/>
        <v>16406400000</v>
      </c>
      <c r="R654" s="143">
        <f t="shared" si="112"/>
        <v>16406400000</v>
      </c>
      <c r="S654" s="246" t="s">
        <v>222</v>
      </c>
      <c r="T654" s="245">
        <f t="shared" si="117"/>
        <v>0</v>
      </c>
      <c r="U654" s="145" t="str">
        <f t="shared" si="113"/>
        <v>SUBDIRECCION DE GESTION CONTRACTUAL</v>
      </c>
      <c r="V654" s="245" t="str">
        <f t="shared" si="114"/>
        <v>CO-DC</v>
      </c>
      <c r="W654" s="245" t="str">
        <f t="shared" si="115"/>
        <v>Distrito Capital de Bogotá</v>
      </c>
      <c r="X654" s="154" t="s">
        <v>572</v>
      </c>
      <c r="Y654" s="147">
        <v>2427400</v>
      </c>
      <c r="Z654" s="157" t="s">
        <v>573</v>
      </c>
      <c r="AA654" s="248"/>
      <c r="AB654" s="248"/>
      <c r="AC654" s="248"/>
      <c r="AD654" s="248"/>
      <c r="AE654" s="248"/>
      <c r="AF654" s="248"/>
      <c r="AG654" s="248"/>
      <c r="AH654" s="248"/>
      <c r="AI654" s="248"/>
      <c r="AJ654" s="248"/>
      <c r="AK654" s="248"/>
      <c r="AL654" s="248"/>
      <c r="AM654" s="248"/>
      <c r="AN654" s="248"/>
      <c r="AO654" s="248"/>
      <c r="AP654" s="248"/>
      <c r="AQ654" s="248"/>
      <c r="AR654" s="248"/>
      <c r="AS654" s="248"/>
      <c r="AT654" s="248"/>
      <c r="AU654" s="152"/>
      <c r="AV654" s="152"/>
      <c r="AW654" s="152"/>
      <c r="AX654" s="152"/>
      <c r="AY654" s="152"/>
      <c r="AZ654" s="152"/>
      <c r="BA654" s="152"/>
      <c r="BB654" s="152"/>
      <c r="BC654" s="152"/>
      <c r="BD654" s="152"/>
      <c r="BE654" s="152"/>
      <c r="BF654" s="152"/>
      <c r="BG654" s="152"/>
      <c r="BH654" s="152"/>
      <c r="BI654" s="152"/>
      <c r="BJ654" s="152"/>
      <c r="BK654" s="152"/>
      <c r="BL654" s="152"/>
      <c r="BM654" s="152"/>
      <c r="BN654" s="152"/>
      <c r="BO654" s="152"/>
      <c r="BP654" s="152"/>
      <c r="BQ654" s="152"/>
      <c r="BR654" s="152"/>
      <c r="BS654" s="152"/>
      <c r="BT654" s="152"/>
      <c r="BU654" s="152"/>
      <c r="BV654" s="152"/>
      <c r="BW654" s="152"/>
      <c r="BX654" s="152"/>
      <c r="BY654" s="152"/>
      <c r="BZ654" s="152"/>
      <c r="CA654" s="152"/>
      <c r="CB654" s="152"/>
      <c r="CC654" s="152"/>
      <c r="CD654" s="152"/>
      <c r="CE654" s="152"/>
      <c r="CF654" s="152"/>
      <c r="CG654" s="252"/>
    </row>
    <row r="655" spans="1:85" s="250" customFormat="1" ht="13.9" customHeight="1" x14ac:dyDescent="0.2">
      <c r="A655" s="251" t="s">
        <v>568</v>
      </c>
      <c r="B655" s="147">
        <v>5</v>
      </c>
      <c r="C655" s="244" t="s">
        <v>569</v>
      </c>
      <c r="D655" s="154" t="s">
        <v>570</v>
      </c>
      <c r="E655" s="155"/>
      <c r="F655" s="155">
        <v>3124000000</v>
      </c>
      <c r="G655" s="155"/>
      <c r="H655" s="154" t="s">
        <v>750</v>
      </c>
      <c r="I655" s="244" t="s">
        <v>577</v>
      </c>
      <c r="J655" s="147">
        <v>3</v>
      </c>
      <c r="K655" s="147">
        <v>3</v>
      </c>
      <c r="L655" s="147">
        <v>3</v>
      </c>
      <c r="M655" s="132">
        <f t="shared" si="110"/>
        <v>1</v>
      </c>
      <c r="N655" s="140" t="s">
        <v>36</v>
      </c>
      <c r="O655" s="141" t="str">
        <f>IF(ISBLANK(N655),"",VLOOKUP(N655,[27]Parámetros!$G$2:$H$23,2,FALSE))</f>
        <v xml:space="preserve">Contratación directa (con ofertas) </v>
      </c>
      <c r="P655" s="245">
        <f t="shared" si="116"/>
        <v>1</v>
      </c>
      <c r="Q655" s="143">
        <f t="shared" si="111"/>
        <v>3124000000</v>
      </c>
      <c r="R655" s="143">
        <f t="shared" si="112"/>
        <v>3124000000</v>
      </c>
      <c r="S655" s="246" t="s">
        <v>222</v>
      </c>
      <c r="T655" s="245">
        <f t="shared" si="117"/>
        <v>0</v>
      </c>
      <c r="U655" s="145" t="str">
        <f t="shared" si="113"/>
        <v>SUBDIRECCION DE GESTION CONTRACTUAL</v>
      </c>
      <c r="V655" s="245" t="str">
        <f t="shared" si="114"/>
        <v>CO-DC</v>
      </c>
      <c r="W655" s="245" t="str">
        <f t="shared" si="115"/>
        <v>Distrito Capital de Bogotá</v>
      </c>
      <c r="X655" s="154" t="s">
        <v>572</v>
      </c>
      <c r="Y655" s="147">
        <v>2427400</v>
      </c>
      <c r="Z655" s="157" t="s">
        <v>573</v>
      </c>
      <c r="AA655" s="248"/>
      <c r="AB655" s="248"/>
      <c r="AC655" s="248"/>
      <c r="AD655" s="248"/>
      <c r="AE655" s="248"/>
      <c r="AF655" s="248"/>
      <c r="AG655" s="248"/>
      <c r="AH655" s="248"/>
      <c r="AI655" s="248"/>
      <c r="AJ655" s="248"/>
      <c r="AK655" s="248"/>
      <c r="AL655" s="248"/>
      <c r="AM655" s="248"/>
      <c r="AN655" s="248"/>
      <c r="AO655" s="248"/>
      <c r="AP655" s="248"/>
      <c r="AQ655" s="248"/>
      <c r="AR655" s="248"/>
      <c r="AS655" s="248"/>
      <c r="AT655" s="248"/>
      <c r="AU655" s="152"/>
      <c r="AV655" s="152"/>
      <c r="AW655" s="152"/>
      <c r="AX655" s="152"/>
      <c r="AY655" s="152"/>
      <c r="AZ655" s="152"/>
      <c r="BA655" s="152"/>
      <c r="BB655" s="152"/>
      <c r="BC655" s="152"/>
      <c r="BD655" s="152"/>
      <c r="BE655" s="152"/>
      <c r="BF655" s="152"/>
      <c r="BG655" s="152"/>
      <c r="BH655" s="152"/>
      <c r="BI655" s="152"/>
      <c r="BJ655" s="152"/>
      <c r="BK655" s="152"/>
      <c r="BL655" s="152"/>
      <c r="BM655" s="152"/>
      <c r="BN655" s="152"/>
      <c r="BO655" s="152"/>
      <c r="BP655" s="152"/>
      <c r="BQ655" s="152"/>
      <c r="BR655" s="152"/>
      <c r="BS655" s="152"/>
      <c r="BT655" s="152"/>
      <c r="BU655" s="152"/>
      <c r="BV655" s="152"/>
      <c r="BW655" s="152"/>
      <c r="BX655" s="152"/>
      <c r="BY655" s="152"/>
      <c r="BZ655" s="152"/>
      <c r="CA655" s="152"/>
      <c r="CB655" s="152"/>
      <c r="CC655" s="152"/>
      <c r="CD655" s="152"/>
      <c r="CE655" s="152"/>
      <c r="CF655" s="152"/>
      <c r="CG655" s="252"/>
    </row>
    <row r="656" spans="1:85" s="250" customFormat="1" ht="13.9" customHeight="1" x14ac:dyDescent="0.2">
      <c r="A656" s="251" t="s">
        <v>568</v>
      </c>
      <c r="B656" s="147">
        <v>6</v>
      </c>
      <c r="C656" s="244" t="s">
        <v>569</v>
      </c>
      <c r="D656" s="154" t="s">
        <v>570</v>
      </c>
      <c r="E656" s="155"/>
      <c r="F656" s="155">
        <v>115000000</v>
      </c>
      <c r="G656" s="155"/>
      <c r="H656" s="154">
        <v>86132000</v>
      </c>
      <c r="I656" s="244" t="s">
        <v>578</v>
      </c>
      <c r="J656" s="147">
        <v>5</v>
      </c>
      <c r="K656" s="147">
        <v>6</v>
      </c>
      <c r="L656" s="147">
        <v>6</v>
      </c>
      <c r="M656" s="132">
        <f t="shared" si="110"/>
        <v>1</v>
      </c>
      <c r="N656" s="140" t="s">
        <v>36</v>
      </c>
      <c r="O656" s="141" t="str">
        <f>IF(ISBLANK(N656),"",VLOOKUP(N656,[27]Parámetros!$G$2:$H$23,2,FALSE))</f>
        <v xml:space="preserve">Contratación directa (con ofertas) </v>
      </c>
      <c r="P656" s="245">
        <f t="shared" si="116"/>
        <v>1</v>
      </c>
      <c r="Q656" s="143">
        <f t="shared" si="111"/>
        <v>115000000</v>
      </c>
      <c r="R656" s="143">
        <f t="shared" si="112"/>
        <v>115000000</v>
      </c>
      <c r="S656" s="246" t="s">
        <v>222</v>
      </c>
      <c r="T656" s="245">
        <f t="shared" si="117"/>
        <v>0</v>
      </c>
      <c r="U656" s="145" t="str">
        <f t="shared" si="113"/>
        <v>SUBDIRECCION DE GESTION CONTRACTUAL</v>
      </c>
      <c r="V656" s="245" t="str">
        <f t="shared" si="114"/>
        <v>CO-DC</v>
      </c>
      <c r="W656" s="245" t="str">
        <f t="shared" si="115"/>
        <v>Distrito Capital de Bogotá</v>
      </c>
      <c r="X656" s="154" t="s">
        <v>572</v>
      </c>
      <c r="Y656" s="147">
        <v>2427400</v>
      </c>
      <c r="Z656" s="157" t="s">
        <v>573</v>
      </c>
      <c r="AA656" s="248"/>
      <c r="AB656" s="248"/>
      <c r="AC656" s="248"/>
      <c r="AD656" s="248"/>
      <c r="AE656" s="248"/>
      <c r="AF656" s="248"/>
      <c r="AG656" s="248"/>
      <c r="AH656" s="248"/>
      <c r="AI656" s="248"/>
      <c r="AJ656" s="248"/>
      <c r="AK656" s="248"/>
      <c r="AL656" s="248"/>
      <c r="AM656" s="248"/>
      <c r="AN656" s="248"/>
      <c r="AO656" s="248"/>
      <c r="AP656" s="248"/>
      <c r="AQ656" s="248"/>
      <c r="AR656" s="248"/>
      <c r="AS656" s="248"/>
      <c r="AT656" s="248"/>
      <c r="AU656" s="152"/>
      <c r="AV656" s="152"/>
      <c r="AW656" s="152"/>
      <c r="AX656" s="152"/>
      <c r="AY656" s="152"/>
      <c r="AZ656" s="152"/>
      <c r="BA656" s="152"/>
      <c r="BB656" s="152"/>
      <c r="BC656" s="152"/>
      <c r="BD656" s="152"/>
      <c r="BE656" s="152"/>
      <c r="BF656" s="152"/>
      <c r="BG656" s="152"/>
      <c r="BH656" s="152"/>
      <c r="BI656" s="152"/>
      <c r="BJ656" s="152"/>
      <c r="BK656" s="152"/>
      <c r="BL656" s="152"/>
      <c r="BM656" s="152"/>
      <c r="BN656" s="152"/>
      <c r="BO656" s="152"/>
      <c r="BP656" s="152"/>
      <c r="BQ656" s="152"/>
      <c r="BR656" s="152"/>
      <c r="BS656" s="152"/>
      <c r="BT656" s="152"/>
      <c r="BU656" s="152"/>
      <c r="BV656" s="152"/>
      <c r="BW656" s="152"/>
      <c r="BX656" s="152"/>
      <c r="BY656" s="152"/>
      <c r="BZ656" s="152"/>
      <c r="CA656" s="152"/>
      <c r="CB656" s="152"/>
      <c r="CC656" s="152"/>
      <c r="CD656" s="152"/>
      <c r="CE656" s="152"/>
      <c r="CF656" s="152"/>
      <c r="CG656" s="252"/>
    </row>
    <row r="657" spans="1:85" s="250" customFormat="1" ht="13.9" customHeight="1" x14ac:dyDescent="0.2">
      <c r="A657" s="251" t="s">
        <v>568</v>
      </c>
      <c r="B657" s="147">
        <v>7</v>
      </c>
      <c r="C657" s="244" t="s">
        <v>569</v>
      </c>
      <c r="D657" s="154" t="s">
        <v>570</v>
      </c>
      <c r="E657" s="155"/>
      <c r="F657" s="155">
        <v>500000000</v>
      </c>
      <c r="G657" s="155"/>
      <c r="H657" s="154" t="s">
        <v>751</v>
      </c>
      <c r="I657" s="244" t="s">
        <v>579</v>
      </c>
      <c r="J657" s="147">
        <v>4</v>
      </c>
      <c r="K657" s="147">
        <v>4</v>
      </c>
      <c r="L657" s="147">
        <v>8</v>
      </c>
      <c r="M657" s="132">
        <f t="shared" si="110"/>
        <v>1</v>
      </c>
      <c r="N657" s="140" t="s">
        <v>36</v>
      </c>
      <c r="O657" s="141" t="str">
        <f>IF(ISBLANK(N657),"",VLOOKUP(N657,[27]Parámetros!$G$2:$H$23,2,FALSE))</f>
        <v xml:space="preserve">Contratación directa (con ofertas) </v>
      </c>
      <c r="P657" s="245">
        <f t="shared" si="116"/>
        <v>1</v>
      </c>
      <c r="Q657" s="143">
        <f t="shared" si="111"/>
        <v>500000000</v>
      </c>
      <c r="R657" s="143">
        <f t="shared" si="112"/>
        <v>500000000</v>
      </c>
      <c r="S657" s="246" t="s">
        <v>222</v>
      </c>
      <c r="T657" s="245">
        <f t="shared" si="117"/>
        <v>0</v>
      </c>
      <c r="U657" s="145" t="str">
        <f t="shared" si="113"/>
        <v>SUBDIRECCION DE GESTION CONTRACTUAL</v>
      </c>
      <c r="V657" s="245" t="str">
        <f t="shared" si="114"/>
        <v>CO-DC</v>
      </c>
      <c r="W657" s="245" t="str">
        <f t="shared" si="115"/>
        <v>Distrito Capital de Bogotá</v>
      </c>
      <c r="X657" s="154" t="s">
        <v>572</v>
      </c>
      <c r="Y657" s="147">
        <v>2427400</v>
      </c>
      <c r="Z657" s="157" t="s">
        <v>573</v>
      </c>
      <c r="AA657" s="248"/>
      <c r="AB657" s="248"/>
      <c r="AC657" s="248"/>
      <c r="AD657" s="248"/>
      <c r="AE657" s="248"/>
      <c r="AF657" s="248"/>
      <c r="AG657" s="248"/>
      <c r="AH657" s="248"/>
      <c r="AI657" s="248"/>
      <c r="AJ657" s="248"/>
      <c r="AK657" s="248"/>
      <c r="AL657" s="248"/>
      <c r="AM657" s="248"/>
      <c r="AN657" s="248"/>
      <c r="AO657" s="248"/>
      <c r="AP657" s="248"/>
      <c r="AQ657" s="248"/>
      <c r="AR657" s="248"/>
      <c r="AS657" s="248"/>
      <c r="AT657" s="248"/>
      <c r="AU657" s="152"/>
      <c r="AV657" s="152"/>
      <c r="AW657" s="152"/>
      <c r="AX657" s="152"/>
      <c r="AY657" s="152"/>
      <c r="AZ657" s="152"/>
      <c r="BA657" s="152"/>
      <c r="BB657" s="152"/>
      <c r="BC657" s="152"/>
      <c r="BD657" s="152"/>
      <c r="BE657" s="152"/>
      <c r="BF657" s="152"/>
      <c r="BG657" s="152"/>
      <c r="BH657" s="152"/>
      <c r="BI657" s="152"/>
      <c r="BJ657" s="152"/>
      <c r="BK657" s="152"/>
      <c r="BL657" s="152"/>
      <c r="BM657" s="152"/>
      <c r="BN657" s="152"/>
      <c r="BO657" s="152"/>
      <c r="BP657" s="152"/>
      <c r="BQ657" s="152"/>
      <c r="BR657" s="152"/>
      <c r="BS657" s="152"/>
      <c r="BT657" s="152"/>
      <c r="BU657" s="152"/>
      <c r="BV657" s="152"/>
      <c r="BW657" s="152"/>
      <c r="BX657" s="152"/>
      <c r="BY657" s="152"/>
      <c r="BZ657" s="152"/>
      <c r="CA657" s="152"/>
      <c r="CB657" s="152"/>
      <c r="CC657" s="152"/>
      <c r="CD657" s="152"/>
      <c r="CE657" s="152"/>
      <c r="CF657" s="152"/>
      <c r="CG657" s="252"/>
    </row>
    <row r="658" spans="1:85" s="250" customFormat="1" ht="13.9" customHeight="1" x14ac:dyDescent="0.2">
      <c r="A658" s="251" t="s">
        <v>568</v>
      </c>
      <c r="B658" s="147">
        <v>8</v>
      </c>
      <c r="C658" s="244" t="s">
        <v>569</v>
      </c>
      <c r="D658" s="154" t="s">
        <v>570</v>
      </c>
      <c r="E658" s="155"/>
      <c r="F658" s="155">
        <f>1650000000-80000000</f>
        <v>1570000000</v>
      </c>
      <c r="G658" s="155"/>
      <c r="H658" s="154" t="s">
        <v>42</v>
      </c>
      <c r="I658" s="261" t="s">
        <v>810</v>
      </c>
      <c r="J658" s="147">
        <v>3</v>
      </c>
      <c r="K658" s="147">
        <v>4</v>
      </c>
      <c r="L658" s="147">
        <v>9</v>
      </c>
      <c r="M658" s="132">
        <f t="shared" si="110"/>
        <v>1</v>
      </c>
      <c r="N658" s="140" t="s">
        <v>61</v>
      </c>
      <c r="O658" s="141" t="str">
        <f>IF(ISBLANK(N658),"",VLOOKUP(N658,[27]Parámetros!$G$2:$H$23,2,FALSE))</f>
        <v>Contratación régimen especial - Selección de comisionista</v>
      </c>
      <c r="P658" s="245">
        <f t="shared" si="116"/>
        <v>1</v>
      </c>
      <c r="Q658" s="143">
        <f t="shared" si="111"/>
        <v>1570000000</v>
      </c>
      <c r="R658" s="143">
        <f t="shared" si="112"/>
        <v>1570000000</v>
      </c>
      <c r="S658" s="246" t="s">
        <v>222</v>
      </c>
      <c r="T658" s="245">
        <f t="shared" si="117"/>
        <v>0</v>
      </c>
      <c r="U658" s="145" t="str">
        <f t="shared" si="113"/>
        <v>SUBDIRECCION DE GESTION CONTRACTUAL</v>
      </c>
      <c r="V658" s="245" t="str">
        <f t="shared" si="114"/>
        <v>CO-DC</v>
      </c>
      <c r="W658" s="245" t="str">
        <f t="shared" si="115"/>
        <v>Distrito Capital de Bogotá</v>
      </c>
      <c r="X658" s="154" t="s">
        <v>331</v>
      </c>
      <c r="Y658" s="147">
        <v>2427400</v>
      </c>
      <c r="Z658" s="130" t="s">
        <v>75</v>
      </c>
      <c r="AA658" s="248"/>
      <c r="AB658" s="248"/>
      <c r="AC658" s="248"/>
      <c r="AD658" s="248"/>
      <c r="AE658" s="248"/>
      <c r="AF658" s="248"/>
      <c r="AG658" s="248"/>
      <c r="AH658" s="248"/>
      <c r="AI658" s="248"/>
      <c r="AJ658" s="248"/>
      <c r="AK658" s="248"/>
      <c r="AL658" s="248"/>
      <c r="AM658" s="248"/>
      <c r="AN658" s="248"/>
      <c r="AO658" s="248"/>
      <c r="AP658" s="248"/>
      <c r="AQ658" s="248"/>
      <c r="AR658" s="248"/>
      <c r="AS658" s="248"/>
      <c r="AT658" s="248"/>
      <c r="AU658" s="152"/>
      <c r="AV658" s="152"/>
      <c r="AW658" s="152"/>
      <c r="AX658" s="152"/>
      <c r="AY658" s="152"/>
      <c r="AZ658" s="152"/>
      <c r="BA658" s="152"/>
      <c r="BB658" s="152"/>
      <c r="BC658" s="152"/>
      <c r="BD658" s="152"/>
      <c r="BE658" s="152"/>
      <c r="BF658" s="152"/>
      <c r="BG658" s="152"/>
      <c r="BH658" s="152"/>
      <c r="BI658" s="152"/>
      <c r="BJ658" s="152"/>
      <c r="BK658" s="152"/>
      <c r="BL658" s="152"/>
      <c r="BM658" s="152"/>
      <c r="BN658" s="152"/>
      <c r="BO658" s="152"/>
      <c r="BP658" s="152"/>
      <c r="BQ658" s="152"/>
      <c r="BR658" s="152"/>
      <c r="BS658" s="152"/>
      <c r="BT658" s="152"/>
      <c r="BU658" s="152"/>
      <c r="BV658" s="152"/>
      <c r="BW658" s="152"/>
      <c r="BX658" s="152"/>
      <c r="BY658" s="152"/>
      <c r="BZ658" s="152"/>
      <c r="CA658" s="152"/>
      <c r="CB658" s="152"/>
      <c r="CC658" s="152"/>
      <c r="CD658" s="152"/>
      <c r="CE658" s="152"/>
      <c r="CF658" s="152"/>
      <c r="CG658" s="252"/>
    </row>
    <row r="659" spans="1:85" s="250" customFormat="1" ht="13.9" customHeight="1" x14ac:dyDescent="0.2">
      <c r="A659" s="251" t="s">
        <v>568</v>
      </c>
      <c r="B659" s="147">
        <v>9</v>
      </c>
      <c r="C659" s="244" t="s">
        <v>569</v>
      </c>
      <c r="D659" s="154" t="s">
        <v>570</v>
      </c>
      <c r="E659" s="155"/>
      <c r="F659" s="155">
        <v>1000000000</v>
      </c>
      <c r="G659" s="155"/>
      <c r="H659" s="135" t="s">
        <v>752</v>
      </c>
      <c r="I659" s="244" t="s">
        <v>576</v>
      </c>
      <c r="J659" s="160">
        <v>1</v>
      </c>
      <c r="K659" s="160">
        <v>2</v>
      </c>
      <c r="L659" s="160">
        <v>3</v>
      </c>
      <c r="M659" s="132">
        <f t="shared" si="110"/>
        <v>1</v>
      </c>
      <c r="N659" s="140" t="s">
        <v>36</v>
      </c>
      <c r="O659" s="141" t="str">
        <f>IF(ISBLANK(N659),"",VLOOKUP(N659,[27]Parámetros!$G$2:$H$23,2,FALSE))</f>
        <v xml:space="preserve">Contratación directa (con ofertas) </v>
      </c>
      <c r="P659" s="245">
        <f t="shared" si="116"/>
        <v>1</v>
      </c>
      <c r="Q659" s="143">
        <f t="shared" si="111"/>
        <v>1000000000</v>
      </c>
      <c r="R659" s="143">
        <f t="shared" si="112"/>
        <v>1000000000</v>
      </c>
      <c r="S659" s="246" t="s">
        <v>222</v>
      </c>
      <c r="T659" s="245">
        <f t="shared" si="117"/>
        <v>0</v>
      </c>
      <c r="U659" s="145" t="str">
        <f t="shared" si="113"/>
        <v>SUBDIRECCION DE GESTION CONTRACTUAL</v>
      </c>
      <c r="V659" s="245" t="str">
        <f t="shared" si="114"/>
        <v>CO-DC</v>
      </c>
      <c r="W659" s="245" t="str">
        <f t="shared" si="115"/>
        <v>Distrito Capital de Bogotá</v>
      </c>
      <c r="X659" s="154" t="s">
        <v>572</v>
      </c>
      <c r="Y659" s="147">
        <v>2427400</v>
      </c>
      <c r="Z659" s="157" t="s">
        <v>573</v>
      </c>
      <c r="AA659" s="248"/>
      <c r="AB659" s="248"/>
      <c r="AC659" s="248"/>
      <c r="AD659" s="248"/>
      <c r="AE659" s="248"/>
      <c r="AF659" s="248"/>
      <c r="AG659" s="248"/>
      <c r="AH659" s="248"/>
      <c r="AI659" s="248"/>
      <c r="AJ659" s="248"/>
      <c r="AK659" s="248"/>
      <c r="AL659" s="248"/>
      <c r="AM659" s="248"/>
      <c r="AN659" s="248"/>
      <c r="AO659" s="248"/>
      <c r="AP659" s="248"/>
      <c r="AQ659" s="248"/>
      <c r="AR659" s="248"/>
      <c r="AS659" s="248"/>
      <c r="AT659" s="248"/>
      <c r="AU659" s="152"/>
      <c r="AV659" s="152"/>
      <c r="AW659" s="152"/>
      <c r="AX659" s="152"/>
      <c r="AY659" s="152"/>
      <c r="AZ659" s="152"/>
      <c r="BA659" s="152"/>
      <c r="BB659" s="152"/>
      <c r="BC659" s="152"/>
      <c r="BD659" s="152"/>
      <c r="BE659" s="152"/>
      <c r="BF659" s="152"/>
      <c r="BG659" s="152"/>
      <c r="BH659" s="152"/>
      <c r="BI659" s="152"/>
      <c r="BJ659" s="152"/>
      <c r="BK659" s="152"/>
      <c r="BL659" s="152"/>
      <c r="BM659" s="152"/>
      <c r="BN659" s="152"/>
      <c r="BO659" s="152"/>
      <c r="BP659" s="152"/>
      <c r="BQ659" s="152"/>
      <c r="BR659" s="152"/>
      <c r="BS659" s="152"/>
      <c r="BT659" s="152"/>
      <c r="BU659" s="152"/>
      <c r="BV659" s="152"/>
      <c r="BW659" s="152"/>
      <c r="BX659" s="152"/>
      <c r="BY659" s="152"/>
      <c r="BZ659" s="152"/>
      <c r="CA659" s="152"/>
      <c r="CB659" s="152"/>
      <c r="CC659" s="152"/>
      <c r="CD659" s="152"/>
      <c r="CE659" s="152"/>
      <c r="CF659" s="152"/>
      <c r="CG659" s="252"/>
    </row>
    <row r="660" spans="1:85" s="7" customFormat="1" ht="12.75" customHeight="1" x14ac:dyDescent="0.2">
      <c r="A660" s="132" t="s">
        <v>568</v>
      </c>
      <c r="B660" s="132">
        <v>10</v>
      </c>
      <c r="C660" s="133" t="s">
        <v>569</v>
      </c>
      <c r="D660" s="133" t="s">
        <v>570</v>
      </c>
      <c r="E660" s="134"/>
      <c r="F660" s="134">
        <v>200000000</v>
      </c>
      <c r="G660" s="134"/>
      <c r="H660" s="135" t="s">
        <v>230</v>
      </c>
      <c r="I660" s="136" t="s">
        <v>620</v>
      </c>
      <c r="J660" s="150">
        <v>2</v>
      </c>
      <c r="K660" s="150">
        <v>3</v>
      </c>
      <c r="L660" s="150">
        <v>4</v>
      </c>
      <c r="M660" s="132">
        <f t="shared" si="110"/>
        <v>1</v>
      </c>
      <c r="N660" s="140" t="s">
        <v>43</v>
      </c>
      <c r="O660" s="141" t="str">
        <f>IF(ISBLANK(N660),"",VLOOKUP(N660,[27]Parámetros!$G$2:$H$23,2,FALSE))</f>
        <v>Selección abreviada subasta inversa</v>
      </c>
      <c r="P660" s="142">
        <f t="shared" si="116"/>
        <v>1</v>
      </c>
      <c r="Q660" s="143">
        <f t="shared" si="111"/>
        <v>200000000</v>
      </c>
      <c r="R660" s="143">
        <f t="shared" si="112"/>
        <v>200000000</v>
      </c>
      <c r="S660" s="144" t="s">
        <v>222</v>
      </c>
      <c r="T660" s="140">
        <f t="shared" si="117"/>
        <v>0</v>
      </c>
      <c r="U660" s="145" t="str">
        <f t="shared" si="113"/>
        <v>SUBDIRECCION DE GESTION CONTRACTUAL</v>
      </c>
      <c r="V660" s="132" t="str">
        <f t="shared" si="114"/>
        <v>CO-DC</v>
      </c>
      <c r="W660" s="145" t="str">
        <f t="shared" si="115"/>
        <v>Distrito Capital de Bogotá</v>
      </c>
      <c r="X660" s="146" t="s">
        <v>307</v>
      </c>
      <c r="Y660" s="132">
        <v>2427400</v>
      </c>
      <c r="Z660" s="148" t="s">
        <v>94</v>
      </c>
    </row>
    <row r="661" spans="1:85" s="7" customFormat="1" ht="12.75" customHeight="1" x14ac:dyDescent="0.25">
      <c r="A661" s="132" t="s">
        <v>568</v>
      </c>
      <c r="B661" s="147">
        <v>11</v>
      </c>
      <c r="C661" s="244" t="s">
        <v>569</v>
      </c>
      <c r="D661" s="154" t="s">
        <v>570</v>
      </c>
      <c r="E661" s="254"/>
      <c r="F661" s="155">
        <v>80000000</v>
      </c>
      <c r="G661" s="254"/>
      <c r="H661" s="255" t="s">
        <v>743</v>
      </c>
      <c r="I661" s="255" t="s">
        <v>810</v>
      </c>
      <c r="J661" s="147">
        <v>1</v>
      </c>
      <c r="K661" s="147">
        <v>2</v>
      </c>
      <c r="L661" s="147">
        <v>3</v>
      </c>
      <c r="M661" s="132">
        <v>1</v>
      </c>
      <c r="N661" s="140" t="s">
        <v>61</v>
      </c>
      <c r="O661" s="141" t="str">
        <f>IF(ISBLANK(N661),"",VLOOKUP(N661,[25]Parámetros!$G$2:$H$23,2,FALSE))</f>
        <v>Contratación régimen especial - Selección de comisionista</v>
      </c>
      <c r="P661" s="142">
        <v>1</v>
      </c>
      <c r="Q661" s="143">
        <f t="shared" ref="Q661" si="123">+E661+F661+G661</f>
        <v>80000000</v>
      </c>
      <c r="R661" s="143">
        <f t="shared" ref="R661" si="124">+F661</f>
        <v>80000000</v>
      </c>
      <c r="S661" s="144" t="s">
        <v>222</v>
      </c>
      <c r="T661" s="140">
        <v>0</v>
      </c>
      <c r="U661" s="145" t="str">
        <f t="shared" si="113"/>
        <v>SUBDIRECCION DE GESTION CONTRACTUAL</v>
      </c>
      <c r="V661" s="132" t="str">
        <f t="shared" ref="V661" si="125">IF(ISBLANK(N661),"","CO-DC")</f>
        <v>CO-DC</v>
      </c>
      <c r="W661" s="145" t="str">
        <f t="shared" ref="W661" si="126">IF(ISBLANK(N661),"","Distrito Capital de Bogotá")</f>
        <v>Distrito Capital de Bogotá</v>
      </c>
      <c r="X661" s="146" t="s">
        <v>331</v>
      </c>
      <c r="Y661" s="132">
        <v>2427400</v>
      </c>
      <c r="Z661" s="127" t="s">
        <v>75</v>
      </c>
    </row>
    <row r="662" spans="1:85" s="7" customFormat="1" ht="12.75" customHeight="1" x14ac:dyDescent="0.2">
      <c r="A662" s="132" t="s">
        <v>756</v>
      </c>
      <c r="B662" s="132">
        <v>1</v>
      </c>
      <c r="C662" s="133" t="s">
        <v>790</v>
      </c>
      <c r="D662" s="133" t="s">
        <v>757</v>
      </c>
      <c r="E662" s="134"/>
      <c r="F662" s="134">
        <f>81890738+105693925</f>
        <v>187584663</v>
      </c>
      <c r="G662" s="134"/>
      <c r="H662" s="135">
        <v>80111600</v>
      </c>
      <c r="I662" s="136" t="s">
        <v>898</v>
      </c>
      <c r="J662" s="150">
        <v>1</v>
      </c>
      <c r="K662" s="150">
        <v>1</v>
      </c>
      <c r="L662" s="150">
        <v>12</v>
      </c>
      <c r="M662" s="132">
        <v>1</v>
      </c>
      <c r="N662" s="140" t="s">
        <v>216</v>
      </c>
      <c r="O662" s="141" t="str">
        <f>IF(ISBLANK(N662),"",VLOOKUP(N662,[28]Parámetros!$G$2:$H$23,2,FALSE))</f>
        <v>Contratación directa.</v>
      </c>
      <c r="P662" s="142">
        <v>1</v>
      </c>
      <c r="Q662" s="143">
        <f t="shared" si="111"/>
        <v>187584663</v>
      </c>
      <c r="R662" s="143">
        <f t="shared" si="112"/>
        <v>187584663</v>
      </c>
      <c r="S662" s="256">
        <v>0</v>
      </c>
      <c r="T662" s="140">
        <v>0</v>
      </c>
      <c r="U662" s="145" t="str">
        <f>IF(ISBLANK(N662),"","SUBDIRECCION DE GESTION CONTRACTUAL")</f>
        <v>SUBDIRECCION DE GESTION CONTRACTUAL</v>
      </c>
      <c r="V662" s="132" t="str">
        <f>IF(ISBLANK(N662),"","CO-DC")</f>
        <v>CO-DC</v>
      </c>
      <c r="W662" s="145" t="str">
        <f>IF(ISBLANK(N662),"","Distrito Capital de Bogotá")</f>
        <v>Distrito Capital de Bogotá</v>
      </c>
      <c r="X662" s="146" t="s">
        <v>759</v>
      </c>
      <c r="Y662" s="132">
        <v>2427400</v>
      </c>
      <c r="Z662" s="148" t="s">
        <v>760</v>
      </c>
    </row>
    <row r="663" spans="1:85" s="7" customFormat="1" ht="12.75" customHeight="1" x14ac:dyDescent="0.2">
      <c r="A663" s="132" t="s">
        <v>756</v>
      </c>
      <c r="B663" s="132">
        <v>2</v>
      </c>
      <c r="C663" s="133" t="s">
        <v>790</v>
      </c>
      <c r="D663" s="133" t="s">
        <v>761</v>
      </c>
      <c r="E663" s="134"/>
      <c r="F663" s="134">
        <f>54593836+241598471</f>
        <v>296192307</v>
      </c>
      <c r="G663" s="134"/>
      <c r="H663" s="135">
        <v>80111600</v>
      </c>
      <c r="I663" s="136" t="s">
        <v>898</v>
      </c>
      <c r="J663" s="150">
        <v>1</v>
      </c>
      <c r="K663" s="150">
        <v>1</v>
      </c>
      <c r="L663" s="150">
        <v>12</v>
      </c>
      <c r="M663" s="132">
        <v>1</v>
      </c>
      <c r="N663" s="140" t="s">
        <v>216</v>
      </c>
      <c r="O663" s="141" t="str">
        <f>IF(ISBLANK(N663),"",VLOOKUP(N663,[28]Parámetros!$G$2:$H$23,2,FALSE))</f>
        <v>Contratación directa.</v>
      </c>
      <c r="P663" s="142">
        <v>1</v>
      </c>
      <c r="Q663" s="143">
        <f t="shared" si="111"/>
        <v>296192307</v>
      </c>
      <c r="R663" s="143">
        <f t="shared" si="112"/>
        <v>296192307</v>
      </c>
      <c r="S663" s="256">
        <v>0</v>
      </c>
      <c r="T663" s="140">
        <v>0</v>
      </c>
      <c r="U663" s="145" t="str">
        <f t="shared" ref="U663:U726" si="127">IF(ISBLANK(N663),"","SUBDIRECCION DE GESTION CONTRACTUAL")</f>
        <v>SUBDIRECCION DE GESTION CONTRACTUAL</v>
      </c>
      <c r="V663" s="132" t="str">
        <f t="shared" ref="V663:V726" si="128">IF(ISBLANK(N663),"","CO-DC")</f>
        <v>CO-DC</v>
      </c>
      <c r="W663" s="145" t="str">
        <f t="shared" ref="W663:W726" si="129">IF(ISBLANK(N663),"","Distrito Capital de Bogotá")</f>
        <v>Distrito Capital de Bogotá</v>
      </c>
      <c r="X663" s="146" t="s">
        <v>759</v>
      </c>
      <c r="Y663" s="132">
        <v>2427400</v>
      </c>
      <c r="Z663" s="148" t="s">
        <v>760</v>
      </c>
    </row>
    <row r="664" spans="1:85" s="7" customFormat="1" ht="12.75" customHeight="1" x14ac:dyDescent="0.2">
      <c r="A664" s="132" t="s">
        <v>756</v>
      </c>
      <c r="B664" s="132">
        <v>3</v>
      </c>
      <c r="C664" s="133" t="s">
        <v>790</v>
      </c>
      <c r="D664" s="133" t="s">
        <v>762</v>
      </c>
      <c r="E664" s="134"/>
      <c r="F664" s="134">
        <v>81890752</v>
      </c>
      <c r="G664" s="134"/>
      <c r="H664" s="135">
        <v>80111600</v>
      </c>
      <c r="I664" s="136" t="s">
        <v>898</v>
      </c>
      <c r="J664" s="150">
        <v>1</v>
      </c>
      <c r="K664" s="150">
        <v>1</v>
      </c>
      <c r="L664" s="150">
        <v>12</v>
      </c>
      <c r="M664" s="132">
        <v>1</v>
      </c>
      <c r="N664" s="140" t="s">
        <v>216</v>
      </c>
      <c r="O664" s="141" t="str">
        <f>IF(ISBLANK(N664),"",VLOOKUP(N664,[28]Parámetros!$G$2:$H$23,2,FALSE))</f>
        <v>Contratación directa.</v>
      </c>
      <c r="P664" s="142">
        <v>1</v>
      </c>
      <c r="Q664" s="143">
        <f t="shared" si="111"/>
        <v>81890752</v>
      </c>
      <c r="R664" s="143">
        <f t="shared" si="112"/>
        <v>81890752</v>
      </c>
      <c r="S664" s="256">
        <v>0</v>
      </c>
      <c r="T664" s="140">
        <v>0</v>
      </c>
      <c r="U664" s="145" t="str">
        <f t="shared" si="127"/>
        <v>SUBDIRECCION DE GESTION CONTRACTUAL</v>
      </c>
      <c r="V664" s="132" t="str">
        <f t="shared" si="128"/>
        <v>CO-DC</v>
      </c>
      <c r="W664" s="145" t="str">
        <f t="shared" si="129"/>
        <v>Distrito Capital de Bogotá</v>
      </c>
      <c r="X664" s="146" t="s">
        <v>759</v>
      </c>
      <c r="Y664" s="132">
        <v>2427400</v>
      </c>
      <c r="Z664" s="148" t="s">
        <v>760</v>
      </c>
    </row>
    <row r="665" spans="1:85" s="7" customFormat="1" ht="12.75" customHeight="1" x14ac:dyDescent="0.2">
      <c r="A665" s="132" t="s">
        <v>756</v>
      </c>
      <c r="B665" s="132">
        <v>4</v>
      </c>
      <c r="C665" s="133" t="s">
        <v>790</v>
      </c>
      <c r="D665" s="133" t="s">
        <v>763</v>
      </c>
      <c r="E665" s="134"/>
      <c r="F665" s="134">
        <v>54593836</v>
      </c>
      <c r="G665" s="134"/>
      <c r="H665" s="135">
        <v>80111600</v>
      </c>
      <c r="I665" s="136" t="s">
        <v>898</v>
      </c>
      <c r="J665" s="150">
        <v>1</v>
      </c>
      <c r="K665" s="150">
        <v>1</v>
      </c>
      <c r="L665" s="150">
        <v>12</v>
      </c>
      <c r="M665" s="132">
        <v>1</v>
      </c>
      <c r="N665" s="140" t="s">
        <v>216</v>
      </c>
      <c r="O665" s="141" t="str">
        <f>IF(ISBLANK(N665),"",VLOOKUP(N665,[28]Parámetros!$G$2:$H$23,2,FALSE))</f>
        <v>Contratación directa.</v>
      </c>
      <c r="P665" s="142">
        <v>1</v>
      </c>
      <c r="Q665" s="143">
        <f t="shared" si="111"/>
        <v>54593836</v>
      </c>
      <c r="R665" s="143">
        <f t="shared" si="112"/>
        <v>54593836</v>
      </c>
      <c r="S665" s="256">
        <v>0</v>
      </c>
      <c r="T665" s="140">
        <v>0</v>
      </c>
      <c r="U665" s="145" t="str">
        <f t="shared" si="127"/>
        <v>SUBDIRECCION DE GESTION CONTRACTUAL</v>
      </c>
      <c r="V665" s="132" t="str">
        <f t="shared" si="128"/>
        <v>CO-DC</v>
      </c>
      <c r="W665" s="145" t="str">
        <f t="shared" si="129"/>
        <v>Distrito Capital de Bogotá</v>
      </c>
      <c r="X665" s="146" t="s">
        <v>759</v>
      </c>
      <c r="Y665" s="132">
        <v>2427400</v>
      </c>
      <c r="Z665" s="148" t="s">
        <v>760</v>
      </c>
    </row>
    <row r="666" spans="1:85" s="7" customFormat="1" ht="12.75" customHeight="1" x14ac:dyDescent="0.2">
      <c r="A666" s="132" t="s">
        <v>756</v>
      </c>
      <c r="B666" s="132">
        <v>5</v>
      </c>
      <c r="C666" s="133" t="s">
        <v>793</v>
      </c>
      <c r="D666" s="133" t="s">
        <v>764</v>
      </c>
      <c r="E666" s="134"/>
      <c r="F666" s="134">
        <f>130088818+213220519</f>
        <v>343309337</v>
      </c>
      <c r="G666" s="134"/>
      <c r="H666" s="135">
        <v>80111600</v>
      </c>
      <c r="I666" s="136" t="s">
        <v>898</v>
      </c>
      <c r="J666" s="150">
        <v>1</v>
      </c>
      <c r="K666" s="150">
        <v>1</v>
      </c>
      <c r="L666" s="150">
        <v>12</v>
      </c>
      <c r="M666" s="132">
        <v>1</v>
      </c>
      <c r="N666" s="140" t="s">
        <v>216</v>
      </c>
      <c r="O666" s="141" t="str">
        <f>IF(ISBLANK(N666),"",VLOOKUP(N666,[28]Parámetros!$G$2:$H$23,2,FALSE))</f>
        <v>Contratación directa.</v>
      </c>
      <c r="P666" s="142">
        <v>1</v>
      </c>
      <c r="Q666" s="143">
        <f t="shared" si="111"/>
        <v>343309337</v>
      </c>
      <c r="R666" s="143">
        <f t="shared" si="112"/>
        <v>343309337</v>
      </c>
      <c r="S666" s="256">
        <v>0</v>
      </c>
      <c r="T666" s="140">
        <v>0</v>
      </c>
      <c r="U666" s="145" t="str">
        <f t="shared" si="127"/>
        <v>SUBDIRECCION DE GESTION CONTRACTUAL</v>
      </c>
      <c r="V666" s="132" t="str">
        <f t="shared" si="128"/>
        <v>CO-DC</v>
      </c>
      <c r="W666" s="145" t="str">
        <f t="shared" si="129"/>
        <v>Distrito Capital de Bogotá</v>
      </c>
      <c r="X666" s="146" t="s">
        <v>759</v>
      </c>
      <c r="Y666" s="132">
        <v>2427400</v>
      </c>
      <c r="Z666" s="148" t="s">
        <v>760</v>
      </c>
    </row>
    <row r="667" spans="1:85" s="7" customFormat="1" ht="12.75" customHeight="1" x14ac:dyDescent="0.2">
      <c r="A667" s="132" t="s">
        <v>756</v>
      </c>
      <c r="B667" s="132">
        <v>6</v>
      </c>
      <c r="C667" s="133" t="s">
        <v>793</v>
      </c>
      <c r="D667" s="133" t="s">
        <v>765</v>
      </c>
      <c r="E667" s="134"/>
      <c r="F667" s="134">
        <v>86725872</v>
      </c>
      <c r="G667" s="134"/>
      <c r="H667" s="135">
        <v>80111600</v>
      </c>
      <c r="I667" s="136" t="s">
        <v>898</v>
      </c>
      <c r="J667" s="150">
        <v>1</v>
      </c>
      <c r="K667" s="150">
        <v>1</v>
      </c>
      <c r="L667" s="150">
        <v>12</v>
      </c>
      <c r="M667" s="132">
        <v>1</v>
      </c>
      <c r="N667" s="140" t="s">
        <v>216</v>
      </c>
      <c r="O667" s="141" t="str">
        <f>IF(ISBLANK(N667),"",VLOOKUP(N667,[28]Parámetros!$G$2:$H$23,2,FALSE))</f>
        <v>Contratación directa.</v>
      </c>
      <c r="P667" s="142">
        <v>1</v>
      </c>
      <c r="Q667" s="143">
        <f t="shared" si="111"/>
        <v>86725872</v>
      </c>
      <c r="R667" s="143">
        <f t="shared" si="112"/>
        <v>86725872</v>
      </c>
      <c r="S667" s="256">
        <v>0</v>
      </c>
      <c r="T667" s="140">
        <v>0</v>
      </c>
      <c r="U667" s="145" t="str">
        <f t="shared" si="127"/>
        <v>SUBDIRECCION DE GESTION CONTRACTUAL</v>
      </c>
      <c r="V667" s="132" t="str">
        <f t="shared" si="128"/>
        <v>CO-DC</v>
      </c>
      <c r="W667" s="145" t="str">
        <f t="shared" si="129"/>
        <v>Distrito Capital de Bogotá</v>
      </c>
      <c r="X667" s="146" t="s">
        <v>759</v>
      </c>
      <c r="Y667" s="132">
        <v>2427400</v>
      </c>
      <c r="Z667" s="148" t="s">
        <v>760</v>
      </c>
    </row>
    <row r="668" spans="1:85" s="7" customFormat="1" ht="12.75" customHeight="1" x14ac:dyDescent="0.2">
      <c r="A668" s="132" t="s">
        <v>756</v>
      </c>
      <c r="B668" s="132">
        <v>7</v>
      </c>
      <c r="C668" s="133" t="s">
        <v>793</v>
      </c>
      <c r="D668" s="133" t="s">
        <v>766</v>
      </c>
      <c r="E668" s="134"/>
      <c r="F668" s="134">
        <v>130088818</v>
      </c>
      <c r="G668" s="134"/>
      <c r="H668" s="135">
        <v>80111600</v>
      </c>
      <c r="I668" s="136" t="s">
        <v>898</v>
      </c>
      <c r="J668" s="150">
        <v>1</v>
      </c>
      <c r="K668" s="150">
        <v>1</v>
      </c>
      <c r="L668" s="150">
        <v>12</v>
      </c>
      <c r="M668" s="132">
        <v>1</v>
      </c>
      <c r="N668" s="140" t="s">
        <v>216</v>
      </c>
      <c r="O668" s="141" t="str">
        <f>IF(ISBLANK(N668),"",VLOOKUP(N668,[28]Parámetros!$G$2:$H$23,2,FALSE))</f>
        <v>Contratación directa.</v>
      </c>
      <c r="P668" s="142">
        <v>1</v>
      </c>
      <c r="Q668" s="143">
        <f t="shared" si="111"/>
        <v>130088818</v>
      </c>
      <c r="R668" s="143">
        <f t="shared" si="112"/>
        <v>130088818</v>
      </c>
      <c r="S668" s="256">
        <v>0</v>
      </c>
      <c r="T668" s="140">
        <v>0</v>
      </c>
      <c r="U668" s="145" t="str">
        <f t="shared" si="127"/>
        <v>SUBDIRECCION DE GESTION CONTRACTUAL</v>
      </c>
      <c r="V668" s="132" t="str">
        <f t="shared" si="128"/>
        <v>CO-DC</v>
      </c>
      <c r="W668" s="145" t="str">
        <f t="shared" si="129"/>
        <v>Distrito Capital de Bogotá</v>
      </c>
      <c r="X668" s="146" t="s">
        <v>759</v>
      </c>
      <c r="Y668" s="132">
        <v>2427400</v>
      </c>
      <c r="Z668" s="148" t="s">
        <v>760</v>
      </c>
    </row>
    <row r="669" spans="1:85" s="7" customFormat="1" ht="12.75" customHeight="1" x14ac:dyDescent="0.2">
      <c r="A669" s="132" t="s">
        <v>756</v>
      </c>
      <c r="B669" s="132">
        <v>8</v>
      </c>
      <c r="C669" s="133" t="s">
        <v>793</v>
      </c>
      <c r="D669" s="133" t="s">
        <v>767</v>
      </c>
      <c r="E669" s="134"/>
      <c r="F669" s="134">
        <v>86725872</v>
      </c>
      <c r="G669" s="134"/>
      <c r="H669" s="135">
        <v>80111600</v>
      </c>
      <c r="I669" s="136" t="s">
        <v>898</v>
      </c>
      <c r="J669" s="150">
        <v>1</v>
      </c>
      <c r="K669" s="150">
        <v>1</v>
      </c>
      <c r="L669" s="150">
        <v>12</v>
      </c>
      <c r="M669" s="132">
        <v>1</v>
      </c>
      <c r="N669" s="140" t="s">
        <v>216</v>
      </c>
      <c r="O669" s="141" t="str">
        <f>IF(ISBLANK(N669),"",VLOOKUP(N669,[28]Parámetros!$G$2:$H$23,2,FALSE))</f>
        <v>Contratación directa.</v>
      </c>
      <c r="P669" s="142">
        <v>1</v>
      </c>
      <c r="Q669" s="143">
        <f t="shared" si="111"/>
        <v>86725872</v>
      </c>
      <c r="R669" s="143">
        <f t="shared" si="112"/>
        <v>86725872</v>
      </c>
      <c r="S669" s="256">
        <v>0</v>
      </c>
      <c r="T669" s="140">
        <v>0</v>
      </c>
      <c r="U669" s="145" t="str">
        <f t="shared" si="127"/>
        <v>SUBDIRECCION DE GESTION CONTRACTUAL</v>
      </c>
      <c r="V669" s="132" t="str">
        <f t="shared" si="128"/>
        <v>CO-DC</v>
      </c>
      <c r="W669" s="145" t="str">
        <f t="shared" si="129"/>
        <v>Distrito Capital de Bogotá</v>
      </c>
      <c r="X669" s="146" t="s">
        <v>759</v>
      </c>
      <c r="Y669" s="132">
        <v>2427400</v>
      </c>
      <c r="Z669" s="148" t="s">
        <v>760</v>
      </c>
    </row>
    <row r="670" spans="1:85" s="7" customFormat="1" ht="12.75" customHeight="1" x14ac:dyDescent="0.2">
      <c r="A670" s="132" t="s">
        <v>756</v>
      </c>
      <c r="B670" s="132">
        <v>9</v>
      </c>
      <c r="C670" s="133" t="s">
        <v>795</v>
      </c>
      <c r="D670" s="133" t="s">
        <v>768</v>
      </c>
      <c r="E670" s="134"/>
      <c r="F670" s="134">
        <v>28379484</v>
      </c>
      <c r="G670" s="134"/>
      <c r="H670" s="135">
        <v>80111600</v>
      </c>
      <c r="I670" s="136" t="s">
        <v>898</v>
      </c>
      <c r="J670" s="150">
        <v>1</v>
      </c>
      <c r="K670" s="150">
        <v>1</v>
      </c>
      <c r="L670" s="150">
        <v>12</v>
      </c>
      <c r="M670" s="132">
        <v>1</v>
      </c>
      <c r="N670" s="140" t="s">
        <v>216</v>
      </c>
      <c r="O670" s="141" t="str">
        <f>IF(ISBLANK(N670),"",VLOOKUP(N670,[28]Parámetros!$G$2:$H$23,2,FALSE))</f>
        <v>Contratación directa.</v>
      </c>
      <c r="P670" s="142">
        <v>1</v>
      </c>
      <c r="Q670" s="143">
        <f t="shared" si="111"/>
        <v>28379484</v>
      </c>
      <c r="R670" s="143">
        <f t="shared" si="112"/>
        <v>28379484</v>
      </c>
      <c r="S670" s="256">
        <v>0</v>
      </c>
      <c r="T670" s="140">
        <v>0</v>
      </c>
      <c r="U670" s="145" t="str">
        <f t="shared" si="127"/>
        <v>SUBDIRECCION DE GESTION CONTRACTUAL</v>
      </c>
      <c r="V670" s="132" t="str">
        <f t="shared" si="128"/>
        <v>CO-DC</v>
      </c>
      <c r="W670" s="145" t="str">
        <f t="shared" si="129"/>
        <v>Distrito Capital de Bogotá</v>
      </c>
      <c r="X670" s="146" t="s">
        <v>759</v>
      </c>
      <c r="Y670" s="132">
        <v>2427400</v>
      </c>
      <c r="Z670" s="148" t="s">
        <v>760</v>
      </c>
    </row>
    <row r="671" spans="1:85" s="7" customFormat="1" ht="12.75" customHeight="1" x14ac:dyDescent="0.2">
      <c r="A671" s="132" t="s">
        <v>756</v>
      </c>
      <c r="B671" s="132">
        <v>10</v>
      </c>
      <c r="C671" s="133" t="s">
        <v>795</v>
      </c>
      <c r="D671" s="133" t="s">
        <v>769</v>
      </c>
      <c r="E671" s="134"/>
      <c r="F671" s="134">
        <v>18919652</v>
      </c>
      <c r="G671" s="134"/>
      <c r="H671" s="135">
        <v>80111600</v>
      </c>
      <c r="I671" s="136" t="s">
        <v>898</v>
      </c>
      <c r="J671" s="150">
        <v>1</v>
      </c>
      <c r="K671" s="150">
        <v>1</v>
      </c>
      <c r="L671" s="150">
        <v>12</v>
      </c>
      <c r="M671" s="132">
        <v>1</v>
      </c>
      <c r="N671" s="140" t="s">
        <v>216</v>
      </c>
      <c r="O671" s="141" t="str">
        <f>IF(ISBLANK(N671),"",VLOOKUP(N671,[28]Parámetros!$G$2:$H$23,2,FALSE))</f>
        <v>Contratación directa.</v>
      </c>
      <c r="P671" s="142">
        <v>1</v>
      </c>
      <c r="Q671" s="143">
        <f t="shared" si="111"/>
        <v>18919652</v>
      </c>
      <c r="R671" s="143">
        <f t="shared" si="112"/>
        <v>18919652</v>
      </c>
      <c r="S671" s="256">
        <v>0</v>
      </c>
      <c r="T671" s="140">
        <v>0</v>
      </c>
      <c r="U671" s="145" t="str">
        <f t="shared" si="127"/>
        <v>SUBDIRECCION DE GESTION CONTRACTUAL</v>
      </c>
      <c r="V671" s="132" t="str">
        <f t="shared" si="128"/>
        <v>CO-DC</v>
      </c>
      <c r="W671" s="145" t="str">
        <f t="shared" si="129"/>
        <v>Distrito Capital de Bogotá</v>
      </c>
      <c r="X671" s="146" t="s">
        <v>759</v>
      </c>
      <c r="Y671" s="132">
        <v>2427400</v>
      </c>
      <c r="Z671" s="148" t="s">
        <v>760</v>
      </c>
    </row>
    <row r="672" spans="1:85" s="7" customFormat="1" ht="12.75" customHeight="1" x14ac:dyDescent="0.2">
      <c r="A672" s="132" t="s">
        <v>756</v>
      </c>
      <c r="B672" s="132">
        <v>11</v>
      </c>
      <c r="C672" s="133" t="s">
        <v>795</v>
      </c>
      <c r="D672" s="133" t="s">
        <v>770</v>
      </c>
      <c r="E672" s="134"/>
      <c r="F672" s="134">
        <v>28379484</v>
      </c>
      <c r="G672" s="134"/>
      <c r="H672" s="135">
        <v>80111600</v>
      </c>
      <c r="I672" s="136" t="s">
        <v>898</v>
      </c>
      <c r="J672" s="150">
        <v>1</v>
      </c>
      <c r="K672" s="150">
        <v>1</v>
      </c>
      <c r="L672" s="150">
        <v>12</v>
      </c>
      <c r="M672" s="132">
        <v>1</v>
      </c>
      <c r="N672" s="140" t="s">
        <v>216</v>
      </c>
      <c r="O672" s="141" t="str">
        <f>IF(ISBLANK(N672),"",VLOOKUP(N672,[28]Parámetros!$G$2:$H$23,2,FALSE))</f>
        <v>Contratación directa.</v>
      </c>
      <c r="P672" s="142">
        <v>1</v>
      </c>
      <c r="Q672" s="143">
        <f t="shared" si="111"/>
        <v>28379484</v>
      </c>
      <c r="R672" s="143">
        <f t="shared" si="112"/>
        <v>28379484</v>
      </c>
      <c r="S672" s="256">
        <v>0</v>
      </c>
      <c r="T672" s="140">
        <v>0</v>
      </c>
      <c r="U672" s="145" t="str">
        <f t="shared" si="127"/>
        <v>SUBDIRECCION DE GESTION CONTRACTUAL</v>
      </c>
      <c r="V672" s="132" t="str">
        <f t="shared" si="128"/>
        <v>CO-DC</v>
      </c>
      <c r="W672" s="145" t="str">
        <f t="shared" si="129"/>
        <v>Distrito Capital de Bogotá</v>
      </c>
      <c r="X672" s="146" t="s">
        <v>759</v>
      </c>
      <c r="Y672" s="132">
        <v>2427400</v>
      </c>
      <c r="Z672" s="148" t="s">
        <v>760</v>
      </c>
    </row>
    <row r="673" spans="1:26" s="7" customFormat="1" ht="12.75" customHeight="1" x14ac:dyDescent="0.2">
      <c r="A673" s="132" t="s">
        <v>756</v>
      </c>
      <c r="B673" s="132">
        <v>12</v>
      </c>
      <c r="C673" s="133" t="s">
        <v>795</v>
      </c>
      <c r="D673" s="133" t="s">
        <v>771</v>
      </c>
      <c r="E673" s="134"/>
      <c r="F673" s="134">
        <v>18919652</v>
      </c>
      <c r="G673" s="134"/>
      <c r="H673" s="135">
        <v>80111600</v>
      </c>
      <c r="I673" s="136" t="s">
        <v>758</v>
      </c>
      <c r="J673" s="150">
        <v>1</v>
      </c>
      <c r="K673" s="150">
        <v>1</v>
      </c>
      <c r="L673" s="150">
        <v>12</v>
      </c>
      <c r="M673" s="132">
        <v>1</v>
      </c>
      <c r="N673" s="140" t="s">
        <v>216</v>
      </c>
      <c r="O673" s="141" t="str">
        <f>IF(ISBLANK(N673),"",VLOOKUP(N673,[28]Parámetros!$G$2:$H$23,2,FALSE))</f>
        <v>Contratación directa.</v>
      </c>
      <c r="P673" s="142">
        <v>1</v>
      </c>
      <c r="Q673" s="143">
        <f t="shared" si="111"/>
        <v>18919652</v>
      </c>
      <c r="R673" s="143">
        <f t="shared" si="112"/>
        <v>18919652</v>
      </c>
      <c r="S673" s="256">
        <v>0</v>
      </c>
      <c r="T673" s="140">
        <v>0</v>
      </c>
      <c r="U673" s="145" t="str">
        <f t="shared" si="127"/>
        <v>SUBDIRECCION DE GESTION CONTRACTUAL</v>
      </c>
      <c r="V673" s="132" t="str">
        <f t="shared" si="128"/>
        <v>CO-DC</v>
      </c>
      <c r="W673" s="145" t="str">
        <f t="shared" si="129"/>
        <v>Distrito Capital de Bogotá</v>
      </c>
      <c r="X673" s="146" t="s">
        <v>759</v>
      </c>
      <c r="Y673" s="132">
        <v>2427400</v>
      </c>
      <c r="Z673" s="148" t="s">
        <v>760</v>
      </c>
    </row>
    <row r="674" spans="1:26" s="7" customFormat="1" ht="12.75" customHeight="1" x14ac:dyDescent="0.2">
      <c r="A674" s="132" t="s">
        <v>756</v>
      </c>
      <c r="B674" s="132">
        <v>13</v>
      </c>
      <c r="C674" s="133" t="s">
        <v>796</v>
      </c>
      <c r="D674" s="133" t="s">
        <v>772</v>
      </c>
      <c r="E674" s="134"/>
      <c r="F674" s="134">
        <f>12327150+44341542</f>
        <v>56668692</v>
      </c>
      <c r="G674" s="134"/>
      <c r="H674" s="135">
        <v>80111600</v>
      </c>
      <c r="I674" s="136" t="s">
        <v>758</v>
      </c>
      <c r="J674" s="150">
        <v>1</v>
      </c>
      <c r="K674" s="150">
        <v>1</v>
      </c>
      <c r="L674" s="150">
        <v>12</v>
      </c>
      <c r="M674" s="132">
        <v>1</v>
      </c>
      <c r="N674" s="140" t="s">
        <v>216</v>
      </c>
      <c r="O674" s="141" t="str">
        <f>IF(ISBLANK(N674),"",VLOOKUP(N674,[28]Parámetros!$G$2:$H$23,2,FALSE))</f>
        <v>Contratación directa.</v>
      </c>
      <c r="P674" s="142">
        <v>1</v>
      </c>
      <c r="Q674" s="143">
        <f t="shared" si="111"/>
        <v>56668692</v>
      </c>
      <c r="R674" s="143">
        <f t="shared" si="112"/>
        <v>56668692</v>
      </c>
      <c r="S674" s="256">
        <v>0</v>
      </c>
      <c r="T674" s="140">
        <v>0</v>
      </c>
      <c r="U674" s="145" t="str">
        <f t="shared" si="127"/>
        <v>SUBDIRECCION DE GESTION CONTRACTUAL</v>
      </c>
      <c r="V674" s="132" t="str">
        <f t="shared" si="128"/>
        <v>CO-DC</v>
      </c>
      <c r="W674" s="145" t="str">
        <f t="shared" si="129"/>
        <v>Distrito Capital de Bogotá</v>
      </c>
      <c r="X674" s="146" t="s">
        <v>759</v>
      </c>
      <c r="Y674" s="132">
        <v>2427400</v>
      </c>
      <c r="Z674" s="148" t="s">
        <v>760</v>
      </c>
    </row>
    <row r="675" spans="1:26" s="7" customFormat="1" ht="12.75" customHeight="1" x14ac:dyDescent="0.2">
      <c r="A675" s="132" t="s">
        <v>756</v>
      </c>
      <c r="B675" s="132">
        <v>14</v>
      </c>
      <c r="C675" s="133" t="s">
        <v>796</v>
      </c>
      <c r="D675" s="133" t="s">
        <v>773</v>
      </c>
      <c r="E675" s="134"/>
      <c r="F675" s="134">
        <f>40945378+113063164</f>
        <v>154008542</v>
      </c>
      <c r="G675" s="134"/>
      <c r="H675" s="135">
        <v>80111600</v>
      </c>
      <c r="I675" s="136" t="s">
        <v>758</v>
      </c>
      <c r="J675" s="150">
        <v>1</v>
      </c>
      <c r="K675" s="150">
        <v>1</v>
      </c>
      <c r="L675" s="150">
        <v>12</v>
      </c>
      <c r="M675" s="132">
        <v>1</v>
      </c>
      <c r="N675" s="140" t="s">
        <v>216</v>
      </c>
      <c r="O675" s="141" t="str">
        <f>IF(ISBLANK(N675),"",VLOOKUP(N675,[28]Parámetros!$G$2:$H$23,2,FALSE))</f>
        <v>Contratación directa.</v>
      </c>
      <c r="P675" s="142">
        <v>1</v>
      </c>
      <c r="Q675" s="143">
        <f t="shared" si="111"/>
        <v>154008542</v>
      </c>
      <c r="R675" s="143">
        <f t="shared" si="112"/>
        <v>154008542</v>
      </c>
      <c r="S675" s="256">
        <v>0</v>
      </c>
      <c r="T675" s="140">
        <v>0</v>
      </c>
      <c r="U675" s="145" t="str">
        <f t="shared" si="127"/>
        <v>SUBDIRECCION DE GESTION CONTRACTUAL</v>
      </c>
      <c r="V675" s="132" t="str">
        <f t="shared" si="128"/>
        <v>CO-DC</v>
      </c>
      <c r="W675" s="145" t="str">
        <f t="shared" si="129"/>
        <v>Distrito Capital de Bogotá</v>
      </c>
      <c r="X675" s="146" t="s">
        <v>759</v>
      </c>
      <c r="Y675" s="132">
        <v>2427400</v>
      </c>
      <c r="Z675" s="148" t="s">
        <v>760</v>
      </c>
    </row>
    <row r="676" spans="1:26" s="7" customFormat="1" ht="12.75" customHeight="1" x14ac:dyDescent="0.2">
      <c r="A676" s="132" t="s">
        <v>756</v>
      </c>
      <c r="B676" s="132">
        <v>15</v>
      </c>
      <c r="C676" s="133" t="s">
        <v>796</v>
      </c>
      <c r="D676" s="133" t="s">
        <v>774</v>
      </c>
      <c r="E676" s="134"/>
      <c r="F676" s="134">
        <f>49927238+83123639</f>
        <v>133050877</v>
      </c>
      <c r="G676" s="134"/>
      <c r="H676" s="135">
        <v>80111600</v>
      </c>
      <c r="I676" s="136" t="s">
        <v>758</v>
      </c>
      <c r="J676" s="150">
        <v>1</v>
      </c>
      <c r="K676" s="150">
        <v>1</v>
      </c>
      <c r="L676" s="150">
        <v>12</v>
      </c>
      <c r="M676" s="132">
        <v>1</v>
      </c>
      <c r="N676" s="140" t="s">
        <v>216</v>
      </c>
      <c r="O676" s="141" t="str">
        <f>IF(ISBLANK(N676),"",VLOOKUP(N676,[28]Parámetros!$G$2:$H$23,2,FALSE))</f>
        <v>Contratación directa.</v>
      </c>
      <c r="P676" s="142">
        <v>1</v>
      </c>
      <c r="Q676" s="143">
        <f t="shared" si="111"/>
        <v>133050877</v>
      </c>
      <c r="R676" s="143">
        <f t="shared" si="112"/>
        <v>133050877</v>
      </c>
      <c r="S676" s="256">
        <v>0</v>
      </c>
      <c r="T676" s="140">
        <v>0</v>
      </c>
      <c r="U676" s="145" t="str">
        <f t="shared" si="127"/>
        <v>SUBDIRECCION DE GESTION CONTRACTUAL</v>
      </c>
      <c r="V676" s="132" t="str">
        <f t="shared" si="128"/>
        <v>CO-DC</v>
      </c>
      <c r="W676" s="145" t="str">
        <f t="shared" si="129"/>
        <v>Distrito Capital de Bogotá</v>
      </c>
      <c r="X676" s="146" t="s">
        <v>759</v>
      </c>
      <c r="Y676" s="132">
        <v>2427400</v>
      </c>
      <c r="Z676" s="148" t="s">
        <v>760</v>
      </c>
    </row>
    <row r="677" spans="1:26" s="7" customFormat="1" ht="12.75" customHeight="1" x14ac:dyDescent="0.2">
      <c r="A677" s="132" t="s">
        <v>756</v>
      </c>
      <c r="B677" s="132">
        <v>16</v>
      </c>
      <c r="C677" s="133" t="s">
        <v>796</v>
      </c>
      <c r="D677" s="133" t="s">
        <v>775</v>
      </c>
      <c r="E677" s="134"/>
      <c r="F677" s="134">
        <v>8218102</v>
      </c>
      <c r="G677" s="134"/>
      <c r="H677" s="135">
        <v>80111600</v>
      </c>
      <c r="I677" s="136" t="s">
        <v>758</v>
      </c>
      <c r="J677" s="150">
        <v>1</v>
      </c>
      <c r="K677" s="150">
        <v>1</v>
      </c>
      <c r="L677" s="150">
        <v>12</v>
      </c>
      <c r="M677" s="132">
        <v>1</v>
      </c>
      <c r="N677" s="140" t="s">
        <v>216</v>
      </c>
      <c r="O677" s="141" t="str">
        <f>IF(ISBLANK(N677),"",VLOOKUP(N677,[28]Parámetros!$G$2:$H$23,2,FALSE))</f>
        <v>Contratación directa.</v>
      </c>
      <c r="P677" s="142">
        <v>1</v>
      </c>
      <c r="Q677" s="143">
        <f t="shared" si="111"/>
        <v>8218102</v>
      </c>
      <c r="R677" s="143">
        <f t="shared" si="112"/>
        <v>8218102</v>
      </c>
      <c r="S677" s="256">
        <v>0</v>
      </c>
      <c r="T677" s="140">
        <v>0</v>
      </c>
      <c r="U677" s="145" t="str">
        <f t="shared" si="127"/>
        <v>SUBDIRECCION DE GESTION CONTRACTUAL</v>
      </c>
      <c r="V677" s="132" t="str">
        <f t="shared" si="128"/>
        <v>CO-DC</v>
      </c>
      <c r="W677" s="145" t="str">
        <f t="shared" si="129"/>
        <v>Distrito Capital de Bogotá</v>
      </c>
      <c r="X677" s="146" t="s">
        <v>759</v>
      </c>
      <c r="Y677" s="132">
        <v>2427400</v>
      </c>
      <c r="Z677" s="148" t="s">
        <v>760</v>
      </c>
    </row>
    <row r="678" spans="1:26" s="7" customFormat="1" ht="12.75" customHeight="1" x14ac:dyDescent="0.2">
      <c r="A678" s="132" t="s">
        <v>756</v>
      </c>
      <c r="B678" s="132">
        <v>17</v>
      </c>
      <c r="C678" s="133" t="s">
        <v>796</v>
      </c>
      <c r="D678" s="133" t="s">
        <v>776</v>
      </c>
      <c r="E678" s="134"/>
      <c r="F678" s="134">
        <v>27296919</v>
      </c>
      <c r="G678" s="134"/>
      <c r="H678" s="135">
        <v>80111600</v>
      </c>
      <c r="I678" s="136" t="s">
        <v>758</v>
      </c>
      <c r="J678" s="150">
        <v>1</v>
      </c>
      <c r="K678" s="150">
        <v>1</v>
      </c>
      <c r="L678" s="150">
        <v>12</v>
      </c>
      <c r="M678" s="132">
        <v>1</v>
      </c>
      <c r="N678" s="140" t="s">
        <v>216</v>
      </c>
      <c r="O678" s="141" t="str">
        <f>IF(ISBLANK(N678),"",VLOOKUP(N678,[28]Parámetros!$G$2:$H$23,2,FALSE))</f>
        <v>Contratación directa.</v>
      </c>
      <c r="P678" s="142">
        <v>1</v>
      </c>
      <c r="Q678" s="143">
        <f t="shared" si="111"/>
        <v>27296919</v>
      </c>
      <c r="R678" s="143">
        <f t="shared" si="112"/>
        <v>27296919</v>
      </c>
      <c r="S678" s="256">
        <v>0</v>
      </c>
      <c r="T678" s="140">
        <v>0</v>
      </c>
      <c r="U678" s="145" t="str">
        <f t="shared" si="127"/>
        <v>SUBDIRECCION DE GESTION CONTRACTUAL</v>
      </c>
      <c r="V678" s="132" t="str">
        <f t="shared" si="128"/>
        <v>CO-DC</v>
      </c>
      <c r="W678" s="145" t="str">
        <f t="shared" si="129"/>
        <v>Distrito Capital de Bogotá</v>
      </c>
      <c r="X678" s="146" t="s">
        <v>759</v>
      </c>
      <c r="Y678" s="132">
        <v>2427400</v>
      </c>
      <c r="Z678" s="148" t="s">
        <v>760</v>
      </c>
    </row>
    <row r="679" spans="1:26" s="7" customFormat="1" ht="12.75" customHeight="1" x14ac:dyDescent="0.2">
      <c r="A679" s="132" t="s">
        <v>756</v>
      </c>
      <c r="B679" s="132">
        <v>18</v>
      </c>
      <c r="C679" s="133" t="s">
        <v>796</v>
      </c>
      <c r="D679" s="133" t="s">
        <v>777</v>
      </c>
      <c r="E679" s="134"/>
      <c r="F679" s="134">
        <v>33284820</v>
      </c>
      <c r="G679" s="134"/>
      <c r="H679" s="135">
        <v>80111600</v>
      </c>
      <c r="I679" s="136" t="s">
        <v>758</v>
      </c>
      <c r="J679" s="150">
        <v>1</v>
      </c>
      <c r="K679" s="150">
        <v>1</v>
      </c>
      <c r="L679" s="150">
        <v>12</v>
      </c>
      <c r="M679" s="132">
        <v>1</v>
      </c>
      <c r="N679" s="140" t="s">
        <v>216</v>
      </c>
      <c r="O679" s="141" t="str">
        <f>IF(ISBLANK(N679),"",VLOOKUP(N679,[28]Parámetros!$G$2:$H$23,2,FALSE))</f>
        <v>Contratación directa.</v>
      </c>
      <c r="P679" s="142">
        <v>1</v>
      </c>
      <c r="Q679" s="143">
        <f t="shared" si="111"/>
        <v>33284820</v>
      </c>
      <c r="R679" s="143">
        <f t="shared" si="112"/>
        <v>33284820</v>
      </c>
      <c r="S679" s="256">
        <v>0</v>
      </c>
      <c r="T679" s="140">
        <v>0</v>
      </c>
      <c r="U679" s="145" t="str">
        <f t="shared" si="127"/>
        <v>SUBDIRECCION DE GESTION CONTRACTUAL</v>
      </c>
      <c r="V679" s="132" t="str">
        <f t="shared" si="128"/>
        <v>CO-DC</v>
      </c>
      <c r="W679" s="145" t="str">
        <f t="shared" si="129"/>
        <v>Distrito Capital de Bogotá</v>
      </c>
      <c r="X679" s="146" t="s">
        <v>759</v>
      </c>
      <c r="Y679" s="132">
        <v>2427400</v>
      </c>
      <c r="Z679" s="148" t="s">
        <v>760</v>
      </c>
    </row>
    <row r="680" spans="1:26" s="7" customFormat="1" ht="12.75" customHeight="1" x14ac:dyDescent="0.2">
      <c r="A680" s="132" t="s">
        <v>756</v>
      </c>
      <c r="B680" s="132">
        <v>19</v>
      </c>
      <c r="C680" s="133" t="s">
        <v>796</v>
      </c>
      <c r="D680" s="133" t="s">
        <v>778</v>
      </c>
      <c r="E680" s="134"/>
      <c r="F680" s="134">
        <v>12327150</v>
      </c>
      <c r="G680" s="134"/>
      <c r="H680" s="135">
        <v>80111600</v>
      </c>
      <c r="I680" s="136" t="s">
        <v>758</v>
      </c>
      <c r="J680" s="150">
        <v>1</v>
      </c>
      <c r="K680" s="150">
        <v>1</v>
      </c>
      <c r="L680" s="150">
        <v>12</v>
      </c>
      <c r="M680" s="132">
        <v>1</v>
      </c>
      <c r="N680" s="140" t="s">
        <v>216</v>
      </c>
      <c r="O680" s="141" t="str">
        <f>IF(ISBLANK(N680),"",VLOOKUP(N680,[28]Parámetros!$G$2:$H$23,2,FALSE))</f>
        <v>Contratación directa.</v>
      </c>
      <c r="P680" s="142">
        <v>1</v>
      </c>
      <c r="Q680" s="143">
        <f t="shared" si="111"/>
        <v>12327150</v>
      </c>
      <c r="R680" s="143">
        <f t="shared" si="112"/>
        <v>12327150</v>
      </c>
      <c r="S680" s="256">
        <v>0</v>
      </c>
      <c r="T680" s="140">
        <v>0</v>
      </c>
      <c r="U680" s="145" t="str">
        <f t="shared" si="127"/>
        <v>SUBDIRECCION DE GESTION CONTRACTUAL</v>
      </c>
      <c r="V680" s="132" t="str">
        <f t="shared" si="128"/>
        <v>CO-DC</v>
      </c>
      <c r="W680" s="145" t="str">
        <f t="shared" si="129"/>
        <v>Distrito Capital de Bogotá</v>
      </c>
      <c r="X680" s="146" t="s">
        <v>759</v>
      </c>
      <c r="Y680" s="132">
        <v>2427400</v>
      </c>
      <c r="Z680" s="148" t="s">
        <v>760</v>
      </c>
    </row>
    <row r="681" spans="1:26" s="7" customFormat="1" ht="12.75" customHeight="1" x14ac:dyDescent="0.2">
      <c r="A681" s="132" t="s">
        <v>756</v>
      </c>
      <c r="B681" s="132">
        <v>20</v>
      </c>
      <c r="C681" s="133" t="s">
        <v>796</v>
      </c>
      <c r="D681" s="133" t="s">
        <v>779</v>
      </c>
      <c r="E681" s="134"/>
      <c r="F681" s="134">
        <v>40945375</v>
      </c>
      <c r="G681" s="134"/>
      <c r="H681" s="135">
        <v>80111600</v>
      </c>
      <c r="I681" s="136" t="s">
        <v>758</v>
      </c>
      <c r="J681" s="150">
        <v>1</v>
      </c>
      <c r="K681" s="150">
        <v>1</v>
      </c>
      <c r="L681" s="150">
        <v>12</v>
      </c>
      <c r="M681" s="132">
        <v>1</v>
      </c>
      <c r="N681" s="140" t="s">
        <v>216</v>
      </c>
      <c r="O681" s="141" t="str">
        <f>IF(ISBLANK(N681),"",VLOOKUP(N681,[28]Parámetros!$G$2:$H$23,2,FALSE))</f>
        <v>Contratación directa.</v>
      </c>
      <c r="P681" s="142">
        <v>1</v>
      </c>
      <c r="Q681" s="143">
        <f t="shared" si="111"/>
        <v>40945375</v>
      </c>
      <c r="R681" s="143">
        <f t="shared" si="112"/>
        <v>40945375</v>
      </c>
      <c r="S681" s="256">
        <v>0</v>
      </c>
      <c r="T681" s="140">
        <v>0</v>
      </c>
      <c r="U681" s="145" t="str">
        <f t="shared" si="127"/>
        <v>SUBDIRECCION DE GESTION CONTRACTUAL</v>
      </c>
      <c r="V681" s="132" t="str">
        <f t="shared" si="128"/>
        <v>CO-DC</v>
      </c>
      <c r="W681" s="145" t="str">
        <f t="shared" si="129"/>
        <v>Distrito Capital de Bogotá</v>
      </c>
      <c r="X681" s="146" t="s">
        <v>759</v>
      </c>
      <c r="Y681" s="132">
        <v>2427400</v>
      </c>
      <c r="Z681" s="148" t="s">
        <v>760</v>
      </c>
    </row>
    <row r="682" spans="1:26" s="7" customFormat="1" ht="12.75" customHeight="1" x14ac:dyDescent="0.2">
      <c r="A682" s="132" t="s">
        <v>756</v>
      </c>
      <c r="B682" s="132">
        <v>21</v>
      </c>
      <c r="C682" s="133" t="s">
        <v>796</v>
      </c>
      <c r="D682" s="133" t="s">
        <v>780</v>
      </c>
      <c r="E682" s="134"/>
      <c r="F682" s="134">
        <v>49927238</v>
      </c>
      <c r="G682" s="134"/>
      <c r="H682" s="135">
        <v>80111600</v>
      </c>
      <c r="I682" s="136" t="s">
        <v>758</v>
      </c>
      <c r="J682" s="150">
        <v>1</v>
      </c>
      <c r="K682" s="150">
        <v>1</v>
      </c>
      <c r="L682" s="150">
        <v>12</v>
      </c>
      <c r="M682" s="132">
        <v>1</v>
      </c>
      <c r="N682" s="140" t="s">
        <v>216</v>
      </c>
      <c r="O682" s="141" t="str">
        <f>IF(ISBLANK(N682),"",VLOOKUP(N682,[28]Parámetros!$G$2:$H$23,2,FALSE))</f>
        <v>Contratación directa.</v>
      </c>
      <c r="P682" s="142">
        <v>1</v>
      </c>
      <c r="Q682" s="143">
        <f t="shared" si="111"/>
        <v>49927238</v>
      </c>
      <c r="R682" s="143">
        <f t="shared" si="112"/>
        <v>49927238</v>
      </c>
      <c r="S682" s="256">
        <v>0</v>
      </c>
      <c r="T682" s="140">
        <v>0</v>
      </c>
      <c r="U682" s="145" t="str">
        <f t="shared" si="127"/>
        <v>SUBDIRECCION DE GESTION CONTRACTUAL</v>
      </c>
      <c r="V682" s="132" t="str">
        <f t="shared" si="128"/>
        <v>CO-DC</v>
      </c>
      <c r="W682" s="145" t="str">
        <f t="shared" si="129"/>
        <v>Distrito Capital de Bogotá</v>
      </c>
      <c r="X682" s="146" t="s">
        <v>759</v>
      </c>
      <c r="Y682" s="132">
        <v>2427400</v>
      </c>
      <c r="Z682" s="148" t="s">
        <v>760</v>
      </c>
    </row>
    <row r="683" spans="1:26" s="7" customFormat="1" ht="12.75" customHeight="1" x14ac:dyDescent="0.2">
      <c r="A683" s="132" t="s">
        <v>756</v>
      </c>
      <c r="B683" s="132">
        <v>22</v>
      </c>
      <c r="C683" s="133" t="s">
        <v>796</v>
      </c>
      <c r="D683" s="133" t="s">
        <v>781</v>
      </c>
      <c r="E683" s="134"/>
      <c r="F683" s="134">
        <v>8218102</v>
      </c>
      <c r="G683" s="134"/>
      <c r="H683" s="135">
        <v>80111600</v>
      </c>
      <c r="I683" s="136" t="s">
        <v>758</v>
      </c>
      <c r="J683" s="150">
        <v>1</v>
      </c>
      <c r="K683" s="150">
        <v>1</v>
      </c>
      <c r="L683" s="150">
        <v>12</v>
      </c>
      <c r="M683" s="132">
        <v>1</v>
      </c>
      <c r="N683" s="140" t="s">
        <v>216</v>
      </c>
      <c r="O683" s="141" t="str">
        <f>IF(ISBLANK(N683),"",VLOOKUP(N683,[28]Parámetros!$G$2:$H$23,2,FALSE))</f>
        <v>Contratación directa.</v>
      </c>
      <c r="P683" s="142">
        <v>1</v>
      </c>
      <c r="Q683" s="143">
        <f t="shared" ref="Q683:Q721" si="130">+E683+F683+G683</f>
        <v>8218102</v>
      </c>
      <c r="R683" s="143">
        <f t="shared" ref="R683:R721" si="131">+F683</f>
        <v>8218102</v>
      </c>
      <c r="S683" s="256">
        <v>0</v>
      </c>
      <c r="T683" s="140">
        <v>0</v>
      </c>
      <c r="U683" s="145" t="str">
        <f t="shared" si="127"/>
        <v>SUBDIRECCION DE GESTION CONTRACTUAL</v>
      </c>
      <c r="V683" s="132" t="str">
        <f t="shared" si="128"/>
        <v>CO-DC</v>
      </c>
      <c r="W683" s="145" t="str">
        <f t="shared" si="129"/>
        <v>Distrito Capital de Bogotá</v>
      </c>
      <c r="X683" s="146" t="s">
        <v>759</v>
      </c>
      <c r="Y683" s="132">
        <v>2427400</v>
      </c>
      <c r="Z683" s="148" t="s">
        <v>760</v>
      </c>
    </row>
    <row r="684" spans="1:26" s="7" customFormat="1" ht="12.75" customHeight="1" x14ac:dyDescent="0.2">
      <c r="A684" s="132" t="s">
        <v>756</v>
      </c>
      <c r="B684" s="132">
        <v>23</v>
      </c>
      <c r="C684" s="133" t="s">
        <v>796</v>
      </c>
      <c r="D684" s="133" t="s">
        <v>782</v>
      </c>
      <c r="E684" s="134"/>
      <c r="F684" s="134">
        <v>27296919</v>
      </c>
      <c r="G684" s="134"/>
      <c r="H684" s="135">
        <v>80111600</v>
      </c>
      <c r="I684" s="136" t="s">
        <v>758</v>
      </c>
      <c r="J684" s="150">
        <v>1</v>
      </c>
      <c r="K684" s="150">
        <v>1</v>
      </c>
      <c r="L684" s="150">
        <v>12</v>
      </c>
      <c r="M684" s="132">
        <v>1</v>
      </c>
      <c r="N684" s="140" t="s">
        <v>216</v>
      </c>
      <c r="O684" s="141" t="str">
        <f>IF(ISBLANK(N684),"",VLOOKUP(N684,[28]Parámetros!$G$2:$H$23,2,FALSE))</f>
        <v>Contratación directa.</v>
      </c>
      <c r="P684" s="142">
        <v>1</v>
      </c>
      <c r="Q684" s="143">
        <f t="shared" si="130"/>
        <v>27296919</v>
      </c>
      <c r="R684" s="143">
        <f t="shared" si="131"/>
        <v>27296919</v>
      </c>
      <c r="S684" s="256">
        <v>0</v>
      </c>
      <c r="T684" s="140">
        <v>0</v>
      </c>
      <c r="U684" s="145" t="str">
        <f t="shared" si="127"/>
        <v>SUBDIRECCION DE GESTION CONTRACTUAL</v>
      </c>
      <c r="V684" s="132" t="str">
        <f t="shared" si="128"/>
        <v>CO-DC</v>
      </c>
      <c r="W684" s="145" t="str">
        <f t="shared" si="129"/>
        <v>Distrito Capital de Bogotá</v>
      </c>
      <c r="X684" s="146" t="s">
        <v>759</v>
      </c>
      <c r="Y684" s="132">
        <v>2427400</v>
      </c>
      <c r="Z684" s="148" t="s">
        <v>760</v>
      </c>
    </row>
    <row r="685" spans="1:26" s="7" customFormat="1" ht="12.75" customHeight="1" x14ac:dyDescent="0.2">
      <c r="A685" s="132" t="s">
        <v>756</v>
      </c>
      <c r="B685" s="132">
        <v>24</v>
      </c>
      <c r="C685" s="133" t="s">
        <v>796</v>
      </c>
      <c r="D685" s="133" t="s">
        <v>783</v>
      </c>
      <c r="E685" s="134"/>
      <c r="F685" s="134">
        <v>33284820</v>
      </c>
      <c r="G685" s="134"/>
      <c r="H685" s="135">
        <v>80111600</v>
      </c>
      <c r="I685" s="136" t="s">
        <v>758</v>
      </c>
      <c r="J685" s="150">
        <v>1</v>
      </c>
      <c r="K685" s="150">
        <v>1</v>
      </c>
      <c r="L685" s="150">
        <v>12</v>
      </c>
      <c r="M685" s="132">
        <v>1</v>
      </c>
      <c r="N685" s="140" t="s">
        <v>216</v>
      </c>
      <c r="O685" s="141" t="str">
        <f>IF(ISBLANK(N685),"",VLOOKUP(N685,[28]Parámetros!$G$2:$H$23,2,FALSE))</f>
        <v>Contratación directa.</v>
      </c>
      <c r="P685" s="142">
        <v>1</v>
      </c>
      <c r="Q685" s="143">
        <f t="shared" si="130"/>
        <v>33284820</v>
      </c>
      <c r="R685" s="143">
        <f t="shared" si="131"/>
        <v>33284820</v>
      </c>
      <c r="S685" s="256">
        <v>0</v>
      </c>
      <c r="T685" s="140">
        <v>0</v>
      </c>
      <c r="U685" s="145" t="str">
        <f t="shared" si="127"/>
        <v>SUBDIRECCION DE GESTION CONTRACTUAL</v>
      </c>
      <c r="V685" s="132" t="str">
        <f t="shared" si="128"/>
        <v>CO-DC</v>
      </c>
      <c r="W685" s="145" t="str">
        <f t="shared" si="129"/>
        <v>Distrito Capital de Bogotá</v>
      </c>
      <c r="X685" s="146" t="s">
        <v>759</v>
      </c>
      <c r="Y685" s="132">
        <v>2427400</v>
      </c>
      <c r="Z685" s="148" t="s">
        <v>760</v>
      </c>
    </row>
    <row r="686" spans="1:26" s="7" customFormat="1" ht="12.75" customHeight="1" x14ac:dyDescent="0.2">
      <c r="A686" s="132" t="s">
        <v>756</v>
      </c>
      <c r="B686" s="132">
        <v>25</v>
      </c>
      <c r="C686" s="133" t="s">
        <v>797</v>
      </c>
      <c r="D686" s="133" t="s">
        <v>773</v>
      </c>
      <c r="E686" s="134"/>
      <c r="F686" s="134">
        <f>57236447+16043580</f>
        <v>73280027</v>
      </c>
      <c r="G686" s="134"/>
      <c r="H686" s="135">
        <v>80111600</v>
      </c>
      <c r="I686" s="136" t="s">
        <v>758</v>
      </c>
      <c r="J686" s="150">
        <v>1</v>
      </c>
      <c r="K686" s="150">
        <v>1</v>
      </c>
      <c r="L686" s="150">
        <v>12</v>
      </c>
      <c r="M686" s="132">
        <v>1</v>
      </c>
      <c r="N686" s="140" t="s">
        <v>216</v>
      </c>
      <c r="O686" s="141" t="str">
        <f>IF(ISBLANK(N686),"",VLOOKUP(N686,[28]Parámetros!$G$2:$H$23,2,FALSE))</f>
        <v>Contratación directa.</v>
      </c>
      <c r="P686" s="142">
        <v>1</v>
      </c>
      <c r="Q686" s="143">
        <f t="shared" si="130"/>
        <v>73280027</v>
      </c>
      <c r="R686" s="143">
        <f t="shared" si="131"/>
        <v>73280027</v>
      </c>
      <c r="S686" s="256">
        <v>0</v>
      </c>
      <c r="T686" s="140">
        <v>0</v>
      </c>
      <c r="U686" s="145" t="str">
        <f t="shared" si="127"/>
        <v>SUBDIRECCION DE GESTION CONTRACTUAL</v>
      </c>
      <c r="V686" s="132" t="str">
        <f t="shared" si="128"/>
        <v>CO-DC</v>
      </c>
      <c r="W686" s="145" t="str">
        <f t="shared" si="129"/>
        <v>Distrito Capital de Bogotá</v>
      </c>
      <c r="X686" s="146" t="s">
        <v>759</v>
      </c>
      <c r="Y686" s="132">
        <v>2427400</v>
      </c>
      <c r="Z686" s="148" t="s">
        <v>760</v>
      </c>
    </row>
    <row r="687" spans="1:26" s="7" customFormat="1" ht="12.75" customHeight="1" x14ac:dyDescent="0.2">
      <c r="A687" s="132" t="s">
        <v>756</v>
      </c>
      <c r="B687" s="132">
        <v>26</v>
      </c>
      <c r="C687" s="133" t="s">
        <v>797</v>
      </c>
      <c r="D687" s="133" t="s">
        <v>776</v>
      </c>
      <c r="E687" s="134"/>
      <c r="F687" s="134">
        <v>38157629</v>
      </c>
      <c r="G687" s="134"/>
      <c r="H687" s="135">
        <v>80111600</v>
      </c>
      <c r="I687" s="136" t="s">
        <v>758</v>
      </c>
      <c r="J687" s="150">
        <v>1</v>
      </c>
      <c r="K687" s="150">
        <v>1</v>
      </c>
      <c r="L687" s="150">
        <v>12</v>
      </c>
      <c r="M687" s="132">
        <v>1</v>
      </c>
      <c r="N687" s="140" t="s">
        <v>216</v>
      </c>
      <c r="O687" s="141" t="str">
        <f>IF(ISBLANK(N687),"",VLOOKUP(N687,[28]Parámetros!$G$2:$H$23,2,FALSE))</f>
        <v>Contratación directa.</v>
      </c>
      <c r="P687" s="142">
        <v>1</v>
      </c>
      <c r="Q687" s="143">
        <f t="shared" si="130"/>
        <v>38157629</v>
      </c>
      <c r="R687" s="143">
        <f t="shared" si="131"/>
        <v>38157629</v>
      </c>
      <c r="S687" s="256">
        <v>0</v>
      </c>
      <c r="T687" s="140">
        <v>0</v>
      </c>
      <c r="U687" s="145" t="str">
        <f t="shared" si="127"/>
        <v>SUBDIRECCION DE GESTION CONTRACTUAL</v>
      </c>
      <c r="V687" s="132" t="str">
        <f t="shared" si="128"/>
        <v>CO-DC</v>
      </c>
      <c r="W687" s="145" t="str">
        <f t="shared" si="129"/>
        <v>Distrito Capital de Bogotá</v>
      </c>
      <c r="X687" s="146" t="s">
        <v>759</v>
      </c>
      <c r="Y687" s="132">
        <v>2427400</v>
      </c>
      <c r="Z687" s="148" t="s">
        <v>760</v>
      </c>
    </row>
    <row r="688" spans="1:26" s="7" customFormat="1" ht="12.75" customHeight="1" x14ac:dyDescent="0.2">
      <c r="A688" s="132" t="s">
        <v>756</v>
      </c>
      <c r="B688" s="132">
        <v>27</v>
      </c>
      <c r="C688" s="133" t="s">
        <v>797</v>
      </c>
      <c r="D688" s="133" t="s">
        <v>779</v>
      </c>
      <c r="E688" s="134"/>
      <c r="F688" s="134">
        <v>57236447</v>
      </c>
      <c r="G688" s="134"/>
      <c r="H688" s="135">
        <v>80111600</v>
      </c>
      <c r="I688" s="136" t="s">
        <v>758</v>
      </c>
      <c r="J688" s="150">
        <v>1</v>
      </c>
      <c r="K688" s="150">
        <v>1</v>
      </c>
      <c r="L688" s="150">
        <v>12</v>
      </c>
      <c r="M688" s="132">
        <v>1</v>
      </c>
      <c r="N688" s="140" t="s">
        <v>216</v>
      </c>
      <c r="O688" s="141" t="str">
        <f>IF(ISBLANK(N688),"",VLOOKUP(N688,[28]Parámetros!$G$2:$H$23,2,FALSE))</f>
        <v>Contratación directa.</v>
      </c>
      <c r="P688" s="142">
        <v>1</v>
      </c>
      <c r="Q688" s="143">
        <f t="shared" si="130"/>
        <v>57236447</v>
      </c>
      <c r="R688" s="143">
        <f t="shared" si="131"/>
        <v>57236447</v>
      </c>
      <c r="S688" s="256">
        <v>0</v>
      </c>
      <c r="T688" s="140">
        <v>0</v>
      </c>
      <c r="U688" s="145" t="str">
        <f t="shared" si="127"/>
        <v>SUBDIRECCION DE GESTION CONTRACTUAL</v>
      </c>
      <c r="V688" s="132" t="str">
        <f t="shared" si="128"/>
        <v>CO-DC</v>
      </c>
      <c r="W688" s="145" t="str">
        <f t="shared" si="129"/>
        <v>Distrito Capital de Bogotá</v>
      </c>
      <c r="X688" s="146" t="s">
        <v>759</v>
      </c>
      <c r="Y688" s="132">
        <v>2427400</v>
      </c>
      <c r="Z688" s="148" t="s">
        <v>760</v>
      </c>
    </row>
    <row r="689" spans="1:26" s="7" customFormat="1" ht="12.75" customHeight="1" x14ac:dyDescent="0.2">
      <c r="A689" s="132" t="s">
        <v>756</v>
      </c>
      <c r="B689" s="132">
        <v>28</v>
      </c>
      <c r="C689" s="133" t="s">
        <v>797</v>
      </c>
      <c r="D689" s="133" t="s">
        <v>782</v>
      </c>
      <c r="E689" s="134"/>
      <c r="F689" s="134">
        <v>38157629</v>
      </c>
      <c r="G689" s="134"/>
      <c r="H689" s="135">
        <v>80111600</v>
      </c>
      <c r="I689" s="136" t="s">
        <v>758</v>
      </c>
      <c r="J689" s="150">
        <v>1</v>
      </c>
      <c r="K689" s="150">
        <v>1</v>
      </c>
      <c r="L689" s="150">
        <v>12</v>
      </c>
      <c r="M689" s="132">
        <v>1</v>
      </c>
      <c r="N689" s="140" t="s">
        <v>216</v>
      </c>
      <c r="O689" s="141" t="str">
        <f>IF(ISBLANK(N689),"",VLOOKUP(N689,[28]Parámetros!$G$2:$H$23,2,FALSE))</f>
        <v>Contratación directa.</v>
      </c>
      <c r="P689" s="142">
        <v>1</v>
      </c>
      <c r="Q689" s="143">
        <f t="shared" si="130"/>
        <v>38157629</v>
      </c>
      <c r="R689" s="143">
        <f t="shared" si="131"/>
        <v>38157629</v>
      </c>
      <c r="S689" s="256">
        <v>0</v>
      </c>
      <c r="T689" s="140">
        <v>0</v>
      </c>
      <c r="U689" s="145" t="str">
        <f t="shared" si="127"/>
        <v>SUBDIRECCION DE GESTION CONTRACTUAL</v>
      </c>
      <c r="V689" s="132" t="str">
        <f t="shared" si="128"/>
        <v>CO-DC</v>
      </c>
      <c r="W689" s="145" t="str">
        <f t="shared" si="129"/>
        <v>Distrito Capital de Bogotá</v>
      </c>
      <c r="X689" s="146" t="s">
        <v>759</v>
      </c>
      <c r="Y689" s="132">
        <v>2427400</v>
      </c>
      <c r="Z689" s="148" t="s">
        <v>760</v>
      </c>
    </row>
    <row r="690" spans="1:26" s="7" customFormat="1" ht="12.75" customHeight="1" x14ac:dyDescent="0.2">
      <c r="A690" s="132" t="s">
        <v>756</v>
      </c>
      <c r="B690" s="132">
        <v>29</v>
      </c>
      <c r="C690" s="133" t="s">
        <v>790</v>
      </c>
      <c r="D690" s="133" t="s">
        <v>757</v>
      </c>
      <c r="E690" s="134"/>
      <c r="F690" s="134">
        <f>468091631-292593594</f>
        <v>175498037</v>
      </c>
      <c r="G690" s="134"/>
      <c r="H690" s="135" t="s">
        <v>791</v>
      </c>
      <c r="I690" s="136" t="s">
        <v>784</v>
      </c>
      <c r="J690" s="150">
        <v>1</v>
      </c>
      <c r="K690" s="150">
        <v>2</v>
      </c>
      <c r="L690" s="150">
        <v>10</v>
      </c>
      <c r="M690" s="132">
        <v>1</v>
      </c>
      <c r="N690" s="140" t="s">
        <v>36</v>
      </c>
      <c r="O690" s="141" t="str">
        <f>IF(ISBLANK(N690),"",VLOOKUP(N690,[28]Parámetros!$G$2:$H$23,2,FALSE))</f>
        <v xml:space="preserve">Contratación directa (con ofertas) </v>
      </c>
      <c r="P690" s="142">
        <v>1</v>
      </c>
      <c r="Q690" s="143">
        <f t="shared" si="130"/>
        <v>175498037</v>
      </c>
      <c r="R690" s="143">
        <f t="shared" si="131"/>
        <v>175498037</v>
      </c>
      <c r="S690" s="256">
        <v>0</v>
      </c>
      <c r="T690" s="140">
        <v>0</v>
      </c>
      <c r="U690" s="145" t="str">
        <f t="shared" si="127"/>
        <v>SUBDIRECCION DE GESTION CONTRACTUAL</v>
      </c>
      <c r="V690" s="132" t="str">
        <f t="shared" si="128"/>
        <v>CO-DC</v>
      </c>
      <c r="W690" s="145" t="str">
        <f t="shared" si="129"/>
        <v>Distrito Capital de Bogotá</v>
      </c>
      <c r="X690" s="146" t="s">
        <v>759</v>
      </c>
      <c r="Y690" s="132">
        <v>2427400</v>
      </c>
      <c r="Z690" s="148" t="s">
        <v>760</v>
      </c>
    </row>
    <row r="691" spans="1:26" s="7" customFormat="1" ht="12.75" customHeight="1" x14ac:dyDescent="0.2">
      <c r="A691" s="132" t="s">
        <v>756</v>
      </c>
      <c r="B691" s="132">
        <v>30</v>
      </c>
      <c r="C691" s="133" t="s">
        <v>790</v>
      </c>
      <c r="D691" s="133" t="s">
        <v>761</v>
      </c>
      <c r="E691" s="134"/>
      <c r="F691" s="134">
        <f>312061078-282530593</f>
        <v>29530485</v>
      </c>
      <c r="G691" s="134"/>
      <c r="H691" s="135" t="s">
        <v>791</v>
      </c>
      <c r="I691" s="136" t="s">
        <v>784</v>
      </c>
      <c r="J691" s="150">
        <v>1</v>
      </c>
      <c r="K691" s="150">
        <v>2</v>
      </c>
      <c r="L691" s="150">
        <v>10</v>
      </c>
      <c r="M691" s="132">
        <v>1</v>
      </c>
      <c r="N691" s="140" t="s">
        <v>36</v>
      </c>
      <c r="O691" s="141" t="str">
        <f>IF(ISBLANK(N691),"",VLOOKUP(N691,[28]Parámetros!$G$2:$H$23,2,FALSE))</f>
        <v xml:space="preserve">Contratación directa (con ofertas) </v>
      </c>
      <c r="P691" s="142">
        <v>1</v>
      </c>
      <c r="Q691" s="143">
        <f t="shared" si="130"/>
        <v>29530485</v>
      </c>
      <c r="R691" s="143">
        <f t="shared" si="131"/>
        <v>29530485</v>
      </c>
      <c r="S691" s="256">
        <v>0</v>
      </c>
      <c r="T691" s="140">
        <v>0</v>
      </c>
      <c r="U691" s="145" t="str">
        <f t="shared" si="127"/>
        <v>SUBDIRECCION DE GESTION CONTRACTUAL</v>
      </c>
      <c r="V691" s="132" t="str">
        <f t="shared" si="128"/>
        <v>CO-DC</v>
      </c>
      <c r="W691" s="145" t="str">
        <f t="shared" si="129"/>
        <v>Distrito Capital de Bogotá</v>
      </c>
      <c r="X691" s="146" t="s">
        <v>759</v>
      </c>
      <c r="Y691" s="132">
        <v>2427400</v>
      </c>
      <c r="Z691" s="148" t="s">
        <v>760</v>
      </c>
    </row>
    <row r="692" spans="1:26" s="7" customFormat="1" ht="12.75" customHeight="1" x14ac:dyDescent="0.2">
      <c r="A692" s="132" t="s">
        <v>756</v>
      </c>
      <c r="B692" s="132">
        <v>31</v>
      </c>
      <c r="C692" s="133" t="s">
        <v>790</v>
      </c>
      <c r="D692" s="133" t="s">
        <v>762</v>
      </c>
      <c r="E692" s="134"/>
      <c r="F692" s="134">
        <f>468091618-234045809</f>
        <v>234045809</v>
      </c>
      <c r="G692" s="134"/>
      <c r="H692" s="135" t="s">
        <v>791</v>
      </c>
      <c r="I692" s="136" t="s">
        <v>784</v>
      </c>
      <c r="J692" s="150">
        <v>1</v>
      </c>
      <c r="K692" s="150">
        <v>2</v>
      </c>
      <c r="L692" s="150">
        <v>10</v>
      </c>
      <c r="M692" s="132">
        <v>1</v>
      </c>
      <c r="N692" s="140" t="s">
        <v>36</v>
      </c>
      <c r="O692" s="141" t="str">
        <f>IF(ISBLANK(N692),"",VLOOKUP(N692,[28]Parámetros!$G$2:$H$23,2,FALSE))</f>
        <v xml:space="preserve">Contratación directa (con ofertas) </v>
      </c>
      <c r="P692" s="142">
        <v>1</v>
      </c>
      <c r="Q692" s="143">
        <f t="shared" si="130"/>
        <v>234045809</v>
      </c>
      <c r="R692" s="143">
        <f t="shared" si="131"/>
        <v>234045809</v>
      </c>
      <c r="S692" s="256">
        <v>0</v>
      </c>
      <c r="T692" s="140">
        <v>0</v>
      </c>
      <c r="U692" s="145" t="str">
        <f t="shared" si="127"/>
        <v>SUBDIRECCION DE GESTION CONTRACTUAL</v>
      </c>
      <c r="V692" s="132" t="str">
        <f t="shared" si="128"/>
        <v>CO-DC</v>
      </c>
      <c r="W692" s="145" t="str">
        <f t="shared" si="129"/>
        <v>Distrito Capital de Bogotá</v>
      </c>
      <c r="X692" s="146" t="s">
        <v>759</v>
      </c>
      <c r="Y692" s="132">
        <v>2427400</v>
      </c>
      <c r="Z692" s="148" t="s">
        <v>760</v>
      </c>
    </row>
    <row r="693" spans="1:26" s="7" customFormat="1" ht="12.75" customHeight="1" x14ac:dyDescent="0.2">
      <c r="A693" s="132" t="s">
        <v>756</v>
      </c>
      <c r="B693" s="132">
        <v>32</v>
      </c>
      <c r="C693" s="133" t="s">
        <v>790</v>
      </c>
      <c r="D693" s="133" t="s">
        <v>763</v>
      </c>
      <c r="E693" s="134"/>
      <c r="F693" s="134">
        <f>312061078-156030540</f>
        <v>156030538</v>
      </c>
      <c r="G693" s="134"/>
      <c r="H693" s="135" t="s">
        <v>791</v>
      </c>
      <c r="I693" s="136" t="s">
        <v>784</v>
      </c>
      <c r="J693" s="150">
        <v>1</v>
      </c>
      <c r="K693" s="150">
        <v>2</v>
      </c>
      <c r="L693" s="150">
        <v>10</v>
      </c>
      <c r="M693" s="132">
        <v>1</v>
      </c>
      <c r="N693" s="140" t="s">
        <v>36</v>
      </c>
      <c r="O693" s="141" t="str">
        <f>IF(ISBLANK(N693),"",VLOOKUP(N693,[28]Parámetros!$G$2:$H$23,2,FALSE))</f>
        <v xml:space="preserve">Contratación directa (con ofertas) </v>
      </c>
      <c r="P693" s="142">
        <v>1</v>
      </c>
      <c r="Q693" s="143">
        <f t="shared" si="130"/>
        <v>156030538</v>
      </c>
      <c r="R693" s="143">
        <f t="shared" si="131"/>
        <v>156030538</v>
      </c>
      <c r="S693" s="256">
        <v>0</v>
      </c>
      <c r="T693" s="140">
        <v>0</v>
      </c>
      <c r="U693" s="145" t="str">
        <f t="shared" si="127"/>
        <v>SUBDIRECCION DE GESTION CONTRACTUAL</v>
      </c>
      <c r="V693" s="132" t="str">
        <f t="shared" si="128"/>
        <v>CO-DC</v>
      </c>
      <c r="W693" s="145" t="str">
        <f t="shared" si="129"/>
        <v>Distrito Capital de Bogotá</v>
      </c>
      <c r="X693" s="146" t="s">
        <v>759</v>
      </c>
      <c r="Y693" s="132">
        <v>2427400</v>
      </c>
      <c r="Z693" s="148" t="s">
        <v>760</v>
      </c>
    </row>
    <row r="694" spans="1:26" s="7" customFormat="1" ht="12.75" customHeight="1" x14ac:dyDescent="0.2">
      <c r="A694" s="132" t="s">
        <v>756</v>
      </c>
      <c r="B694" s="132">
        <v>33</v>
      </c>
      <c r="C694" s="133" t="s">
        <v>793</v>
      </c>
      <c r="D694" s="133" t="s">
        <v>764</v>
      </c>
      <c r="E694" s="134"/>
      <c r="F694" s="134">
        <f>743594206-490781977</f>
        <v>252812229</v>
      </c>
      <c r="G694" s="134"/>
      <c r="H694" s="135" t="s">
        <v>791</v>
      </c>
      <c r="I694" s="136" t="s">
        <v>784</v>
      </c>
      <c r="J694" s="150">
        <v>1</v>
      </c>
      <c r="K694" s="150">
        <v>2</v>
      </c>
      <c r="L694" s="150">
        <v>10</v>
      </c>
      <c r="M694" s="132">
        <v>1</v>
      </c>
      <c r="N694" s="140" t="s">
        <v>36</v>
      </c>
      <c r="O694" s="141" t="str">
        <f>IF(ISBLANK(N694),"",VLOOKUP(N694,[28]Parámetros!$G$2:$H$23,2,FALSE))</f>
        <v xml:space="preserve">Contratación directa (con ofertas) </v>
      </c>
      <c r="P694" s="142">
        <v>1</v>
      </c>
      <c r="Q694" s="143">
        <f t="shared" si="130"/>
        <v>252812229</v>
      </c>
      <c r="R694" s="143">
        <f t="shared" si="131"/>
        <v>252812229</v>
      </c>
      <c r="S694" s="144" t="s">
        <v>222</v>
      </c>
      <c r="T694" s="140">
        <v>0</v>
      </c>
      <c r="U694" s="145" t="str">
        <f t="shared" si="127"/>
        <v>SUBDIRECCION DE GESTION CONTRACTUAL</v>
      </c>
      <c r="V694" s="132" t="str">
        <f t="shared" si="128"/>
        <v>CO-DC</v>
      </c>
      <c r="W694" s="145" t="str">
        <f t="shared" si="129"/>
        <v>Distrito Capital de Bogotá</v>
      </c>
      <c r="X694" s="146" t="s">
        <v>759</v>
      </c>
      <c r="Y694" s="132">
        <v>2427400</v>
      </c>
      <c r="Z694" s="148" t="s">
        <v>760</v>
      </c>
    </row>
    <row r="695" spans="1:26" s="7" customFormat="1" ht="12.75" customHeight="1" x14ac:dyDescent="0.2">
      <c r="A695" s="132" t="s">
        <v>756</v>
      </c>
      <c r="B695" s="132">
        <v>34</v>
      </c>
      <c r="C695" s="133" t="s">
        <v>793</v>
      </c>
      <c r="D695" s="133" t="s">
        <v>765</v>
      </c>
      <c r="E695" s="134"/>
      <c r="F695" s="134">
        <f>495729478-247864739</f>
        <v>247864739</v>
      </c>
      <c r="G695" s="134"/>
      <c r="H695" s="135" t="s">
        <v>791</v>
      </c>
      <c r="I695" s="136" t="s">
        <v>784</v>
      </c>
      <c r="J695" s="150">
        <v>1</v>
      </c>
      <c r="K695" s="150">
        <v>2</v>
      </c>
      <c r="L695" s="150">
        <v>10</v>
      </c>
      <c r="M695" s="132">
        <v>1</v>
      </c>
      <c r="N695" s="140" t="s">
        <v>36</v>
      </c>
      <c r="O695" s="141" t="str">
        <f>IF(ISBLANK(N695),"",VLOOKUP(N695,[28]Parámetros!$G$2:$H$23,2,FALSE))</f>
        <v xml:space="preserve">Contratación directa (con ofertas) </v>
      </c>
      <c r="P695" s="142">
        <v>1</v>
      </c>
      <c r="Q695" s="143">
        <f t="shared" si="130"/>
        <v>247864739</v>
      </c>
      <c r="R695" s="143">
        <f t="shared" si="131"/>
        <v>247864739</v>
      </c>
      <c r="S695" s="144" t="s">
        <v>222</v>
      </c>
      <c r="T695" s="140">
        <v>0</v>
      </c>
      <c r="U695" s="145" t="str">
        <f t="shared" si="127"/>
        <v>SUBDIRECCION DE GESTION CONTRACTUAL</v>
      </c>
      <c r="V695" s="132" t="str">
        <f t="shared" si="128"/>
        <v>CO-DC</v>
      </c>
      <c r="W695" s="145" t="str">
        <f t="shared" si="129"/>
        <v>Distrito Capital de Bogotá</v>
      </c>
      <c r="X695" s="146" t="s">
        <v>759</v>
      </c>
      <c r="Y695" s="132">
        <v>2427400</v>
      </c>
      <c r="Z695" s="148" t="s">
        <v>760</v>
      </c>
    </row>
    <row r="696" spans="1:26" s="7" customFormat="1" ht="12.75" customHeight="1" x14ac:dyDescent="0.2">
      <c r="A696" s="132" t="s">
        <v>756</v>
      </c>
      <c r="B696" s="132">
        <v>35</v>
      </c>
      <c r="C696" s="133" t="s">
        <v>793</v>
      </c>
      <c r="D696" s="133" t="s">
        <v>766</v>
      </c>
      <c r="E696" s="134"/>
      <c r="F696" s="134">
        <f>743594207-371797104</f>
        <v>371797103</v>
      </c>
      <c r="G696" s="134"/>
      <c r="H696" s="135" t="s">
        <v>791</v>
      </c>
      <c r="I696" s="136" t="s">
        <v>784</v>
      </c>
      <c r="J696" s="150">
        <v>1</v>
      </c>
      <c r="K696" s="150">
        <v>2</v>
      </c>
      <c r="L696" s="150">
        <v>10</v>
      </c>
      <c r="M696" s="132">
        <v>1</v>
      </c>
      <c r="N696" s="140" t="s">
        <v>36</v>
      </c>
      <c r="O696" s="141" t="str">
        <f>IF(ISBLANK(N696),"",VLOOKUP(N696,[28]Parámetros!$G$2:$H$23,2,FALSE))</f>
        <v xml:space="preserve">Contratación directa (con ofertas) </v>
      </c>
      <c r="P696" s="142">
        <v>1</v>
      </c>
      <c r="Q696" s="143">
        <f t="shared" si="130"/>
        <v>371797103</v>
      </c>
      <c r="R696" s="143">
        <f t="shared" si="131"/>
        <v>371797103</v>
      </c>
      <c r="S696" s="144" t="s">
        <v>222</v>
      </c>
      <c r="T696" s="140">
        <v>0</v>
      </c>
      <c r="U696" s="145" t="str">
        <f t="shared" si="127"/>
        <v>SUBDIRECCION DE GESTION CONTRACTUAL</v>
      </c>
      <c r="V696" s="132" t="str">
        <f t="shared" si="128"/>
        <v>CO-DC</v>
      </c>
      <c r="W696" s="145" t="str">
        <f t="shared" si="129"/>
        <v>Distrito Capital de Bogotá</v>
      </c>
      <c r="X696" s="146" t="s">
        <v>759</v>
      </c>
      <c r="Y696" s="132">
        <v>2427400</v>
      </c>
      <c r="Z696" s="148" t="s">
        <v>760</v>
      </c>
    </row>
    <row r="697" spans="1:26" s="7" customFormat="1" ht="12.75" customHeight="1" x14ac:dyDescent="0.2">
      <c r="A697" s="132" t="s">
        <v>756</v>
      </c>
      <c r="B697" s="132">
        <v>36</v>
      </c>
      <c r="C697" s="133" t="s">
        <v>793</v>
      </c>
      <c r="D697" s="133" t="s">
        <v>767</v>
      </c>
      <c r="E697" s="134"/>
      <c r="F697" s="134">
        <f>495729478-247864739</f>
        <v>247864739</v>
      </c>
      <c r="G697" s="134"/>
      <c r="H697" s="135" t="s">
        <v>791</v>
      </c>
      <c r="I697" s="136" t="s">
        <v>784</v>
      </c>
      <c r="J697" s="150">
        <v>1</v>
      </c>
      <c r="K697" s="150">
        <v>2</v>
      </c>
      <c r="L697" s="150">
        <v>10</v>
      </c>
      <c r="M697" s="132">
        <v>1</v>
      </c>
      <c r="N697" s="140" t="s">
        <v>36</v>
      </c>
      <c r="O697" s="141" t="str">
        <f>IF(ISBLANK(N697),"",VLOOKUP(N697,[28]Parámetros!$G$2:$H$23,2,FALSE))</f>
        <v xml:space="preserve">Contratación directa (con ofertas) </v>
      </c>
      <c r="P697" s="142">
        <v>1</v>
      </c>
      <c r="Q697" s="143">
        <f t="shared" si="130"/>
        <v>247864739</v>
      </c>
      <c r="R697" s="143">
        <f t="shared" si="131"/>
        <v>247864739</v>
      </c>
      <c r="S697" s="144" t="s">
        <v>222</v>
      </c>
      <c r="T697" s="140">
        <v>0</v>
      </c>
      <c r="U697" s="145" t="str">
        <f t="shared" si="127"/>
        <v>SUBDIRECCION DE GESTION CONTRACTUAL</v>
      </c>
      <c r="V697" s="132" t="str">
        <f t="shared" si="128"/>
        <v>CO-DC</v>
      </c>
      <c r="W697" s="145" t="str">
        <f t="shared" si="129"/>
        <v>Distrito Capital de Bogotá</v>
      </c>
      <c r="X697" s="146" t="s">
        <v>759</v>
      </c>
      <c r="Y697" s="132">
        <v>2427400</v>
      </c>
      <c r="Z697" s="148" t="s">
        <v>760</v>
      </c>
    </row>
    <row r="698" spans="1:26" s="7" customFormat="1" ht="12.75" customHeight="1" x14ac:dyDescent="0.2">
      <c r="A698" s="132" t="s">
        <v>756</v>
      </c>
      <c r="B698" s="132">
        <v>37</v>
      </c>
      <c r="C698" s="133" t="s">
        <v>795</v>
      </c>
      <c r="D698" s="133" t="s">
        <v>768</v>
      </c>
      <c r="E698" s="134"/>
      <c r="F698" s="134">
        <v>162218545</v>
      </c>
      <c r="G698" s="134"/>
      <c r="H698" s="135" t="s">
        <v>791</v>
      </c>
      <c r="I698" s="136" t="s">
        <v>784</v>
      </c>
      <c r="J698" s="150">
        <v>1</v>
      </c>
      <c r="K698" s="150">
        <v>2</v>
      </c>
      <c r="L698" s="150">
        <v>11</v>
      </c>
      <c r="M698" s="132">
        <v>1</v>
      </c>
      <c r="N698" s="140" t="s">
        <v>36</v>
      </c>
      <c r="O698" s="141" t="str">
        <f>IF(ISBLANK(N698),"",VLOOKUP(N698,[28]Parámetros!$G$2:$H$23,2,FALSE))</f>
        <v xml:space="preserve">Contratación directa (con ofertas) </v>
      </c>
      <c r="P698" s="142">
        <v>1</v>
      </c>
      <c r="Q698" s="143">
        <f t="shared" si="130"/>
        <v>162218545</v>
      </c>
      <c r="R698" s="143">
        <f t="shared" si="131"/>
        <v>162218545</v>
      </c>
      <c r="S698" s="144" t="s">
        <v>222</v>
      </c>
      <c r="T698" s="140">
        <v>0</v>
      </c>
      <c r="U698" s="145" t="str">
        <f t="shared" si="127"/>
        <v>SUBDIRECCION DE GESTION CONTRACTUAL</v>
      </c>
      <c r="V698" s="132" t="str">
        <f t="shared" si="128"/>
        <v>CO-DC</v>
      </c>
      <c r="W698" s="145" t="str">
        <f t="shared" si="129"/>
        <v>Distrito Capital de Bogotá</v>
      </c>
      <c r="X698" s="146" t="s">
        <v>759</v>
      </c>
      <c r="Y698" s="132">
        <v>2427400</v>
      </c>
      <c r="Z698" s="148" t="s">
        <v>760</v>
      </c>
    </row>
    <row r="699" spans="1:26" s="7" customFormat="1" ht="12.75" customHeight="1" x14ac:dyDescent="0.2">
      <c r="A699" s="132" t="s">
        <v>756</v>
      </c>
      <c r="B699" s="132">
        <v>38</v>
      </c>
      <c r="C699" s="133" t="s">
        <v>795</v>
      </c>
      <c r="D699" s="133" t="s">
        <v>785</v>
      </c>
      <c r="E699" s="134"/>
      <c r="F699" s="134">
        <f>311310809-1</f>
        <v>311310808</v>
      </c>
      <c r="G699" s="134"/>
      <c r="H699" s="135" t="s">
        <v>791</v>
      </c>
      <c r="I699" s="136" t="s">
        <v>784</v>
      </c>
      <c r="J699" s="150">
        <v>1</v>
      </c>
      <c r="K699" s="150">
        <v>2</v>
      </c>
      <c r="L699" s="150">
        <v>10</v>
      </c>
      <c r="M699" s="132">
        <v>1</v>
      </c>
      <c r="N699" s="140" t="s">
        <v>36</v>
      </c>
      <c r="O699" s="141" t="str">
        <f>IF(ISBLANK(N699),"",VLOOKUP(N699,[28]Parámetros!$G$2:$H$23,2,FALSE))</f>
        <v xml:space="preserve">Contratación directa (con ofertas) </v>
      </c>
      <c r="P699" s="142">
        <v>1</v>
      </c>
      <c r="Q699" s="143">
        <f t="shared" si="130"/>
        <v>311310808</v>
      </c>
      <c r="R699" s="143">
        <f t="shared" si="131"/>
        <v>311310808</v>
      </c>
      <c r="S699" s="144" t="s">
        <v>222</v>
      </c>
      <c r="T699" s="140">
        <v>0</v>
      </c>
      <c r="U699" s="145" t="str">
        <f t="shared" si="127"/>
        <v>SUBDIRECCION DE GESTION CONTRACTUAL</v>
      </c>
      <c r="V699" s="132" t="str">
        <f t="shared" si="128"/>
        <v>CO-DC</v>
      </c>
      <c r="W699" s="145" t="str">
        <f t="shared" si="129"/>
        <v>Distrito Capital de Bogotá</v>
      </c>
      <c r="X699" s="146" t="s">
        <v>759</v>
      </c>
      <c r="Y699" s="132">
        <v>2427400</v>
      </c>
      <c r="Z699" s="148" t="s">
        <v>760</v>
      </c>
    </row>
    <row r="700" spans="1:26" s="7" customFormat="1" ht="12.75" customHeight="1" x14ac:dyDescent="0.2">
      <c r="A700" s="132" t="s">
        <v>756</v>
      </c>
      <c r="B700" s="132">
        <v>39</v>
      </c>
      <c r="C700" s="133" t="s">
        <v>795</v>
      </c>
      <c r="D700" s="133" t="s">
        <v>769</v>
      </c>
      <c r="E700" s="134"/>
      <c r="F700" s="134">
        <v>108145701</v>
      </c>
      <c r="G700" s="134"/>
      <c r="H700" s="135" t="s">
        <v>791</v>
      </c>
      <c r="I700" s="136" t="s">
        <v>784</v>
      </c>
      <c r="J700" s="150">
        <v>1</v>
      </c>
      <c r="K700" s="150">
        <v>2</v>
      </c>
      <c r="L700" s="150">
        <v>11</v>
      </c>
      <c r="M700" s="132">
        <v>1</v>
      </c>
      <c r="N700" s="140" t="s">
        <v>36</v>
      </c>
      <c r="O700" s="141" t="str">
        <f>IF(ISBLANK(N700),"",VLOOKUP(N700,[28]Parámetros!$G$2:$H$23,2,FALSE))</f>
        <v xml:space="preserve">Contratación directa (con ofertas) </v>
      </c>
      <c r="P700" s="142">
        <v>1</v>
      </c>
      <c r="Q700" s="143">
        <f t="shared" si="130"/>
        <v>108145701</v>
      </c>
      <c r="R700" s="143">
        <f t="shared" si="131"/>
        <v>108145701</v>
      </c>
      <c r="S700" s="144" t="s">
        <v>222</v>
      </c>
      <c r="T700" s="140">
        <v>0</v>
      </c>
      <c r="U700" s="145" t="str">
        <f t="shared" si="127"/>
        <v>SUBDIRECCION DE GESTION CONTRACTUAL</v>
      </c>
      <c r="V700" s="132" t="str">
        <f t="shared" si="128"/>
        <v>CO-DC</v>
      </c>
      <c r="W700" s="145" t="str">
        <f t="shared" si="129"/>
        <v>Distrito Capital de Bogotá</v>
      </c>
      <c r="X700" s="146" t="s">
        <v>759</v>
      </c>
      <c r="Y700" s="132">
        <v>2427400</v>
      </c>
      <c r="Z700" s="148" t="s">
        <v>760</v>
      </c>
    </row>
    <row r="701" spans="1:26" s="7" customFormat="1" ht="12.75" customHeight="1" x14ac:dyDescent="0.2">
      <c r="A701" s="132" t="s">
        <v>756</v>
      </c>
      <c r="B701" s="132">
        <v>40</v>
      </c>
      <c r="C701" s="133" t="s">
        <v>795</v>
      </c>
      <c r="D701" s="133" t="s">
        <v>786</v>
      </c>
      <c r="E701" s="134"/>
      <c r="F701" s="134">
        <v>207540539</v>
      </c>
      <c r="G701" s="134"/>
      <c r="H701" s="135" t="s">
        <v>791</v>
      </c>
      <c r="I701" s="136" t="s">
        <v>784</v>
      </c>
      <c r="J701" s="150">
        <v>1</v>
      </c>
      <c r="K701" s="150">
        <v>2</v>
      </c>
      <c r="L701" s="150">
        <v>11</v>
      </c>
      <c r="M701" s="132">
        <v>1</v>
      </c>
      <c r="N701" s="140" t="s">
        <v>36</v>
      </c>
      <c r="O701" s="141" t="str">
        <f>IF(ISBLANK(N701),"",VLOOKUP(N701,[28]Parámetros!$G$2:$H$23,2,FALSE))</f>
        <v xml:space="preserve">Contratación directa (con ofertas) </v>
      </c>
      <c r="P701" s="142">
        <v>1</v>
      </c>
      <c r="Q701" s="143">
        <f t="shared" si="130"/>
        <v>207540539</v>
      </c>
      <c r="R701" s="143">
        <f t="shared" si="131"/>
        <v>207540539</v>
      </c>
      <c r="S701" s="144" t="s">
        <v>222</v>
      </c>
      <c r="T701" s="140">
        <v>0</v>
      </c>
      <c r="U701" s="145" t="str">
        <f t="shared" si="127"/>
        <v>SUBDIRECCION DE GESTION CONTRACTUAL</v>
      </c>
      <c r="V701" s="132" t="str">
        <f t="shared" si="128"/>
        <v>CO-DC</v>
      </c>
      <c r="W701" s="145" t="str">
        <f t="shared" si="129"/>
        <v>Distrito Capital de Bogotá</v>
      </c>
      <c r="X701" s="146" t="s">
        <v>759</v>
      </c>
      <c r="Y701" s="132">
        <v>2427400</v>
      </c>
      <c r="Z701" s="148" t="s">
        <v>760</v>
      </c>
    </row>
    <row r="702" spans="1:26" s="7" customFormat="1" ht="12.75" customHeight="1" x14ac:dyDescent="0.2">
      <c r="A702" s="132" t="s">
        <v>756</v>
      </c>
      <c r="B702" s="132">
        <v>41</v>
      </c>
      <c r="C702" s="133" t="s">
        <v>795</v>
      </c>
      <c r="D702" s="133" t="s">
        <v>770</v>
      </c>
      <c r="E702" s="134"/>
      <c r="F702" s="134">
        <v>162218545</v>
      </c>
      <c r="G702" s="134"/>
      <c r="H702" s="135" t="s">
        <v>791</v>
      </c>
      <c r="I702" s="136" t="s">
        <v>784</v>
      </c>
      <c r="J702" s="150">
        <v>1</v>
      </c>
      <c r="K702" s="150">
        <v>2</v>
      </c>
      <c r="L702" s="150">
        <v>11</v>
      </c>
      <c r="M702" s="132">
        <v>1</v>
      </c>
      <c r="N702" s="140" t="s">
        <v>36</v>
      </c>
      <c r="O702" s="141" t="str">
        <f>IF(ISBLANK(N702),"",VLOOKUP(N702,[28]Parámetros!$G$2:$H$23,2,FALSE))</f>
        <v xml:space="preserve">Contratación directa (con ofertas) </v>
      </c>
      <c r="P702" s="142">
        <v>1</v>
      </c>
      <c r="Q702" s="143">
        <f t="shared" si="130"/>
        <v>162218545</v>
      </c>
      <c r="R702" s="143">
        <f t="shared" si="131"/>
        <v>162218545</v>
      </c>
      <c r="S702" s="144" t="s">
        <v>222</v>
      </c>
      <c r="T702" s="140">
        <v>0</v>
      </c>
      <c r="U702" s="145" t="str">
        <f t="shared" si="127"/>
        <v>SUBDIRECCION DE GESTION CONTRACTUAL</v>
      </c>
      <c r="V702" s="132" t="str">
        <f t="shared" si="128"/>
        <v>CO-DC</v>
      </c>
      <c r="W702" s="145" t="str">
        <f t="shared" si="129"/>
        <v>Distrito Capital de Bogotá</v>
      </c>
      <c r="X702" s="146" t="s">
        <v>759</v>
      </c>
      <c r="Y702" s="132">
        <v>2427400</v>
      </c>
      <c r="Z702" s="148" t="s">
        <v>760</v>
      </c>
    </row>
    <row r="703" spans="1:26" s="7" customFormat="1" ht="12.75" customHeight="1" x14ac:dyDescent="0.2">
      <c r="A703" s="132" t="s">
        <v>756</v>
      </c>
      <c r="B703" s="132">
        <v>42</v>
      </c>
      <c r="C703" s="133" t="s">
        <v>795</v>
      </c>
      <c r="D703" s="133" t="s">
        <v>787</v>
      </c>
      <c r="E703" s="134"/>
      <c r="F703" s="134">
        <v>311310809</v>
      </c>
      <c r="G703" s="134"/>
      <c r="H703" s="135" t="s">
        <v>791</v>
      </c>
      <c r="I703" s="136" t="s">
        <v>784</v>
      </c>
      <c r="J703" s="150">
        <v>1</v>
      </c>
      <c r="K703" s="150">
        <v>2</v>
      </c>
      <c r="L703" s="150">
        <v>11</v>
      </c>
      <c r="M703" s="132">
        <v>1</v>
      </c>
      <c r="N703" s="140" t="s">
        <v>36</v>
      </c>
      <c r="O703" s="141" t="str">
        <f>IF(ISBLANK(N703),"",VLOOKUP(N703,[28]Parámetros!$G$2:$H$23,2,FALSE))</f>
        <v xml:space="preserve">Contratación directa (con ofertas) </v>
      </c>
      <c r="P703" s="142">
        <v>1</v>
      </c>
      <c r="Q703" s="143">
        <f t="shared" si="130"/>
        <v>311310809</v>
      </c>
      <c r="R703" s="143">
        <f t="shared" si="131"/>
        <v>311310809</v>
      </c>
      <c r="S703" s="144" t="s">
        <v>222</v>
      </c>
      <c r="T703" s="140">
        <v>0</v>
      </c>
      <c r="U703" s="145" t="str">
        <f t="shared" si="127"/>
        <v>SUBDIRECCION DE GESTION CONTRACTUAL</v>
      </c>
      <c r="V703" s="132" t="str">
        <f t="shared" si="128"/>
        <v>CO-DC</v>
      </c>
      <c r="W703" s="145" t="str">
        <f t="shared" si="129"/>
        <v>Distrito Capital de Bogotá</v>
      </c>
      <c r="X703" s="146" t="s">
        <v>759</v>
      </c>
      <c r="Y703" s="132">
        <v>2427400</v>
      </c>
      <c r="Z703" s="148" t="s">
        <v>760</v>
      </c>
    </row>
    <row r="704" spans="1:26" s="7" customFormat="1" ht="12.75" customHeight="1" x14ac:dyDescent="0.2">
      <c r="A704" s="132" t="s">
        <v>756</v>
      </c>
      <c r="B704" s="132">
        <v>43</v>
      </c>
      <c r="C704" s="133" t="s">
        <v>795</v>
      </c>
      <c r="D704" s="133" t="s">
        <v>771</v>
      </c>
      <c r="E704" s="134"/>
      <c r="F704" s="134">
        <v>108145701</v>
      </c>
      <c r="G704" s="134"/>
      <c r="H704" s="135" t="s">
        <v>791</v>
      </c>
      <c r="I704" s="136" t="s">
        <v>784</v>
      </c>
      <c r="J704" s="150">
        <v>1</v>
      </c>
      <c r="K704" s="150">
        <v>2</v>
      </c>
      <c r="L704" s="150">
        <v>11</v>
      </c>
      <c r="M704" s="132">
        <v>1</v>
      </c>
      <c r="N704" s="140" t="s">
        <v>36</v>
      </c>
      <c r="O704" s="141" t="str">
        <f>IF(ISBLANK(N704),"",VLOOKUP(N704,[28]Parámetros!$G$2:$H$23,2,FALSE))</f>
        <v xml:space="preserve">Contratación directa (con ofertas) </v>
      </c>
      <c r="P704" s="142">
        <v>1</v>
      </c>
      <c r="Q704" s="143">
        <f t="shared" si="130"/>
        <v>108145701</v>
      </c>
      <c r="R704" s="143">
        <f t="shared" si="131"/>
        <v>108145701</v>
      </c>
      <c r="S704" s="144" t="s">
        <v>222</v>
      </c>
      <c r="T704" s="140">
        <v>0</v>
      </c>
      <c r="U704" s="145" t="str">
        <f t="shared" si="127"/>
        <v>SUBDIRECCION DE GESTION CONTRACTUAL</v>
      </c>
      <c r="V704" s="132" t="str">
        <f t="shared" si="128"/>
        <v>CO-DC</v>
      </c>
      <c r="W704" s="145" t="str">
        <f t="shared" si="129"/>
        <v>Distrito Capital de Bogotá</v>
      </c>
      <c r="X704" s="146" t="s">
        <v>759</v>
      </c>
      <c r="Y704" s="132">
        <v>2427400</v>
      </c>
      <c r="Z704" s="148" t="s">
        <v>760</v>
      </c>
    </row>
    <row r="705" spans="1:26" s="7" customFormat="1" ht="12.75" customHeight="1" x14ac:dyDescent="0.2">
      <c r="A705" s="132" t="s">
        <v>756</v>
      </c>
      <c r="B705" s="132">
        <v>44</v>
      </c>
      <c r="C705" s="133" t="s">
        <v>795</v>
      </c>
      <c r="D705" s="133" t="s">
        <v>788</v>
      </c>
      <c r="E705" s="134"/>
      <c r="F705" s="134">
        <f>207540539+1</f>
        <v>207540540</v>
      </c>
      <c r="G705" s="134"/>
      <c r="H705" s="135" t="s">
        <v>791</v>
      </c>
      <c r="I705" s="136" t="s">
        <v>784</v>
      </c>
      <c r="J705" s="150">
        <v>1</v>
      </c>
      <c r="K705" s="150">
        <v>2</v>
      </c>
      <c r="L705" s="150">
        <v>10</v>
      </c>
      <c r="M705" s="132">
        <v>1</v>
      </c>
      <c r="N705" s="140" t="s">
        <v>36</v>
      </c>
      <c r="O705" s="141" t="str">
        <f>IF(ISBLANK(N705),"",VLOOKUP(N705,[28]Parámetros!$G$2:$H$23,2,FALSE))</f>
        <v xml:space="preserve">Contratación directa (con ofertas) </v>
      </c>
      <c r="P705" s="142">
        <v>1</v>
      </c>
      <c r="Q705" s="143">
        <f t="shared" si="130"/>
        <v>207540540</v>
      </c>
      <c r="R705" s="143">
        <f t="shared" si="131"/>
        <v>207540540</v>
      </c>
      <c r="S705" s="144" t="s">
        <v>222</v>
      </c>
      <c r="T705" s="140">
        <v>0</v>
      </c>
      <c r="U705" s="145" t="str">
        <f t="shared" si="127"/>
        <v>SUBDIRECCION DE GESTION CONTRACTUAL</v>
      </c>
      <c r="V705" s="132" t="str">
        <f t="shared" si="128"/>
        <v>CO-DC</v>
      </c>
      <c r="W705" s="145" t="str">
        <f t="shared" si="129"/>
        <v>Distrito Capital de Bogotá</v>
      </c>
      <c r="X705" s="146" t="s">
        <v>759</v>
      </c>
      <c r="Y705" s="132">
        <v>2427400</v>
      </c>
      <c r="Z705" s="148" t="s">
        <v>760</v>
      </c>
    </row>
    <row r="706" spans="1:26" s="7" customFormat="1" ht="12.75" customHeight="1" x14ac:dyDescent="0.2">
      <c r="A706" s="132" t="s">
        <v>756</v>
      </c>
      <c r="B706" s="132">
        <v>45</v>
      </c>
      <c r="C706" s="133" t="s">
        <v>796</v>
      </c>
      <c r="D706" s="133" t="s">
        <v>772</v>
      </c>
      <c r="E706" s="134"/>
      <c r="F706" s="134">
        <f>70462610-60442512</f>
        <v>10020098</v>
      </c>
      <c r="G706" s="134"/>
      <c r="H706" s="135" t="s">
        <v>791</v>
      </c>
      <c r="I706" s="136" t="s">
        <v>784</v>
      </c>
      <c r="J706" s="150">
        <v>1</v>
      </c>
      <c r="K706" s="150">
        <v>2</v>
      </c>
      <c r="L706" s="150">
        <v>10</v>
      </c>
      <c r="M706" s="132">
        <v>1</v>
      </c>
      <c r="N706" s="140" t="s">
        <v>36</v>
      </c>
      <c r="O706" s="141" t="str">
        <f>IF(ISBLANK(N706),"",VLOOKUP(N706,[28]Parámetros!$G$2:$H$23,2,FALSE))</f>
        <v xml:space="preserve">Contratación directa (con ofertas) </v>
      </c>
      <c r="P706" s="142">
        <v>1</v>
      </c>
      <c r="Q706" s="143">
        <f t="shared" si="130"/>
        <v>10020098</v>
      </c>
      <c r="R706" s="143">
        <f t="shared" si="131"/>
        <v>10020098</v>
      </c>
      <c r="S706" s="144" t="s">
        <v>222</v>
      </c>
      <c r="T706" s="140">
        <v>0</v>
      </c>
      <c r="U706" s="145" t="str">
        <f t="shared" si="127"/>
        <v>SUBDIRECCION DE GESTION CONTRACTUAL</v>
      </c>
      <c r="V706" s="132" t="str">
        <f t="shared" si="128"/>
        <v>CO-DC</v>
      </c>
      <c r="W706" s="145" t="str">
        <f t="shared" si="129"/>
        <v>Distrito Capital de Bogotá</v>
      </c>
      <c r="X706" s="146" t="s">
        <v>789</v>
      </c>
      <c r="Y706" s="132">
        <v>2427400</v>
      </c>
      <c r="Z706" s="148" t="s">
        <v>760</v>
      </c>
    </row>
    <row r="707" spans="1:26" s="7" customFormat="1" ht="12.75" customHeight="1" x14ac:dyDescent="0.2">
      <c r="A707" s="132" t="s">
        <v>756</v>
      </c>
      <c r="B707" s="132">
        <v>46</v>
      </c>
      <c r="C707" s="133" t="s">
        <v>796</v>
      </c>
      <c r="D707" s="133" t="s">
        <v>773</v>
      </c>
      <c r="E707" s="134"/>
      <c r="F707" s="134">
        <f>234045807-172236443</f>
        <v>61809364</v>
      </c>
      <c r="G707" s="134"/>
      <c r="H707" s="135" t="s">
        <v>791</v>
      </c>
      <c r="I707" s="136" t="s">
        <v>784</v>
      </c>
      <c r="J707" s="150">
        <v>1</v>
      </c>
      <c r="K707" s="150">
        <v>2</v>
      </c>
      <c r="L707" s="150">
        <v>10</v>
      </c>
      <c r="M707" s="132">
        <v>1</v>
      </c>
      <c r="N707" s="140" t="s">
        <v>36</v>
      </c>
      <c r="O707" s="141" t="str">
        <f>IF(ISBLANK(N707),"",VLOOKUP(N707,[28]Parámetros!$G$2:$H$23,2,FALSE))</f>
        <v xml:space="preserve">Contratación directa (con ofertas) </v>
      </c>
      <c r="P707" s="142">
        <v>1</v>
      </c>
      <c r="Q707" s="143">
        <f t="shared" si="130"/>
        <v>61809364</v>
      </c>
      <c r="R707" s="143">
        <f t="shared" si="131"/>
        <v>61809364</v>
      </c>
      <c r="S707" s="144" t="s">
        <v>222</v>
      </c>
      <c r="T707" s="140">
        <v>0</v>
      </c>
      <c r="U707" s="145" t="str">
        <f t="shared" si="127"/>
        <v>SUBDIRECCION DE GESTION CONTRACTUAL</v>
      </c>
      <c r="V707" s="132" t="str">
        <f t="shared" si="128"/>
        <v>CO-DC</v>
      </c>
      <c r="W707" s="145" t="str">
        <f t="shared" si="129"/>
        <v>Distrito Capital de Bogotá</v>
      </c>
      <c r="X707" s="146" t="s">
        <v>789</v>
      </c>
      <c r="Y707" s="132">
        <v>2427400</v>
      </c>
      <c r="Z707" s="148" t="s">
        <v>760</v>
      </c>
    </row>
    <row r="708" spans="1:26" s="7" customFormat="1" ht="12.75" customHeight="1" x14ac:dyDescent="0.2">
      <c r="A708" s="132" t="s">
        <v>756</v>
      </c>
      <c r="B708" s="132">
        <v>47</v>
      </c>
      <c r="C708" s="133" t="s">
        <v>796</v>
      </c>
      <c r="D708" s="133" t="s">
        <v>774</v>
      </c>
      <c r="E708" s="134"/>
      <c r="F708" s="134">
        <f>285386564-193756461</f>
        <v>91630103</v>
      </c>
      <c r="G708" s="134"/>
      <c r="H708" s="135" t="s">
        <v>791</v>
      </c>
      <c r="I708" s="136" t="s">
        <v>784</v>
      </c>
      <c r="J708" s="150">
        <v>1</v>
      </c>
      <c r="K708" s="150">
        <v>2</v>
      </c>
      <c r="L708" s="150">
        <v>10</v>
      </c>
      <c r="M708" s="132">
        <v>1</v>
      </c>
      <c r="N708" s="140" t="s">
        <v>36</v>
      </c>
      <c r="O708" s="141" t="str">
        <f>IF(ISBLANK(N708),"",VLOOKUP(N708,[28]Parámetros!$G$2:$H$23,2,FALSE))</f>
        <v xml:space="preserve">Contratación directa (con ofertas) </v>
      </c>
      <c r="P708" s="142">
        <v>1</v>
      </c>
      <c r="Q708" s="143">
        <f t="shared" si="130"/>
        <v>91630103</v>
      </c>
      <c r="R708" s="143">
        <f t="shared" si="131"/>
        <v>91630103</v>
      </c>
      <c r="S708" s="144" t="s">
        <v>222</v>
      </c>
      <c r="T708" s="140">
        <v>0</v>
      </c>
      <c r="U708" s="145" t="str">
        <f t="shared" si="127"/>
        <v>SUBDIRECCION DE GESTION CONTRACTUAL</v>
      </c>
      <c r="V708" s="132" t="str">
        <f t="shared" si="128"/>
        <v>CO-DC</v>
      </c>
      <c r="W708" s="145" t="str">
        <f t="shared" si="129"/>
        <v>Distrito Capital de Bogotá</v>
      </c>
      <c r="X708" s="146" t="s">
        <v>789</v>
      </c>
      <c r="Y708" s="132">
        <v>2427400</v>
      </c>
      <c r="Z708" s="148" t="s">
        <v>760</v>
      </c>
    </row>
    <row r="709" spans="1:26" s="7" customFormat="1" ht="12.75" customHeight="1" x14ac:dyDescent="0.2">
      <c r="A709" s="132" t="s">
        <v>756</v>
      </c>
      <c r="B709" s="132">
        <v>48</v>
      </c>
      <c r="C709" s="133" t="s">
        <v>796</v>
      </c>
      <c r="D709" s="133" t="s">
        <v>775</v>
      </c>
      <c r="E709" s="134"/>
      <c r="F709" s="134">
        <f>46975071-23487536</f>
        <v>23487535</v>
      </c>
      <c r="G709" s="134"/>
      <c r="H709" s="135" t="s">
        <v>791</v>
      </c>
      <c r="I709" s="136" t="s">
        <v>784</v>
      </c>
      <c r="J709" s="150">
        <v>1</v>
      </c>
      <c r="K709" s="150">
        <v>2</v>
      </c>
      <c r="L709" s="150">
        <v>10</v>
      </c>
      <c r="M709" s="132">
        <v>1</v>
      </c>
      <c r="N709" s="140" t="s">
        <v>36</v>
      </c>
      <c r="O709" s="141" t="str">
        <f>IF(ISBLANK(N709),"",VLOOKUP(N709,[28]Parámetros!$G$2:$H$23,2,FALSE))</f>
        <v xml:space="preserve">Contratación directa (con ofertas) </v>
      </c>
      <c r="P709" s="142">
        <v>1</v>
      </c>
      <c r="Q709" s="143">
        <f t="shared" si="130"/>
        <v>23487535</v>
      </c>
      <c r="R709" s="143">
        <f t="shared" si="131"/>
        <v>23487535</v>
      </c>
      <c r="S709" s="144" t="s">
        <v>222</v>
      </c>
      <c r="T709" s="140">
        <v>0</v>
      </c>
      <c r="U709" s="145" t="str">
        <f t="shared" si="127"/>
        <v>SUBDIRECCION DE GESTION CONTRACTUAL</v>
      </c>
      <c r="V709" s="132" t="str">
        <f t="shared" si="128"/>
        <v>CO-DC</v>
      </c>
      <c r="W709" s="145" t="str">
        <f t="shared" si="129"/>
        <v>Distrito Capital de Bogotá</v>
      </c>
      <c r="X709" s="146" t="s">
        <v>789</v>
      </c>
      <c r="Y709" s="132">
        <v>2427400</v>
      </c>
      <c r="Z709" s="148" t="s">
        <v>760</v>
      </c>
    </row>
    <row r="710" spans="1:26" s="7" customFormat="1" ht="12.75" customHeight="1" x14ac:dyDescent="0.2">
      <c r="A710" s="132" t="s">
        <v>756</v>
      </c>
      <c r="B710" s="132">
        <v>49</v>
      </c>
      <c r="C710" s="133" t="s">
        <v>796</v>
      </c>
      <c r="D710" s="133" t="s">
        <v>776</v>
      </c>
      <c r="E710" s="134"/>
      <c r="F710" s="134">
        <f>156030538-78015269</f>
        <v>78015269</v>
      </c>
      <c r="G710" s="134"/>
      <c r="H710" s="135" t="s">
        <v>791</v>
      </c>
      <c r="I710" s="136" t="s">
        <v>784</v>
      </c>
      <c r="J710" s="150">
        <v>1</v>
      </c>
      <c r="K710" s="150">
        <v>2</v>
      </c>
      <c r="L710" s="150">
        <v>10</v>
      </c>
      <c r="M710" s="132">
        <v>1</v>
      </c>
      <c r="N710" s="140" t="s">
        <v>36</v>
      </c>
      <c r="O710" s="141" t="str">
        <f>IF(ISBLANK(N710),"",VLOOKUP(N710,[28]Parámetros!$G$2:$H$23,2,FALSE))</f>
        <v xml:space="preserve">Contratación directa (con ofertas) </v>
      </c>
      <c r="P710" s="142">
        <v>1</v>
      </c>
      <c r="Q710" s="143">
        <f t="shared" si="130"/>
        <v>78015269</v>
      </c>
      <c r="R710" s="143">
        <f t="shared" si="131"/>
        <v>78015269</v>
      </c>
      <c r="S710" s="144" t="s">
        <v>222</v>
      </c>
      <c r="T710" s="140">
        <v>0</v>
      </c>
      <c r="U710" s="145" t="str">
        <f t="shared" si="127"/>
        <v>SUBDIRECCION DE GESTION CONTRACTUAL</v>
      </c>
      <c r="V710" s="132" t="str">
        <f t="shared" si="128"/>
        <v>CO-DC</v>
      </c>
      <c r="W710" s="145" t="str">
        <f t="shared" si="129"/>
        <v>Distrito Capital de Bogotá</v>
      </c>
      <c r="X710" s="146" t="s">
        <v>789</v>
      </c>
      <c r="Y710" s="132">
        <v>2427400</v>
      </c>
      <c r="Z710" s="148" t="s">
        <v>760</v>
      </c>
    </row>
    <row r="711" spans="1:26" s="7" customFormat="1" ht="12.75" customHeight="1" x14ac:dyDescent="0.2">
      <c r="A711" s="132" t="s">
        <v>756</v>
      </c>
      <c r="B711" s="132">
        <v>50</v>
      </c>
      <c r="C711" s="133" t="s">
        <v>796</v>
      </c>
      <c r="D711" s="133" t="s">
        <v>777</v>
      </c>
      <c r="E711" s="134"/>
      <c r="F711" s="134">
        <f>190257716-95128858</f>
        <v>95128858</v>
      </c>
      <c r="G711" s="134"/>
      <c r="H711" s="135" t="s">
        <v>791</v>
      </c>
      <c r="I711" s="136" t="s">
        <v>784</v>
      </c>
      <c r="J711" s="150">
        <v>1</v>
      </c>
      <c r="K711" s="150">
        <v>2</v>
      </c>
      <c r="L711" s="150">
        <v>10</v>
      </c>
      <c r="M711" s="132">
        <v>1</v>
      </c>
      <c r="N711" s="140" t="s">
        <v>36</v>
      </c>
      <c r="O711" s="141" t="str">
        <f>IF(ISBLANK(N711),"",VLOOKUP(N711,[28]Parámetros!$G$2:$H$23,2,FALSE))</f>
        <v xml:space="preserve">Contratación directa (con ofertas) </v>
      </c>
      <c r="P711" s="142">
        <v>1</v>
      </c>
      <c r="Q711" s="143">
        <f t="shared" si="130"/>
        <v>95128858</v>
      </c>
      <c r="R711" s="143">
        <f t="shared" si="131"/>
        <v>95128858</v>
      </c>
      <c r="S711" s="144" t="s">
        <v>222</v>
      </c>
      <c r="T711" s="140">
        <v>0</v>
      </c>
      <c r="U711" s="145" t="str">
        <f t="shared" si="127"/>
        <v>SUBDIRECCION DE GESTION CONTRACTUAL</v>
      </c>
      <c r="V711" s="132" t="str">
        <f t="shared" si="128"/>
        <v>CO-DC</v>
      </c>
      <c r="W711" s="145" t="str">
        <f t="shared" si="129"/>
        <v>Distrito Capital de Bogotá</v>
      </c>
      <c r="X711" s="146" t="s">
        <v>789</v>
      </c>
      <c r="Y711" s="132">
        <v>2427400</v>
      </c>
      <c r="Z711" s="148" t="s">
        <v>760</v>
      </c>
    </row>
    <row r="712" spans="1:26" s="7" customFormat="1" ht="12.75" customHeight="1" x14ac:dyDescent="0.2">
      <c r="A712" s="132" t="s">
        <v>756</v>
      </c>
      <c r="B712" s="132">
        <v>51</v>
      </c>
      <c r="C712" s="133" t="s">
        <v>796</v>
      </c>
      <c r="D712" s="133" t="s">
        <v>778</v>
      </c>
      <c r="E712" s="134"/>
      <c r="F712" s="134">
        <f>70462610-35231305</f>
        <v>35231305</v>
      </c>
      <c r="G712" s="134"/>
      <c r="H712" s="135" t="s">
        <v>791</v>
      </c>
      <c r="I712" s="136" t="s">
        <v>784</v>
      </c>
      <c r="J712" s="150">
        <v>1</v>
      </c>
      <c r="K712" s="150">
        <v>2</v>
      </c>
      <c r="L712" s="150">
        <v>10</v>
      </c>
      <c r="M712" s="132">
        <v>1</v>
      </c>
      <c r="N712" s="140" t="s">
        <v>36</v>
      </c>
      <c r="O712" s="141" t="str">
        <f>IF(ISBLANK(N712),"",VLOOKUP(N712,[28]Parámetros!$G$2:$H$23,2,FALSE))</f>
        <v xml:space="preserve">Contratación directa (con ofertas) </v>
      </c>
      <c r="P712" s="142">
        <v>1</v>
      </c>
      <c r="Q712" s="143">
        <f t="shared" si="130"/>
        <v>35231305</v>
      </c>
      <c r="R712" s="143">
        <f t="shared" si="131"/>
        <v>35231305</v>
      </c>
      <c r="S712" s="144" t="s">
        <v>222</v>
      </c>
      <c r="T712" s="140">
        <v>0</v>
      </c>
      <c r="U712" s="145" t="str">
        <f t="shared" si="127"/>
        <v>SUBDIRECCION DE GESTION CONTRACTUAL</v>
      </c>
      <c r="V712" s="132" t="str">
        <f t="shared" si="128"/>
        <v>CO-DC</v>
      </c>
      <c r="W712" s="145" t="str">
        <f t="shared" si="129"/>
        <v>Distrito Capital de Bogotá</v>
      </c>
      <c r="X712" s="146" t="s">
        <v>789</v>
      </c>
      <c r="Y712" s="132">
        <v>2427400</v>
      </c>
      <c r="Z712" s="148" t="s">
        <v>760</v>
      </c>
    </row>
    <row r="713" spans="1:26" s="7" customFormat="1" ht="12.75" customHeight="1" x14ac:dyDescent="0.2">
      <c r="A713" s="132" t="s">
        <v>756</v>
      </c>
      <c r="B713" s="132">
        <v>52</v>
      </c>
      <c r="C713" s="133" t="s">
        <v>796</v>
      </c>
      <c r="D713" s="133" t="s">
        <v>779</v>
      </c>
      <c r="E713" s="134"/>
      <c r="F713" s="134">
        <f>234045810-117022905</f>
        <v>117022905</v>
      </c>
      <c r="G713" s="134"/>
      <c r="H713" s="135" t="s">
        <v>791</v>
      </c>
      <c r="I713" s="136" t="s">
        <v>784</v>
      </c>
      <c r="J713" s="150">
        <v>1</v>
      </c>
      <c r="K713" s="150">
        <v>2</v>
      </c>
      <c r="L713" s="150">
        <v>10</v>
      </c>
      <c r="M713" s="132">
        <v>1</v>
      </c>
      <c r="N713" s="140" t="s">
        <v>36</v>
      </c>
      <c r="O713" s="141" t="str">
        <f>IF(ISBLANK(N713),"",VLOOKUP(N713,[28]Parámetros!$G$2:$H$23,2,FALSE))</f>
        <v xml:space="preserve">Contratación directa (con ofertas) </v>
      </c>
      <c r="P713" s="142">
        <v>1</v>
      </c>
      <c r="Q713" s="143">
        <f t="shared" si="130"/>
        <v>117022905</v>
      </c>
      <c r="R713" s="143">
        <f t="shared" si="131"/>
        <v>117022905</v>
      </c>
      <c r="S713" s="144" t="s">
        <v>222</v>
      </c>
      <c r="T713" s="140">
        <v>0</v>
      </c>
      <c r="U713" s="145" t="str">
        <f t="shared" si="127"/>
        <v>SUBDIRECCION DE GESTION CONTRACTUAL</v>
      </c>
      <c r="V713" s="132" t="str">
        <f t="shared" si="128"/>
        <v>CO-DC</v>
      </c>
      <c r="W713" s="145" t="str">
        <f t="shared" si="129"/>
        <v>Distrito Capital de Bogotá</v>
      </c>
      <c r="X713" s="146" t="s">
        <v>789</v>
      </c>
      <c r="Y713" s="132">
        <v>2427400</v>
      </c>
      <c r="Z713" s="148" t="s">
        <v>760</v>
      </c>
    </row>
    <row r="714" spans="1:26" s="7" customFormat="1" ht="12.75" customHeight="1" x14ac:dyDescent="0.2">
      <c r="A714" s="132" t="s">
        <v>756</v>
      </c>
      <c r="B714" s="132">
        <v>53</v>
      </c>
      <c r="C714" s="133" t="s">
        <v>796</v>
      </c>
      <c r="D714" s="133" t="s">
        <v>780</v>
      </c>
      <c r="E714" s="134"/>
      <c r="F714" s="134">
        <f>285386566-142693283</f>
        <v>142693283</v>
      </c>
      <c r="G714" s="134"/>
      <c r="H714" s="135" t="s">
        <v>791</v>
      </c>
      <c r="I714" s="136" t="s">
        <v>784</v>
      </c>
      <c r="J714" s="150">
        <v>1</v>
      </c>
      <c r="K714" s="150">
        <v>2</v>
      </c>
      <c r="L714" s="150">
        <v>10</v>
      </c>
      <c r="M714" s="132">
        <v>1</v>
      </c>
      <c r="N714" s="140" t="s">
        <v>36</v>
      </c>
      <c r="O714" s="141" t="str">
        <f>IF(ISBLANK(N714),"",VLOOKUP(N714,[28]Parámetros!$G$2:$H$23,2,FALSE))</f>
        <v xml:space="preserve">Contratación directa (con ofertas) </v>
      </c>
      <c r="P714" s="142">
        <v>1</v>
      </c>
      <c r="Q714" s="143">
        <f t="shared" si="130"/>
        <v>142693283</v>
      </c>
      <c r="R714" s="143">
        <f t="shared" si="131"/>
        <v>142693283</v>
      </c>
      <c r="S714" s="144" t="s">
        <v>222</v>
      </c>
      <c r="T714" s="140">
        <v>0</v>
      </c>
      <c r="U714" s="145" t="str">
        <f t="shared" si="127"/>
        <v>SUBDIRECCION DE GESTION CONTRACTUAL</v>
      </c>
      <c r="V714" s="132" t="str">
        <f t="shared" si="128"/>
        <v>CO-DC</v>
      </c>
      <c r="W714" s="145" t="str">
        <f t="shared" si="129"/>
        <v>Distrito Capital de Bogotá</v>
      </c>
      <c r="X714" s="146" t="s">
        <v>789</v>
      </c>
      <c r="Y714" s="132">
        <v>2427400</v>
      </c>
      <c r="Z714" s="148" t="s">
        <v>760</v>
      </c>
    </row>
    <row r="715" spans="1:26" s="7" customFormat="1" ht="12.75" customHeight="1" x14ac:dyDescent="0.2">
      <c r="A715" s="132" t="s">
        <v>756</v>
      </c>
      <c r="B715" s="132">
        <v>54</v>
      </c>
      <c r="C715" s="133" t="s">
        <v>796</v>
      </c>
      <c r="D715" s="133" t="s">
        <v>781</v>
      </c>
      <c r="E715" s="134"/>
      <c r="F715" s="134">
        <f>46975071- 23487536</f>
        <v>23487535</v>
      </c>
      <c r="G715" s="134"/>
      <c r="H715" s="135" t="s">
        <v>791</v>
      </c>
      <c r="I715" s="136" t="s">
        <v>784</v>
      </c>
      <c r="J715" s="150">
        <v>1</v>
      </c>
      <c r="K715" s="150">
        <v>2</v>
      </c>
      <c r="L715" s="150">
        <v>10</v>
      </c>
      <c r="M715" s="132">
        <v>1</v>
      </c>
      <c r="N715" s="140" t="s">
        <v>36</v>
      </c>
      <c r="O715" s="141" t="str">
        <f>IF(ISBLANK(N715),"",VLOOKUP(N715,[28]Parámetros!$G$2:$H$23,2,FALSE))</f>
        <v xml:space="preserve">Contratación directa (con ofertas) </v>
      </c>
      <c r="P715" s="142">
        <v>1</v>
      </c>
      <c r="Q715" s="143">
        <f t="shared" si="130"/>
        <v>23487535</v>
      </c>
      <c r="R715" s="143">
        <f t="shared" si="131"/>
        <v>23487535</v>
      </c>
      <c r="S715" s="144" t="s">
        <v>222</v>
      </c>
      <c r="T715" s="140">
        <v>0</v>
      </c>
      <c r="U715" s="145" t="str">
        <f t="shared" si="127"/>
        <v>SUBDIRECCION DE GESTION CONTRACTUAL</v>
      </c>
      <c r="V715" s="132" t="str">
        <f t="shared" si="128"/>
        <v>CO-DC</v>
      </c>
      <c r="W715" s="145" t="str">
        <f t="shared" si="129"/>
        <v>Distrito Capital de Bogotá</v>
      </c>
      <c r="X715" s="146" t="s">
        <v>789</v>
      </c>
      <c r="Y715" s="132">
        <v>2427400</v>
      </c>
      <c r="Z715" s="148" t="s">
        <v>760</v>
      </c>
    </row>
    <row r="716" spans="1:26" s="7" customFormat="1" ht="12.75" customHeight="1" x14ac:dyDescent="0.2">
      <c r="A716" s="132" t="s">
        <v>756</v>
      </c>
      <c r="B716" s="132">
        <v>55</v>
      </c>
      <c r="C716" s="133" t="s">
        <v>796</v>
      </c>
      <c r="D716" s="133" t="s">
        <v>782</v>
      </c>
      <c r="E716" s="134"/>
      <c r="F716" s="134">
        <f>156030538- 78015269</f>
        <v>78015269</v>
      </c>
      <c r="G716" s="134"/>
      <c r="H716" s="135" t="s">
        <v>791</v>
      </c>
      <c r="I716" s="136" t="s">
        <v>784</v>
      </c>
      <c r="J716" s="150">
        <v>1</v>
      </c>
      <c r="K716" s="150">
        <v>2</v>
      </c>
      <c r="L716" s="150">
        <v>10</v>
      </c>
      <c r="M716" s="132">
        <v>1</v>
      </c>
      <c r="N716" s="140" t="s">
        <v>36</v>
      </c>
      <c r="O716" s="141" t="str">
        <f>IF(ISBLANK(N716),"",VLOOKUP(N716,[28]Parámetros!$G$2:$H$23,2,FALSE))</f>
        <v xml:space="preserve">Contratación directa (con ofertas) </v>
      </c>
      <c r="P716" s="142">
        <v>1</v>
      </c>
      <c r="Q716" s="143">
        <f t="shared" si="130"/>
        <v>78015269</v>
      </c>
      <c r="R716" s="143">
        <f t="shared" si="131"/>
        <v>78015269</v>
      </c>
      <c r="S716" s="144" t="s">
        <v>222</v>
      </c>
      <c r="T716" s="140">
        <v>0</v>
      </c>
      <c r="U716" s="145" t="str">
        <f t="shared" si="127"/>
        <v>SUBDIRECCION DE GESTION CONTRACTUAL</v>
      </c>
      <c r="V716" s="132" t="str">
        <f t="shared" si="128"/>
        <v>CO-DC</v>
      </c>
      <c r="W716" s="145" t="str">
        <f t="shared" si="129"/>
        <v>Distrito Capital de Bogotá</v>
      </c>
      <c r="X716" s="146" t="s">
        <v>789</v>
      </c>
      <c r="Y716" s="132">
        <v>2427400</v>
      </c>
      <c r="Z716" s="148" t="s">
        <v>760</v>
      </c>
    </row>
    <row r="717" spans="1:26" s="7" customFormat="1" ht="12.75" customHeight="1" x14ac:dyDescent="0.2">
      <c r="A717" s="132" t="s">
        <v>756</v>
      </c>
      <c r="B717" s="132">
        <v>56</v>
      </c>
      <c r="C717" s="133" t="s">
        <v>796</v>
      </c>
      <c r="D717" s="133" t="s">
        <v>783</v>
      </c>
      <c r="E717" s="134"/>
      <c r="F717" s="134">
        <f>190257716-95128858</f>
        <v>95128858</v>
      </c>
      <c r="G717" s="134"/>
      <c r="H717" s="135" t="s">
        <v>791</v>
      </c>
      <c r="I717" s="136" t="s">
        <v>784</v>
      </c>
      <c r="J717" s="150">
        <v>1</v>
      </c>
      <c r="K717" s="150">
        <v>2</v>
      </c>
      <c r="L717" s="150">
        <v>10</v>
      </c>
      <c r="M717" s="132">
        <v>1</v>
      </c>
      <c r="N717" s="140" t="s">
        <v>36</v>
      </c>
      <c r="O717" s="141" t="str">
        <f>IF(ISBLANK(N717),"",VLOOKUP(N717,[28]Parámetros!$G$2:$H$23,2,FALSE))</f>
        <v xml:space="preserve">Contratación directa (con ofertas) </v>
      </c>
      <c r="P717" s="142">
        <v>1</v>
      </c>
      <c r="Q717" s="143">
        <f t="shared" si="130"/>
        <v>95128858</v>
      </c>
      <c r="R717" s="143">
        <f t="shared" si="131"/>
        <v>95128858</v>
      </c>
      <c r="S717" s="144" t="s">
        <v>222</v>
      </c>
      <c r="T717" s="140">
        <v>0</v>
      </c>
      <c r="U717" s="145" t="str">
        <f t="shared" si="127"/>
        <v>SUBDIRECCION DE GESTION CONTRACTUAL</v>
      </c>
      <c r="V717" s="132" t="str">
        <f t="shared" si="128"/>
        <v>CO-DC</v>
      </c>
      <c r="W717" s="145" t="str">
        <f t="shared" si="129"/>
        <v>Distrito Capital de Bogotá</v>
      </c>
      <c r="X717" s="146" t="s">
        <v>789</v>
      </c>
      <c r="Y717" s="132">
        <v>2427400</v>
      </c>
      <c r="Z717" s="148" t="s">
        <v>760</v>
      </c>
    </row>
    <row r="718" spans="1:26" s="7" customFormat="1" ht="12.75" customHeight="1" x14ac:dyDescent="0.2">
      <c r="A718" s="132" t="s">
        <v>756</v>
      </c>
      <c r="B718" s="132">
        <v>57</v>
      </c>
      <c r="C718" s="133" t="s">
        <v>797</v>
      </c>
      <c r="D718" s="133" t="s">
        <v>773</v>
      </c>
      <c r="E718" s="134"/>
      <c r="F718" s="134">
        <f>327166403-186604992</f>
        <v>140561411</v>
      </c>
      <c r="G718" s="134"/>
      <c r="H718" s="135" t="s">
        <v>791</v>
      </c>
      <c r="I718" s="136" t="s">
        <v>784</v>
      </c>
      <c r="J718" s="150">
        <v>1</v>
      </c>
      <c r="K718" s="150">
        <v>2</v>
      </c>
      <c r="L718" s="150">
        <v>10</v>
      </c>
      <c r="M718" s="132">
        <v>1</v>
      </c>
      <c r="N718" s="140" t="s">
        <v>36</v>
      </c>
      <c r="O718" s="141" t="str">
        <f>IF(ISBLANK(N718),"",VLOOKUP(N718,[28]Parámetros!$G$2:$H$23,2,FALSE))</f>
        <v xml:space="preserve">Contratación directa (con ofertas) </v>
      </c>
      <c r="P718" s="142">
        <v>1</v>
      </c>
      <c r="Q718" s="143">
        <f t="shared" si="130"/>
        <v>140561411</v>
      </c>
      <c r="R718" s="143">
        <f t="shared" si="131"/>
        <v>140561411</v>
      </c>
      <c r="S718" s="144" t="s">
        <v>222</v>
      </c>
      <c r="T718" s="140">
        <v>0</v>
      </c>
      <c r="U718" s="145" t="str">
        <f t="shared" si="127"/>
        <v>SUBDIRECCION DE GESTION CONTRACTUAL</v>
      </c>
      <c r="V718" s="132" t="str">
        <f t="shared" si="128"/>
        <v>CO-DC</v>
      </c>
      <c r="W718" s="145" t="str">
        <f t="shared" si="129"/>
        <v>Distrito Capital de Bogotá</v>
      </c>
      <c r="X718" s="146" t="s">
        <v>789</v>
      </c>
      <c r="Y718" s="132">
        <v>2427400</v>
      </c>
      <c r="Z718" s="148" t="s">
        <v>760</v>
      </c>
    </row>
    <row r="719" spans="1:26" s="7" customFormat="1" ht="12.75" customHeight="1" x14ac:dyDescent="0.2">
      <c r="A719" s="132" t="s">
        <v>756</v>
      </c>
      <c r="B719" s="132">
        <v>58</v>
      </c>
      <c r="C719" s="133" t="s">
        <v>797</v>
      </c>
      <c r="D719" s="133" t="s">
        <v>776</v>
      </c>
      <c r="E719" s="134"/>
      <c r="F719" s="134">
        <f>218110938-109055469</f>
        <v>109055469</v>
      </c>
      <c r="G719" s="134"/>
      <c r="H719" s="135" t="s">
        <v>791</v>
      </c>
      <c r="I719" s="136" t="s">
        <v>784</v>
      </c>
      <c r="J719" s="150">
        <v>1</v>
      </c>
      <c r="K719" s="150">
        <v>2</v>
      </c>
      <c r="L719" s="150">
        <v>10</v>
      </c>
      <c r="M719" s="132">
        <v>1</v>
      </c>
      <c r="N719" s="140" t="s">
        <v>36</v>
      </c>
      <c r="O719" s="141" t="str">
        <f>IF(ISBLANK(N719),"",VLOOKUP(N719,[28]Parámetros!$G$2:$H$23,2,FALSE))</f>
        <v xml:space="preserve">Contratación directa (con ofertas) </v>
      </c>
      <c r="P719" s="142">
        <v>1</v>
      </c>
      <c r="Q719" s="143">
        <f t="shared" si="130"/>
        <v>109055469</v>
      </c>
      <c r="R719" s="143">
        <f t="shared" si="131"/>
        <v>109055469</v>
      </c>
      <c r="S719" s="144" t="s">
        <v>222</v>
      </c>
      <c r="T719" s="140">
        <v>0</v>
      </c>
      <c r="U719" s="145" t="str">
        <f t="shared" si="127"/>
        <v>SUBDIRECCION DE GESTION CONTRACTUAL</v>
      </c>
      <c r="V719" s="132" t="str">
        <f t="shared" si="128"/>
        <v>CO-DC</v>
      </c>
      <c r="W719" s="145" t="str">
        <f t="shared" si="129"/>
        <v>Distrito Capital de Bogotá</v>
      </c>
      <c r="X719" s="146" t="s">
        <v>789</v>
      </c>
      <c r="Y719" s="132">
        <v>2427400</v>
      </c>
      <c r="Z719" s="148" t="s">
        <v>760</v>
      </c>
    </row>
    <row r="720" spans="1:26" s="7" customFormat="1" ht="12.75" customHeight="1" x14ac:dyDescent="0.2">
      <c r="A720" s="132" t="s">
        <v>756</v>
      </c>
      <c r="B720" s="132">
        <v>59</v>
      </c>
      <c r="C720" s="133" t="s">
        <v>797</v>
      </c>
      <c r="D720" s="133" t="s">
        <v>779</v>
      </c>
      <c r="E720" s="134"/>
      <c r="F720" s="134">
        <f>327166404-163583202</f>
        <v>163583202</v>
      </c>
      <c r="G720" s="134"/>
      <c r="H720" s="135" t="s">
        <v>791</v>
      </c>
      <c r="I720" s="136" t="s">
        <v>784</v>
      </c>
      <c r="J720" s="150">
        <v>1</v>
      </c>
      <c r="K720" s="150">
        <v>2</v>
      </c>
      <c r="L720" s="150">
        <v>10</v>
      </c>
      <c r="M720" s="132">
        <v>1</v>
      </c>
      <c r="N720" s="140" t="s">
        <v>36</v>
      </c>
      <c r="O720" s="141" t="str">
        <f>IF(ISBLANK(N720),"",VLOOKUP(N720,[28]Parámetros!$G$2:$H$23,2,FALSE))</f>
        <v xml:space="preserve">Contratación directa (con ofertas) </v>
      </c>
      <c r="P720" s="142">
        <v>1</v>
      </c>
      <c r="Q720" s="143">
        <f t="shared" si="130"/>
        <v>163583202</v>
      </c>
      <c r="R720" s="143">
        <f t="shared" si="131"/>
        <v>163583202</v>
      </c>
      <c r="S720" s="144" t="s">
        <v>222</v>
      </c>
      <c r="T720" s="140">
        <v>0</v>
      </c>
      <c r="U720" s="145" t="str">
        <f t="shared" si="127"/>
        <v>SUBDIRECCION DE GESTION CONTRACTUAL</v>
      </c>
      <c r="V720" s="132" t="str">
        <f t="shared" si="128"/>
        <v>CO-DC</v>
      </c>
      <c r="W720" s="145" t="str">
        <f t="shared" si="129"/>
        <v>Distrito Capital de Bogotá</v>
      </c>
      <c r="X720" s="146" t="s">
        <v>789</v>
      </c>
      <c r="Y720" s="132">
        <v>2427400</v>
      </c>
      <c r="Z720" s="148" t="s">
        <v>760</v>
      </c>
    </row>
    <row r="721" spans="1:26" s="7" customFormat="1" ht="14.25" x14ac:dyDescent="0.2">
      <c r="A721" s="132" t="s">
        <v>756</v>
      </c>
      <c r="B721" s="132">
        <v>60</v>
      </c>
      <c r="C721" s="133" t="s">
        <v>797</v>
      </c>
      <c r="D721" s="133" t="s">
        <v>782</v>
      </c>
      <c r="E721" s="134"/>
      <c r="F721" s="134">
        <f>218110938-109055469</f>
        <v>109055469</v>
      </c>
      <c r="G721" s="134"/>
      <c r="H721" s="135" t="s">
        <v>791</v>
      </c>
      <c r="I721" s="136" t="s">
        <v>784</v>
      </c>
      <c r="J721" s="150">
        <v>1</v>
      </c>
      <c r="K721" s="150">
        <v>2</v>
      </c>
      <c r="L721" s="150">
        <v>10</v>
      </c>
      <c r="M721" s="132">
        <v>1</v>
      </c>
      <c r="N721" s="140" t="s">
        <v>36</v>
      </c>
      <c r="O721" s="141" t="str">
        <f>IF(ISBLANK(N721),"",VLOOKUP(N721,[28]Parámetros!$G$2:$H$23,2,FALSE))</f>
        <v xml:space="preserve">Contratación directa (con ofertas) </v>
      </c>
      <c r="P721" s="142">
        <v>1</v>
      </c>
      <c r="Q721" s="143">
        <f t="shared" si="130"/>
        <v>109055469</v>
      </c>
      <c r="R721" s="143">
        <f t="shared" si="131"/>
        <v>109055469</v>
      </c>
      <c r="S721" s="144" t="s">
        <v>222</v>
      </c>
      <c r="T721" s="140">
        <v>0</v>
      </c>
      <c r="U721" s="145" t="str">
        <f t="shared" si="127"/>
        <v>SUBDIRECCION DE GESTION CONTRACTUAL</v>
      </c>
      <c r="V721" s="132" t="str">
        <f t="shared" si="128"/>
        <v>CO-DC</v>
      </c>
      <c r="W721" s="145" t="str">
        <f t="shared" si="129"/>
        <v>Distrito Capital de Bogotá</v>
      </c>
      <c r="X721" s="146" t="s">
        <v>789</v>
      </c>
      <c r="Y721" s="132">
        <v>2427400</v>
      </c>
      <c r="Z721" s="148" t="s">
        <v>760</v>
      </c>
    </row>
    <row r="722" spans="1:26" s="7" customFormat="1" ht="14.25" x14ac:dyDescent="0.2">
      <c r="A722" s="132" t="s">
        <v>756</v>
      </c>
      <c r="B722" s="132">
        <v>61</v>
      </c>
      <c r="C722" s="133" t="s">
        <v>797</v>
      </c>
      <c r="D722" s="133" t="s">
        <v>773</v>
      </c>
      <c r="E722" s="134"/>
      <c r="F722" s="134">
        <v>140561412</v>
      </c>
      <c r="G722" s="134"/>
      <c r="H722" s="135" t="s">
        <v>834</v>
      </c>
      <c r="I722" s="136" t="s">
        <v>831</v>
      </c>
      <c r="J722" s="150">
        <v>2</v>
      </c>
      <c r="K722" s="150">
        <v>2</v>
      </c>
      <c r="L722" s="150">
        <v>10</v>
      </c>
      <c r="M722" s="132">
        <v>1</v>
      </c>
      <c r="N722" s="140" t="s">
        <v>36</v>
      </c>
      <c r="O722" s="141" t="str">
        <f>IF(ISBLANK(N722),"",VLOOKUP(N722,[29]Parámetros!$G$2:$H$23,2,FALSE))</f>
        <v xml:space="preserve">Contratación directa (con ofertas) </v>
      </c>
      <c r="P722" s="142">
        <v>1</v>
      </c>
      <c r="Q722" s="143">
        <v>140561412</v>
      </c>
      <c r="R722" s="143">
        <v>140561412</v>
      </c>
      <c r="S722" s="144" t="s">
        <v>222</v>
      </c>
      <c r="T722" s="140">
        <v>0</v>
      </c>
      <c r="U722" s="145" t="str">
        <f t="shared" si="127"/>
        <v>SUBDIRECCION DE GESTION CONTRACTUAL</v>
      </c>
      <c r="V722" s="132" t="str">
        <f t="shared" si="128"/>
        <v>CO-DC</v>
      </c>
      <c r="W722" s="145" t="str">
        <f t="shared" si="129"/>
        <v>Distrito Capital de Bogotá</v>
      </c>
      <c r="X722" s="146" t="s">
        <v>759</v>
      </c>
      <c r="Y722" s="132">
        <v>2427400</v>
      </c>
      <c r="Z722" s="148" t="s">
        <v>760</v>
      </c>
    </row>
    <row r="723" spans="1:26" s="7" customFormat="1" ht="14.25" x14ac:dyDescent="0.2">
      <c r="A723" s="132" t="s">
        <v>756</v>
      </c>
      <c r="B723" s="132">
        <v>62</v>
      </c>
      <c r="C723" s="133" t="s">
        <v>797</v>
      </c>
      <c r="D723" s="133" t="s">
        <v>776</v>
      </c>
      <c r="E723" s="134"/>
      <c r="F723" s="134">
        <v>109055469</v>
      </c>
      <c r="G723" s="134"/>
      <c r="H723" s="135" t="s">
        <v>834</v>
      </c>
      <c r="I723" s="136" t="s">
        <v>831</v>
      </c>
      <c r="J723" s="150">
        <v>2</v>
      </c>
      <c r="K723" s="150">
        <v>2</v>
      </c>
      <c r="L723" s="150">
        <v>10</v>
      </c>
      <c r="M723" s="132">
        <v>1</v>
      </c>
      <c r="N723" s="140" t="s">
        <v>36</v>
      </c>
      <c r="O723" s="141" t="str">
        <f>IF(ISBLANK(N723),"",VLOOKUP(N723,[29]Parámetros!$G$2:$H$23,2,FALSE))</f>
        <v xml:space="preserve">Contratación directa (con ofertas) </v>
      </c>
      <c r="P723" s="142">
        <v>1</v>
      </c>
      <c r="Q723" s="143">
        <v>109055469</v>
      </c>
      <c r="R723" s="143">
        <v>109055469</v>
      </c>
      <c r="S723" s="144" t="s">
        <v>222</v>
      </c>
      <c r="T723" s="140">
        <v>0</v>
      </c>
      <c r="U723" s="145" t="str">
        <f t="shared" si="127"/>
        <v>SUBDIRECCION DE GESTION CONTRACTUAL</v>
      </c>
      <c r="V723" s="132" t="str">
        <f t="shared" si="128"/>
        <v>CO-DC</v>
      </c>
      <c r="W723" s="145" t="str">
        <f t="shared" si="129"/>
        <v>Distrito Capital de Bogotá</v>
      </c>
      <c r="X723" s="146" t="s">
        <v>759</v>
      </c>
      <c r="Y723" s="132">
        <v>2427400</v>
      </c>
      <c r="Z723" s="148" t="s">
        <v>760</v>
      </c>
    </row>
    <row r="724" spans="1:26" s="7" customFormat="1" ht="14.25" x14ac:dyDescent="0.2">
      <c r="A724" s="132" t="s">
        <v>756</v>
      </c>
      <c r="B724" s="132">
        <v>63</v>
      </c>
      <c r="C724" s="133" t="s">
        <v>797</v>
      </c>
      <c r="D724" s="133" t="s">
        <v>779</v>
      </c>
      <c r="E724" s="134"/>
      <c r="F724" s="134">
        <v>163583202</v>
      </c>
      <c r="G724" s="134"/>
      <c r="H724" s="135" t="s">
        <v>834</v>
      </c>
      <c r="I724" s="136" t="s">
        <v>831</v>
      </c>
      <c r="J724" s="150">
        <v>2</v>
      </c>
      <c r="K724" s="150">
        <v>2</v>
      </c>
      <c r="L724" s="150">
        <v>10</v>
      </c>
      <c r="M724" s="132">
        <v>1</v>
      </c>
      <c r="N724" s="140" t="s">
        <v>36</v>
      </c>
      <c r="O724" s="141" t="str">
        <f>IF(ISBLANK(N724),"",VLOOKUP(N724,[29]Parámetros!$G$2:$H$23,2,FALSE))</f>
        <v xml:space="preserve">Contratación directa (con ofertas) </v>
      </c>
      <c r="P724" s="142">
        <v>1</v>
      </c>
      <c r="Q724" s="143">
        <v>163583202</v>
      </c>
      <c r="R724" s="143">
        <v>163583202</v>
      </c>
      <c r="S724" s="144" t="s">
        <v>222</v>
      </c>
      <c r="T724" s="140">
        <v>0</v>
      </c>
      <c r="U724" s="145" t="str">
        <f t="shared" si="127"/>
        <v>SUBDIRECCION DE GESTION CONTRACTUAL</v>
      </c>
      <c r="V724" s="132" t="str">
        <f t="shared" si="128"/>
        <v>CO-DC</v>
      </c>
      <c r="W724" s="145" t="str">
        <f t="shared" si="129"/>
        <v>Distrito Capital de Bogotá</v>
      </c>
      <c r="X724" s="146" t="s">
        <v>759</v>
      </c>
      <c r="Y724" s="132">
        <v>2427400</v>
      </c>
      <c r="Z724" s="148" t="s">
        <v>760</v>
      </c>
    </row>
    <row r="725" spans="1:26" s="7" customFormat="1" ht="14.25" x14ac:dyDescent="0.2">
      <c r="A725" s="132" t="s">
        <v>756</v>
      </c>
      <c r="B725" s="132">
        <v>64</v>
      </c>
      <c r="C725" s="133" t="s">
        <v>797</v>
      </c>
      <c r="D725" s="133" t="s">
        <v>782</v>
      </c>
      <c r="E725" s="134"/>
      <c r="F725" s="134">
        <v>109055469</v>
      </c>
      <c r="G725" s="134"/>
      <c r="H725" s="135" t="s">
        <v>834</v>
      </c>
      <c r="I725" s="136" t="s">
        <v>831</v>
      </c>
      <c r="J725" s="150">
        <v>2</v>
      </c>
      <c r="K725" s="150">
        <v>2</v>
      </c>
      <c r="L725" s="150">
        <v>10</v>
      </c>
      <c r="M725" s="132">
        <v>1</v>
      </c>
      <c r="N725" s="140" t="s">
        <v>36</v>
      </c>
      <c r="O725" s="141" t="str">
        <f>IF(ISBLANK(N725),"",VLOOKUP(N725,[29]Parámetros!$G$2:$H$23,2,FALSE))</f>
        <v xml:space="preserve">Contratación directa (con ofertas) </v>
      </c>
      <c r="P725" s="142">
        <v>1</v>
      </c>
      <c r="Q725" s="143">
        <v>109055469</v>
      </c>
      <c r="R725" s="143">
        <v>109055469</v>
      </c>
      <c r="S725" s="144" t="s">
        <v>222</v>
      </c>
      <c r="T725" s="140">
        <v>0</v>
      </c>
      <c r="U725" s="145" t="str">
        <f t="shared" si="127"/>
        <v>SUBDIRECCION DE GESTION CONTRACTUAL</v>
      </c>
      <c r="V725" s="132" t="str">
        <f t="shared" si="128"/>
        <v>CO-DC</v>
      </c>
      <c r="W725" s="145" t="str">
        <f t="shared" si="129"/>
        <v>Distrito Capital de Bogotá</v>
      </c>
      <c r="X725" s="146" t="s">
        <v>759</v>
      </c>
      <c r="Y725" s="132">
        <v>2427400</v>
      </c>
      <c r="Z725" s="148" t="s">
        <v>760</v>
      </c>
    </row>
    <row r="726" spans="1:26" s="7" customFormat="1" ht="14.25" x14ac:dyDescent="0.2">
      <c r="A726" s="132" t="s">
        <v>756</v>
      </c>
      <c r="B726" s="132">
        <v>65</v>
      </c>
      <c r="C726" s="133" t="s">
        <v>796</v>
      </c>
      <c r="D726" s="133" t="s">
        <v>772</v>
      </c>
      <c r="E726" s="134"/>
      <c r="F726" s="134">
        <v>16100970</v>
      </c>
      <c r="G726" s="134"/>
      <c r="H726" s="135" t="s">
        <v>834</v>
      </c>
      <c r="I726" s="136" t="s">
        <v>831</v>
      </c>
      <c r="J726" s="150">
        <v>2</v>
      </c>
      <c r="K726" s="150">
        <v>2</v>
      </c>
      <c r="L726" s="150">
        <v>10</v>
      </c>
      <c r="M726" s="132">
        <v>1</v>
      </c>
      <c r="N726" s="140" t="s">
        <v>36</v>
      </c>
      <c r="O726" s="141" t="str">
        <f>IF(ISBLANK(N726),"",VLOOKUP(N726,[29]Parámetros!$G$2:$H$23,2,FALSE))</f>
        <v xml:space="preserve">Contratación directa (con ofertas) </v>
      </c>
      <c r="P726" s="142">
        <v>1</v>
      </c>
      <c r="Q726" s="143">
        <v>16100970</v>
      </c>
      <c r="R726" s="143">
        <v>16100970</v>
      </c>
      <c r="S726" s="144" t="s">
        <v>222</v>
      </c>
      <c r="T726" s="140">
        <v>0</v>
      </c>
      <c r="U726" s="145" t="str">
        <f t="shared" si="127"/>
        <v>SUBDIRECCION DE GESTION CONTRACTUAL</v>
      </c>
      <c r="V726" s="132" t="str">
        <f t="shared" si="128"/>
        <v>CO-DC</v>
      </c>
      <c r="W726" s="145" t="str">
        <f t="shared" si="129"/>
        <v>Distrito Capital de Bogotá</v>
      </c>
      <c r="X726" s="146" t="s">
        <v>759</v>
      </c>
      <c r="Y726" s="132">
        <v>2427400</v>
      </c>
      <c r="Z726" s="148" t="s">
        <v>760</v>
      </c>
    </row>
    <row r="727" spans="1:26" s="7" customFormat="1" ht="14.25" x14ac:dyDescent="0.2">
      <c r="A727" s="132" t="s">
        <v>756</v>
      </c>
      <c r="B727" s="132">
        <v>66</v>
      </c>
      <c r="C727" s="133" t="s">
        <v>796</v>
      </c>
      <c r="D727" s="133" t="s">
        <v>773</v>
      </c>
      <c r="E727" s="134"/>
      <c r="F727" s="134">
        <v>59173280</v>
      </c>
      <c r="G727" s="134"/>
      <c r="H727" s="135" t="s">
        <v>834</v>
      </c>
      <c r="I727" s="136" t="s">
        <v>831</v>
      </c>
      <c r="J727" s="150">
        <v>2</v>
      </c>
      <c r="K727" s="150">
        <v>2</v>
      </c>
      <c r="L727" s="150">
        <v>10</v>
      </c>
      <c r="M727" s="132">
        <v>1</v>
      </c>
      <c r="N727" s="140" t="s">
        <v>36</v>
      </c>
      <c r="O727" s="141" t="str">
        <f>IF(ISBLANK(N727),"",VLOOKUP(N727,[29]Parámetros!$G$2:$H$23,2,FALSE))</f>
        <v xml:space="preserve">Contratación directa (con ofertas) </v>
      </c>
      <c r="P727" s="142">
        <v>1</v>
      </c>
      <c r="Q727" s="143">
        <v>59173280</v>
      </c>
      <c r="R727" s="143">
        <v>59173280</v>
      </c>
      <c r="S727" s="144" t="s">
        <v>222</v>
      </c>
      <c r="T727" s="140">
        <v>0</v>
      </c>
      <c r="U727" s="145" t="str">
        <f t="shared" ref="U727:U747" si="132">IF(ISBLANK(N727),"","SUBDIRECCION DE GESTION CONTRACTUAL")</f>
        <v>SUBDIRECCION DE GESTION CONTRACTUAL</v>
      </c>
      <c r="V727" s="132" t="str">
        <f t="shared" ref="V727:V747" si="133">IF(ISBLANK(N727),"","CO-DC")</f>
        <v>CO-DC</v>
      </c>
      <c r="W727" s="145" t="str">
        <f t="shared" ref="W727:W747" si="134">IF(ISBLANK(N727),"","Distrito Capital de Bogotá")</f>
        <v>Distrito Capital de Bogotá</v>
      </c>
      <c r="X727" s="146" t="s">
        <v>759</v>
      </c>
      <c r="Y727" s="132">
        <v>2427400</v>
      </c>
      <c r="Z727" s="148" t="s">
        <v>760</v>
      </c>
    </row>
    <row r="728" spans="1:26" s="7" customFormat="1" ht="14.25" x14ac:dyDescent="0.2">
      <c r="A728" s="132" t="s">
        <v>756</v>
      </c>
      <c r="B728" s="132">
        <v>67</v>
      </c>
      <c r="C728" s="133" t="s">
        <v>796</v>
      </c>
      <c r="D728" s="133" t="s">
        <v>774</v>
      </c>
      <c r="E728" s="134"/>
      <c r="F728" s="134">
        <v>90632823</v>
      </c>
      <c r="G728" s="134"/>
      <c r="H728" s="135" t="s">
        <v>834</v>
      </c>
      <c r="I728" s="136" t="s">
        <v>831</v>
      </c>
      <c r="J728" s="150">
        <v>2</v>
      </c>
      <c r="K728" s="150">
        <v>2</v>
      </c>
      <c r="L728" s="150">
        <v>10</v>
      </c>
      <c r="M728" s="132">
        <v>1</v>
      </c>
      <c r="N728" s="140" t="s">
        <v>36</v>
      </c>
      <c r="O728" s="141" t="str">
        <f>IF(ISBLANK(N728),"",VLOOKUP(N728,[29]Parámetros!$G$2:$H$23,2,FALSE))</f>
        <v xml:space="preserve">Contratación directa (con ofertas) </v>
      </c>
      <c r="P728" s="142">
        <v>1</v>
      </c>
      <c r="Q728" s="143">
        <v>90632823</v>
      </c>
      <c r="R728" s="143">
        <v>90632823</v>
      </c>
      <c r="S728" s="144" t="s">
        <v>222</v>
      </c>
      <c r="T728" s="140">
        <v>0</v>
      </c>
      <c r="U728" s="145" t="str">
        <f t="shared" si="132"/>
        <v>SUBDIRECCION DE GESTION CONTRACTUAL</v>
      </c>
      <c r="V728" s="132" t="str">
        <f t="shared" si="133"/>
        <v>CO-DC</v>
      </c>
      <c r="W728" s="145" t="str">
        <f t="shared" si="134"/>
        <v>Distrito Capital de Bogotá</v>
      </c>
      <c r="X728" s="146" t="s">
        <v>759</v>
      </c>
      <c r="Y728" s="132">
        <v>2427400</v>
      </c>
      <c r="Z728" s="148" t="s">
        <v>760</v>
      </c>
    </row>
    <row r="729" spans="1:26" s="7" customFormat="1" ht="14.25" x14ac:dyDescent="0.2">
      <c r="A729" s="132" t="s">
        <v>756</v>
      </c>
      <c r="B729" s="132">
        <v>68</v>
      </c>
      <c r="C729" s="133" t="s">
        <v>796</v>
      </c>
      <c r="D729" s="133" t="s">
        <v>775</v>
      </c>
      <c r="E729" s="134"/>
      <c r="F729" s="134">
        <v>23487536</v>
      </c>
      <c r="G729" s="134"/>
      <c r="H729" s="135" t="s">
        <v>834</v>
      </c>
      <c r="I729" s="136" t="s">
        <v>831</v>
      </c>
      <c r="J729" s="150">
        <v>2</v>
      </c>
      <c r="K729" s="150">
        <v>2</v>
      </c>
      <c r="L729" s="150">
        <v>10</v>
      </c>
      <c r="M729" s="132">
        <v>1</v>
      </c>
      <c r="N729" s="140" t="s">
        <v>36</v>
      </c>
      <c r="O729" s="141" t="str">
        <f>IF(ISBLANK(N729),"",VLOOKUP(N729,[29]Parámetros!$G$2:$H$23,2,FALSE))</f>
        <v xml:space="preserve">Contratación directa (con ofertas) </v>
      </c>
      <c r="P729" s="142">
        <v>1</v>
      </c>
      <c r="Q729" s="143">
        <v>23487536</v>
      </c>
      <c r="R729" s="143">
        <v>23487536</v>
      </c>
      <c r="S729" s="144" t="s">
        <v>222</v>
      </c>
      <c r="T729" s="140">
        <v>0</v>
      </c>
      <c r="U729" s="145" t="str">
        <f t="shared" si="132"/>
        <v>SUBDIRECCION DE GESTION CONTRACTUAL</v>
      </c>
      <c r="V729" s="132" t="str">
        <f t="shared" si="133"/>
        <v>CO-DC</v>
      </c>
      <c r="W729" s="145" t="str">
        <f t="shared" si="134"/>
        <v>Distrito Capital de Bogotá</v>
      </c>
      <c r="X729" s="146" t="s">
        <v>759</v>
      </c>
      <c r="Y729" s="132">
        <v>2427400</v>
      </c>
      <c r="Z729" s="148" t="s">
        <v>760</v>
      </c>
    </row>
    <row r="730" spans="1:26" s="7" customFormat="1" ht="14.25" x14ac:dyDescent="0.2">
      <c r="A730" s="132" t="s">
        <v>756</v>
      </c>
      <c r="B730" s="132">
        <v>69</v>
      </c>
      <c r="C730" s="133" t="s">
        <v>796</v>
      </c>
      <c r="D730" s="133" t="s">
        <v>776</v>
      </c>
      <c r="E730" s="134"/>
      <c r="F730" s="134">
        <v>78015269</v>
      </c>
      <c r="G730" s="134"/>
      <c r="H730" s="135" t="s">
        <v>834</v>
      </c>
      <c r="I730" s="136" t="s">
        <v>831</v>
      </c>
      <c r="J730" s="150">
        <v>2</v>
      </c>
      <c r="K730" s="150">
        <v>2</v>
      </c>
      <c r="L730" s="150">
        <v>10</v>
      </c>
      <c r="M730" s="132">
        <v>1</v>
      </c>
      <c r="N730" s="140" t="s">
        <v>36</v>
      </c>
      <c r="O730" s="141" t="str">
        <f>IF(ISBLANK(N730),"",VLOOKUP(N730,[29]Parámetros!$G$2:$H$23,2,FALSE))</f>
        <v xml:space="preserve">Contratación directa (con ofertas) </v>
      </c>
      <c r="P730" s="142">
        <v>1</v>
      </c>
      <c r="Q730" s="143">
        <v>78015269</v>
      </c>
      <c r="R730" s="143">
        <v>78015269</v>
      </c>
      <c r="S730" s="144" t="s">
        <v>222</v>
      </c>
      <c r="T730" s="140">
        <v>0</v>
      </c>
      <c r="U730" s="145" t="str">
        <f t="shared" si="132"/>
        <v>SUBDIRECCION DE GESTION CONTRACTUAL</v>
      </c>
      <c r="V730" s="132" t="str">
        <f t="shared" si="133"/>
        <v>CO-DC</v>
      </c>
      <c r="W730" s="145" t="str">
        <f t="shared" si="134"/>
        <v>Distrito Capital de Bogotá</v>
      </c>
      <c r="X730" s="146" t="s">
        <v>759</v>
      </c>
      <c r="Y730" s="132">
        <v>2427400</v>
      </c>
      <c r="Z730" s="148" t="s">
        <v>760</v>
      </c>
    </row>
    <row r="731" spans="1:26" s="7" customFormat="1" ht="14.25" x14ac:dyDescent="0.2">
      <c r="A731" s="132" t="s">
        <v>756</v>
      </c>
      <c r="B731" s="132">
        <v>70</v>
      </c>
      <c r="C731" s="133" t="s">
        <v>796</v>
      </c>
      <c r="D731" s="133" t="s">
        <v>777</v>
      </c>
      <c r="E731" s="134"/>
      <c r="F731" s="134">
        <v>95128858</v>
      </c>
      <c r="G731" s="134"/>
      <c r="H731" s="135" t="s">
        <v>834</v>
      </c>
      <c r="I731" s="136" t="s">
        <v>831</v>
      </c>
      <c r="J731" s="150">
        <v>2</v>
      </c>
      <c r="K731" s="150">
        <v>2</v>
      </c>
      <c r="L731" s="150">
        <v>10</v>
      </c>
      <c r="M731" s="132">
        <v>1</v>
      </c>
      <c r="N731" s="140" t="s">
        <v>36</v>
      </c>
      <c r="O731" s="141" t="str">
        <f>IF(ISBLANK(N731),"",VLOOKUP(N731,[29]Parámetros!$G$2:$H$23,2,FALSE))</f>
        <v xml:space="preserve">Contratación directa (con ofertas) </v>
      </c>
      <c r="P731" s="142">
        <v>1</v>
      </c>
      <c r="Q731" s="143">
        <v>95128858</v>
      </c>
      <c r="R731" s="143">
        <v>95128858</v>
      </c>
      <c r="S731" s="144" t="s">
        <v>222</v>
      </c>
      <c r="T731" s="140">
        <v>0</v>
      </c>
      <c r="U731" s="145" t="str">
        <f t="shared" si="132"/>
        <v>SUBDIRECCION DE GESTION CONTRACTUAL</v>
      </c>
      <c r="V731" s="132" t="str">
        <f t="shared" si="133"/>
        <v>CO-DC</v>
      </c>
      <c r="W731" s="145" t="str">
        <f t="shared" si="134"/>
        <v>Distrito Capital de Bogotá</v>
      </c>
      <c r="X731" s="146" t="s">
        <v>759</v>
      </c>
      <c r="Y731" s="132">
        <v>2427400</v>
      </c>
      <c r="Z731" s="148" t="s">
        <v>760</v>
      </c>
    </row>
    <row r="732" spans="1:26" s="7" customFormat="1" ht="14.25" x14ac:dyDescent="0.2">
      <c r="A732" s="132" t="s">
        <v>756</v>
      </c>
      <c r="B732" s="132">
        <v>71</v>
      </c>
      <c r="C732" s="133" t="s">
        <v>796</v>
      </c>
      <c r="D732" s="133" t="s">
        <v>778</v>
      </c>
      <c r="E732" s="134"/>
      <c r="F732" s="134">
        <v>35231305</v>
      </c>
      <c r="G732" s="134"/>
      <c r="H732" s="135" t="s">
        <v>834</v>
      </c>
      <c r="I732" s="136" t="s">
        <v>831</v>
      </c>
      <c r="J732" s="150">
        <v>2</v>
      </c>
      <c r="K732" s="150">
        <v>2</v>
      </c>
      <c r="L732" s="150">
        <v>10</v>
      </c>
      <c r="M732" s="132">
        <v>1</v>
      </c>
      <c r="N732" s="140" t="s">
        <v>36</v>
      </c>
      <c r="O732" s="141" t="str">
        <f>IF(ISBLANK(N732),"",VLOOKUP(N732,[29]Parámetros!$G$2:$H$23,2,FALSE))</f>
        <v xml:space="preserve">Contratación directa (con ofertas) </v>
      </c>
      <c r="P732" s="142">
        <v>1</v>
      </c>
      <c r="Q732" s="143">
        <v>35231305</v>
      </c>
      <c r="R732" s="143">
        <v>35231305</v>
      </c>
      <c r="S732" s="144" t="s">
        <v>222</v>
      </c>
      <c r="T732" s="140">
        <v>0</v>
      </c>
      <c r="U732" s="145" t="str">
        <f t="shared" si="132"/>
        <v>SUBDIRECCION DE GESTION CONTRACTUAL</v>
      </c>
      <c r="V732" s="132" t="str">
        <f t="shared" si="133"/>
        <v>CO-DC</v>
      </c>
      <c r="W732" s="145" t="str">
        <f t="shared" si="134"/>
        <v>Distrito Capital de Bogotá</v>
      </c>
      <c r="X732" s="146" t="s">
        <v>759</v>
      </c>
      <c r="Y732" s="132">
        <v>2427400</v>
      </c>
      <c r="Z732" s="148" t="s">
        <v>760</v>
      </c>
    </row>
    <row r="733" spans="1:26" s="7" customFormat="1" ht="14.25" x14ac:dyDescent="0.2">
      <c r="A733" s="132" t="s">
        <v>756</v>
      </c>
      <c r="B733" s="132">
        <v>72</v>
      </c>
      <c r="C733" s="133" t="s">
        <v>796</v>
      </c>
      <c r="D733" s="133" t="s">
        <v>779</v>
      </c>
      <c r="E733" s="134"/>
      <c r="F733" s="134">
        <v>117022905</v>
      </c>
      <c r="G733" s="134"/>
      <c r="H733" s="135" t="s">
        <v>834</v>
      </c>
      <c r="I733" s="136" t="s">
        <v>831</v>
      </c>
      <c r="J733" s="150">
        <v>2</v>
      </c>
      <c r="K733" s="150">
        <v>2</v>
      </c>
      <c r="L733" s="150">
        <v>10</v>
      </c>
      <c r="M733" s="132">
        <v>1</v>
      </c>
      <c r="N733" s="140" t="s">
        <v>36</v>
      </c>
      <c r="O733" s="141" t="str">
        <f>IF(ISBLANK(N733),"",VLOOKUP(N733,[29]Parámetros!$G$2:$H$23,2,FALSE))</f>
        <v xml:space="preserve">Contratación directa (con ofertas) </v>
      </c>
      <c r="P733" s="142">
        <v>1</v>
      </c>
      <c r="Q733" s="143">
        <v>117022905</v>
      </c>
      <c r="R733" s="143">
        <v>117022905</v>
      </c>
      <c r="S733" s="144" t="s">
        <v>222</v>
      </c>
      <c r="T733" s="140">
        <v>0</v>
      </c>
      <c r="U733" s="145" t="str">
        <f t="shared" si="132"/>
        <v>SUBDIRECCION DE GESTION CONTRACTUAL</v>
      </c>
      <c r="V733" s="132" t="str">
        <f t="shared" si="133"/>
        <v>CO-DC</v>
      </c>
      <c r="W733" s="145" t="str">
        <f t="shared" si="134"/>
        <v>Distrito Capital de Bogotá</v>
      </c>
      <c r="X733" s="146" t="s">
        <v>759</v>
      </c>
      <c r="Y733" s="132">
        <v>2427400</v>
      </c>
      <c r="Z733" s="148" t="s">
        <v>760</v>
      </c>
    </row>
    <row r="734" spans="1:26" s="7" customFormat="1" ht="14.25" x14ac:dyDescent="0.2">
      <c r="A734" s="132" t="s">
        <v>756</v>
      </c>
      <c r="B734" s="132">
        <v>73</v>
      </c>
      <c r="C734" s="133" t="s">
        <v>796</v>
      </c>
      <c r="D734" s="133" t="s">
        <v>780</v>
      </c>
      <c r="E734" s="134"/>
      <c r="F734" s="134">
        <v>142693282</v>
      </c>
      <c r="G734" s="134"/>
      <c r="H734" s="135" t="s">
        <v>834</v>
      </c>
      <c r="I734" s="136" t="s">
        <v>831</v>
      </c>
      <c r="J734" s="150">
        <v>2</v>
      </c>
      <c r="K734" s="150">
        <v>2</v>
      </c>
      <c r="L734" s="150">
        <v>10</v>
      </c>
      <c r="M734" s="132">
        <v>1</v>
      </c>
      <c r="N734" s="140" t="s">
        <v>36</v>
      </c>
      <c r="O734" s="141" t="str">
        <f>IF(ISBLANK(N734),"",VLOOKUP(N734,[29]Parámetros!$G$2:$H$23,2,FALSE))</f>
        <v xml:space="preserve">Contratación directa (con ofertas) </v>
      </c>
      <c r="P734" s="142">
        <v>1</v>
      </c>
      <c r="Q734" s="143">
        <v>142693282</v>
      </c>
      <c r="R734" s="143">
        <v>142693282</v>
      </c>
      <c r="S734" s="144" t="s">
        <v>222</v>
      </c>
      <c r="T734" s="140">
        <v>0</v>
      </c>
      <c r="U734" s="145" t="str">
        <f t="shared" si="132"/>
        <v>SUBDIRECCION DE GESTION CONTRACTUAL</v>
      </c>
      <c r="V734" s="132" t="str">
        <f t="shared" si="133"/>
        <v>CO-DC</v>
      </c>
      <c r="W734" s="145" t="str">
        <f t="shared" si="134"/>
        <v>Distrito Capital de Bogotá</v>
      </c>
      <c r="X734" s="146" t="s">
        <v>759</v>
      </c>
      <c r="Y734" s="132">
        <v>2427400</v>
      </c>
      <c r="Z734" s="148" t="s">
        <v>760</v>
      </c>
    </row>
    <row r="735" spans="1:26" s="7" customFormat="1" ht="14.25" x14ac:dyDescent="0.2">
      <c r="A735" s="132" t="s">
        <v>756</v>
      </c>
      <c r="B735" s="132">
        <v>74</v>
      </c>
      <c r="C735" s="133" t="s">
        <v>796</v>
      </c>
      <c r="D735" s="133" t="s">
        <v>781</v>
      </c>
      <c r="E735" s="134"/>
      <c r="F735" s="134">
        <v>23487536</v>
      </c>
      <c r="G735" s="134"/>
      <c r="H735" s="135" t="s">
        <v>834</v>
      </c>
      <c r="I735" s="136" t="s">
        <v>831</v>
      </c>
      <c r="J735" s="150">
        <v>2</v>
      </c>
      <c r="K735" s="150">
        <v>2</v>
      </c>
      <c r="L735" s="150">
        <v>10</v>
      </c>
      <c r="M735" s="132">
        <v>1</v>
      </c>
      <c r="N735" s="140" t="s">
        <v>36</v>
      </c>
      <c r="O735" s="141" t="str">
        <f>IF(ISBLANK(N735),"",VLOOKUP(N735,[29]Parámetros!$G$2:$H$23,2,FALSE))</f>
        <v xml:space="preserve">Contratación directa (con ofertas) </v>
      </c>
      <c r="P735" s="142">
        <v>1</v>
      </c>
      <c r="Q735" s="143">
        <v>23487536</v>
      </c>
      <c r="R735" s="143">
        <v>23487536</v>
      </c>
      <c r="S735" s="144" t="s">
        <v>222</v>
      </c>
      <c r="T735" s="140">
        <v>0</v>
      </c>
      <c r="U735" s="145" t="str">
        <f t="shared" si="132"/>
        <v>SUBDIRECCION DE GESTION CONTRACTUAL</v>
      </c>
      <c r="V735" s="132" t="str">
        <f t="shared" si="133"/>
        <v>CO-DC</v>
      </c>
      <c r="W735" s="145" t="str">
        <f t="shared" si="134"/>
        <v>Distrito Capital de Bogotá</v>
      </c>
      <c r="X735" s="146" t="s">
        <v>759</v>
      </c>
      <c r="Y735" s="132">
        <v>2427400</v>
      </c>
      <c r="Z735" s="148" t="s">
        <v>760</v>
      </c>
    </row>
    <row r="736" spans="1:26" s="7" customFormat="1" ht="14.25" x14ac:dyDescent="0.2">
      <c r="A736" s="132" t="s">
        <v>756</v>
      </c>
      <c r="B736" s="132">
        <v>75</v>
      </c>
      <c r="C736" s="133" t="s">
        <v>796</v>
      </c>
      <c r="D736" s="133" t="s">
        <v>782</v>
      </c>
      <c r="E736" s="134"/>
      <c r="F736" s="134">
        <v>78015268</v>
      </c>
      <c r="G736" s="134"/>
      <c r="H736" s="135" t="s">
        <v>834</v>
      </c>
      <c r="I736" s="136" t="s">
        <v>831</v>
      </c>
      <c r="J736" s="150">
        <v>2</v>
      </c>
      <c r="K736" s="150">
        <v>2</v>
      </c>
      <c r="L736" s="150">
        <v>10</v>
      </c>
      <c r="M736" s="132">
        <v>1</v>
      </c>
      <c r="N736" s="140" t="s">
        <v>36</v>
      </c>
      <c r="O736" s="141" t="str">
        <f>IF(ISBLANK(N736),"",VLOOKUP(N736,[29]Parámetros!$G$2:$H$23,2,FALSE))</f>
        <v xml:space="preserve">Contratación directa (con ofertas) </v>
      </c>
      <c r="P736" s="142">
        <v>1</v>
      </c>
      <c r="Q736" s="143">
        <v>78015268</v>
      </c>
      <c r="R736" s="143">
        <v>78015268</v>
      </c>
      <c r="S736" s="144" t="s">
        <v>222</v>
      </c>
      <c r="T736" s="140">
        <v>0</v>
      </c>
      <c r="U736" s="145" t="str">
        <f t="shared" si="132"/>
        <v>SUBDIRECCION DE GESTION CONTRACTUAL</v>
      </c>
      <c r="V736" s="132" t="str">
        <f t="shared" si="133"/>
        <v>CO-DC</v>
      </c>
      <c r="W736" s="145" t="str">
        <f t="shared" si="134"/>
        <v>Distrito Capital de Bogotá</v>
      </c>
      <c r="X736" s="146" t="s">
        <v>759</v>
      </c>
      <c r="Y736" s="132">
        <v>2427400</v>
      </c>
      <c r="Z736" s="148" t="s">
        <v>760</v>
      </c>
    </row>
    <row r="737" spans="1:26" s="7" customFormat="1" ht="14.25" x14ac:dyDescent="0.2">
      <c r="A737" s="132" t="s">
        <v>756</v>
      </c>
      <c r="B737" s="132">
        <v>76</v>
      </c>
      <c r="C737" s="133" t="s">
        <v>796</v>
      </c>
      <c r="D737" s="133" t="s">
        <v>783</v>
      </c>
      <c r="E737" s="134"/>
      <c r="F737" s="134">
        <v>95128858</v>
      </c>
      <c r="G737" s="134"/>
      <c r="H737" s="135" t="s">
        <v>834</v>
      </c>
      <c r="I737" s="136" t="s">
        <v>831</v>
      </c>
      <c r="J737" s="150">
        <v>2</v>
      </c>
      <c r="K737" s="150">
        <v>2</v>
      </c>
      <c r="L737" s="150">
        <v>10</v>
      </c>
      <c r="M737" s="132">
        <v>1</v>
      </c>
      <c r="N737" s="140" t="s">
        <v>36</v>
      </c>
      <c r="O737" s="141" t="str">
        <f>IF(ISBLANK(N737),"",VLOOKUP(N737,[29]Parámetros!$G$2:$H$23,2,FALSE))</f>
        <v xml:space="preserve">Contratación directa (con ofertas) </v>
      </c>
      <c r="P737" s="142">
        <v>1</v>
      </c>
      <c r="Q737" s="143">
        <v>95128858</v>
      </c>
      <c r="R737" s="143">
        <v>95128858</v>
      </c>
      <c r="S737" s="144" t="s">
        <v>222</v>
      </c>
      <c r="T737" s="140">
        <v>0</v>
      </c>
      <c r="U737" s="145" t="str">
        <f t="shared" si="132"/>
        <v>SUBDIRECCION DE GESTION CONTRACTUAL</v>
      </c>
      <c r="V737" s="132" t="str">
        <f t="shared" si="133"/>
        <v>CO-DC</v>
      </c>
      <c r="W737" s="145" t="str">
        <f t="shared" si="134"/>
        <v>Distrito Capital de Bogotá</v>
      </c>
      <c r="X737" s="146" t="s">
        <v>759</v>
      </c>
      <c r="Y737" s="132">
        <v>2427400</v>
      </c>
      <c r="Z737" s="148" t="s">
        <v>760</v>
      </c>
    </row>
    <row r="738" spans="1:26" s="7" customFormat="1" ht="14.25" x14ac:dyDescent="0.2">
      <c r="A738" s="132" t="s">
        <v>756</v>
      </c>
      <c r="B738" s="132">
        <v>77</v>
      </c>
      <c r="C738" s="133" t="s">
        <v>790</v>
      </c>
      <c r="D738" s="133" t="s">
        <v>757</v>
      </c>
      <c r="E738" s="134"/>
      <c r="F738" s="134">
        <v>166899670</v>
      </c>
      <c r="G738" s="134"/>
      <c r="H738" s="135" t="s">
        <v>834</v>
      </c>
      <c r="I738" s="136" t="s">
        <v>831</v>
      </c>
      <c r="J738" s="150">
        <v>2</v>
      </c>
      <c r="K738" s="150">
        <v>2</v>
      </c>
      <c r="L738" s="150">
        <v>10</v>
      </c>
      <c r="M738" s="132">
        <v>1</v>
      </c>
      <c r="N738" s="140" t="s">
        <v>36</v>
      </c>
      <c r="O738" s="141" t="str">
        <f>IF(ISBLANK(N738),"",VLOOKUP(N738,[29]Parámetros!$G$2:$H$23,2,FALSE))</f>
        <v xml:space="preserve">Contratación directa (con ofertas) </v>
      </c>
      <c r="P738" s="142">
        <v>1</v>
      </c>
      <c r="Q738" s="143">
        <v>166899670</v>
      </c>
      <c r="R738" s="143">
        <v>166899670</v>
      </c>
      <c r="S738" s="144" t="s">
        <v>222</v>
      </c>
      <c r="T738" s="140">
        <v>0</v>
      </c>
      <c r="U738" s="145" t="str">
        <f t="shared" si="132"/>
        <v>SUBDIRECCION DE GESTION CONTRACTUAL</v>
      </c>
      <c r="V738" s="132" t="str">
        <f t="shared" si="133"/>
        <v>CO-DC</v>
      </c>
      <c r="W738" s="145" t="str">
        <f t="shared" si="134"/>
        <v>Distrito Capital de Bogotá</v>
      </c>
      <c r="X738" s="146" t="s">
        <v>759</v>
      </c>
      <c r="Y738" s="132">
        <v>2427400</v>
      </c>
      <c r="Z738" s="148" t="s">
        <v>760</v>
      </c>
    </row>
    <row r="739" spans="1:26" s="7" customFormat="1" ht="14.25" x14ac:dyDescent="0.2">
      <c r="A739" s="132" t="s">
        <v>756</v>
      </c>
      <c r="B739" s="132">
        <v>78</v>
      </c>
      <c r="C739" s="133" t="s">
        <v>790</v>
      </c>
      <c r="D739" s="133" t="s">
        <v>761</v>
      </c>
      <c r="E739" s="134"/>
      <c r="F739" s="134">
        <v>40932121</v>
      </c>
      <c r="G739" s="134"/>
      <c r="H739" s="135" t="s">
        <v>834</v>
      </c>
      <c r="I739" s="136" t="s">
        <v>831</v>
      </c>
      <c r="J739" s="150">
        <v>2</v>
      </c>
      <c r="K739" s="150">
        <v>2</v>
      </c>
      <c r="L739" s="150">
        <v>10</v>
      </c>
      <c r="M739" s="132">
        <v>1</v>
      </c>
      <c r="N739" s="140" t="s">
        <v>36</v>
      </c>
      <c r="O739" s="141" t="str">
        <f>IF(ISBLANK(N739),"",VLOOKUP(N739,[29]Parámetros!$G$2:$H$23,2,FALSE))</f>
        <v xml:space="preserve">Contratación directa (con ofertas) </v>
      </c>
      <c r="P739" s="142">
        <v>1</v>
      </c>
      <c r="Q739" s="143">
        <v>40932121</v>
      </c>
      <c r="R739" s="143">
        <v>40932121</v>
      </c>
      <c r="S739" s="144" t="s">
        <v>222</v>
      </c>
      <c r="T739" s="140">
        <v>0</v>
      </c>
      <c r="U739" s="145" t="str">
        <f t="shared" si="132"/>
        <v>SUBDIRECCION DE GESTION CONTRACTUAL</v>
      </c>
      <c r="V739" s="132" t="str">
        <f t="shared" si="133"/>
        <v>CO-DC</v>
      </c>
      <c r="W739" s="145" t="str">
        <f t="shared" si="134"/>
        <v>Distrito Capital de Bogotá</v>
      </c>
      <c r="X739" s="146" t="s">
        <v>759</v>
      </c>
      <c r="Y739" s="132">
        <v>2427400</v>
      </c>
      <c r="Z739" s="148" t="s">
        <v>760</v>
      </c>
    </row>
    <row r="740" spans="1:26" s="7" customFormat="1" ht="14.25" x14ac:dyDescent="0.2">
      <c r="A740" s="132" t="s">
        <v>756</v>
      </c>
      <c r="B740" s="132">
        <v>79</v>
      </c>
      <c r="C740" s="133" t="s">
        <v>790</v>
      </c>
      <c r="D740" s="133" t="s">
        <v>762</v>
      </c>
      <c r="E740" s="134"/>
      <c r="F740" s="134">
        <v>234045809</v>
      </c>
      <c r="G740" s="134"/>
      <c r="H740" s="135" t="s">
        <v>834</v>
      </c>
      <c r="I740" s="136" t="s">
        <v>831</v>
      </c>
      <c r="J740" s="150">
        <v>2</v>
      </c>
      <c r="K740" s="150">
        <v>2</v>
      </c>
      <c r="L740" s="150">
        <v>10</v>
      </c>
      <c r="M740" s="132">
        <v>1</v>
      </c>
      <c r="N740" s="140" t="s">
        <v>36</v>
      </c>
      <c r="O740" s="141" t="str">
        <f>IF(ISBLANK(N740),"",VLOOKUP(N740,[29]Parámetros!$G$2:$H$23,2,FALSE))</f>
        <v xml:space="preserve">Contratación directa (con ofertas) </v>
      </c>
      <c r="P740" s="142">
        <v>1</v>
      </c>
      <c r="Q740" s="143">
        <v>234045809</v>
      </c>
      <c r="R740" s="143">
        <v>234045809</v>
      </c>
      <c r="S740" s="144" t="s">
        <v>222</v>
      </c>
      <c r="T740" s="140">
        <v>0</v>
      </c>
      <c r="U740" s="145" t="str">
        <f t="shared" si="132"/>
        <v>SUBDIRECCION DE GESTION CONTRACTUAL</v>
      </c>
      <c r="V740" s="132" t="str">
        <f t="shared" si="133"/>
        <v>CO-DC</v>
      </c>
      <c r="W740" s="145" t="str">
        <f t="shared" si="134"/>
        <v>Distrito Capital de Bogotá</v>
      </c>
      <c r="X740" s="146" t="s">
        <v>759</v>
      </c>
      <c r="Y740" s="132">
        <v>2427400</v>
      </c>
      <c r="Z740" s="148" t="s">
        <v>760</v>
      </c>
    </row>
    <row r="741" spans="1:26" s="7" customFormat="1" ht="14.25" x14ac:dyDescent="0.2">
      <c r="A741" s="132" t="s">
        <v>756</v>
      </c>
      <c r="B741" s="132">
        <v>80</v>
      </c>
      <c r="C741" s="133" t="s">
        <v>790</v>
      </c>
      <c r="D741" s="133" t="s">
        <v>763</v>
      </c>
      <c r="E741" s="134"/>
      <c r="F741" s="134">
        <v>156030540</v>
      </c>
      <c r="G741" s="134"/>
      <c r="H741" s="135" t="s">
        <v>834</v>
      </c>
      <c r="I741" s="136" t="s">
        <v>831</v>
      </c>
      <c r="J741" s="150">
        <v>2</v>
      </c>
      <c r="K741" s="150">
        <v>2</v>
      </c>
      <c r="L741" s="150">
        <v>10</v>
      </c>
      <c r="M741" s="132">
        <v>1</v>
      </c>
      <c r="N741" s="140" t="s">
        <v>36</v>
      </c>
      <c r="O741" s="141" t="str">
        <f>IF(ISBLANK(N741),"",VLOOKUP(N741,[29]Parámetros!$G$2:$H$23,2,FALSE))</f>
        <v xml:space="preserve">Contratación directa (con ofertas) </v>
      </c>
      <c r="P741" s="142">
        <v>1</v>
      </c>
      <c r="Q741" s="143">
        <v>156030540</v>
      </c>
      <c r="R741" s="143">
        <v>156030540</v>
      </c>
      <c r="S741" s="144" t="s">
        <v>222</v>
      </c>
      <c r="T741" s="140">
        <v>0</v>
      </c>
      <c r="U741" s="145" t="str">
        <f t="shared" si="132"/>
        <v>SUBDIRECCION DE GESTION CONTRACTUAL</v>
      </c>
      <c r="V741" s="132" t="str">
        <f t="shared" si="133"/>
        <v>CO-DC</v>
      </c>
      <c r="W741" s="145" t="str">
        <f t="shared" si="134"/>
        <v>Distrito Capital de Bogotá</v>
      </c>
      <c r="X741" s="146" t="s">
        <v>759</v>
      </c>
      <c r="Y741" s="132">
        <v>2427400</v>
      </c>
      <c r="Z741" s="148" t="s">
        <v>760</v>
      </c>
    </row>
    <row r="742" spans="1:26" s="7" customFormat="1" ht="14.25" x14ac:dyDescent="0.2">
      <c r="A742" s="132" t="s">
        <v>756</v>
      </c>
      <c r="B742" s="132">
        <v>81</v>
      </c>
      <c r="C742" s="133" t="s">
        <v>793</v>
      </c>
      <c r="D742" s="133" t="s">
        <v>764</v>
      </c>
      <c r="E742" s="134"/>
      <c r="F742" s="134">
        <v>247561459</v>
      </c>
      <c r="G742" s="134"/>
      <c r="H742" s="135" t="s">
        <v>834</v>
      </c>
      <c r="I742" s="136" t="s">
        <v>831</v>
      </c>
      <c r="J742" s="150">
        <v>2</v>
      </c>
      <c r="K742" s="150">
        <v>2</v>
      </c>
      <c r="L742" s="150">
        <v>10</v>
      </c>
      <c r="M742" s="132">
        <v>1</v>
      </c>
      <c r="N742" s="140" t="s">
        <v>36</v>
      </c>
      <c r="O742" s="141" t="str">
        <f>IF(ISBLANK(N742),"",VLOOKUP(N742,[29]Parámetros!$G$2:$H$23,2,FALSE))</f>
        <v xml:space="preserve">Contratación directa (con ofertas) </v>
      </c>
      <c r="P742" s="142">
        <v>1</v>
      </c>
      <c r="Q742" s="143">
        <v>247561459</v>
      </c>
      <c r="R742" s="143">
        <v>247561459</v>
      </c>
      <c r="S742" s="144" t="s">
        <v>222</v>
      </c>
      <c r="T742" s="140">
        <v>0</v>
      </c>
      <c r="U742" s="145" t="str">
        <f t="shared" si="132"/>
        <v>SUBDIRECCION DE GESTION CONTRACTUAL</v>
      </c>
      <c r="V742" s="132" t="str">
        <f t="shared" si="133"/>
        <v>CO-DC</v>
      </c>
      <c r="W742" s="145" t="str">
        <f t="shared" si="134"/>
        <v>Distrito Capital de Bogotá</v>
      </c>
      <c r="X742" s="146" t="s">
        <v>759</v>
      </c>
      <c r="Y742" s="132">
        <v>2427400</v>
      </c>
      <c r="Z742" s="148" t="s">
        <v>760</v>
      </c>
    </row>
    <row r="743" spans="1:26" s="7" customFormat="1" ht="14.25" x14ac:dyDescent="0.2">
      <c r="A743" s="132" t="s">
        <v>756</v>
      </c>
      <c r="B743" s="132">
        <v>82</v>
      </c>
      <c r="C743" s="133" t="s">
        <v>793</v>
      </c>
      <c r="D743" s="133" t="s">
        <v>765</v>
      </c>
      <c r="E743" s="134"/>
      <c r="F743" s="134">
        <v>247864739</v>
      </c>
      <c r="G743" s="134"/>
      <c r="H743" s="135" t="s">
        <v>834</v>
      </c>
      <c r="I743" s="136" t="s">
        <v>831</v>
      </c>
      <c r="J743" s="150">
        <v>2</v>
      </c>
      <c r="K743" s="150">
        <v>2</v>
      </c>
      <c r="L743" s="150">
        <v>10</v>
      </c>
      <c r="M743" s="132">
        <v>1</v>
      </c>
      <c r="N743" s="140" t="s">
        <v>36</v>
      </c>
      <c r="O743" s="141" t="str">
        <f>IF(ISBLANK(N743),"",VLOOKUP(N743,[29]Parámetros!$G$2:$H$23,2,FALSE))</f>
        <v xml:space="preserve">Contratación directa (con ofertas) </v>
      </c>
      <c r="P743" s="142">
        <v>1</v>
      </c>
      <c r="Q743" s="143">
        <v>247864739</v>
      </c>
      <c r="R743" s="143">
        <v>247864739</v>
      </c>
      <c r="S743" s="144" t="s">
        <v>222</v>
      </c>
      <c r="T743" s="140">
        <v>0</v>
      </c>
      <c r="U743" s="145" t="str">
        <f t="shared" si="132"/>
        <v>SUBDIRECCION DE GESTION CONTRACTUAL</v>
      </c>
      <c r="V743" s="132" t="str">
        <f t="shared" si="133"/>
        <v>CO-DC</v>
      </c>
      <c r="W743" s="145" t="str">
        <f t="shared" si="134"/>
        <v>Distrito Capital de Bogotá</v>
      </c>
      <c r="X743" s="146" t="s">
        <v>759</v>
      </c>
      <c r="Y743" s="132">
        <v>2427400</v>
      </c>
      <c r="Z743" s="148" t="s">
        <v>760</v>
      </c>
    </row>
    <row r="744" spans="1:26" s="7" customFormat="1" ht="14.25" x14ac:dyDescent="0.2">
      <c r="A744" s="132" t="s">
        <v>756</v>
      </c>
      <c r="B744" s="132">
        <v>83</v>
      </c>
      <c r="C744" s="133" t="s">
        <v>793</v>
      </c>
      <c r="D744" s="133" t="s">
        <v>766</v>
      </c>
      <c r="E744" s="134"/>
      <c r="F744" s="134">
        <v>371797104</v>
      </c>
      <c r="G744" s="134"/>
      <c r="H744" s="135" t="s">
        <v>834</v>
      </c>
      <c r="I744" s="136" t="s">
        <v>831</v>
      </c>
      <c r="J744" s="150">
        <v>2</v>
      </c>
      <c r="K744" s="150">
        <v>2</v>
      </c>
      <c r="L744" s="150">
        <v>10</v>
      </c>
      <c r="M744" s="132">
        <v>1</v>
      </c>
      <c r="N744" s="140" t="s">
        <v>36</v>
      </c>
      <c r="O744" s="141" t="str">
        <f>IF(ISBLANK(N744),"",VLOOKUP(N744,[29]Parámetros!$G$2:$H$23,2,FALSE))</f>
        <v xml:space="preserve">Contratación directa (con ofertas) </v>
      </c>
      <c r="P744" s="142">
        <v>1</v>
      </c>
      <c r="Q744" s="143">
        <v>371797104</v>
      </c>
      <c r="R744" s="143">
        <v>371797104</v>
      </c>
      <c r="S744" s="144" t="s">
        <v>222</v>
      </c>
      <c r="T744" s="140">
        <v>0</v>
      </c>
      <c r="U744" s="145" t="str">
        <f t="shared" si="132"/>
        <v>SUBDIRECCION DE GESTION CONTRACTUAL</v>
      </c>
      <c r="V744" s="132" t="str">
        <f t="shared" si="133"/>
        <v>CO-DC</v>
      </c>
      <c r="W744" s="145" t="str">
        <f t="shared" si="134"/>
        <v>Distrito Capital de Bogotá</v>
      </c>
      <c r="X744" s="146" t="s">
        <v>759</v>
      </c>
      <c r="Y744" s="132">
        <v>2427400</v>
      </c>
      <c r="Z744" s="148" t="s">
        <v>760</v>
      </c>
    </row>
    <row r="745" spans="1:26" s="7" customFormat="1" ht="14.25" x14ac:dyDescent="0.2">
      <c r="A745" s="132" t="s">
        <v>756</v>
      </c>
      <c r="B745" s="132">
        <v>84</v>
      </c>
      <c r="C745" s="133" t="s">
        <v>793</v>
      </c>
      <c r="D745" s="133" t="s">
        <v>767</v>
      </c>
      <c r="E745" s="134"/>
      <c r="F745" s="134">
        <v>247864738</v>
      </c>
      <c r="G745" s="134"/>
      <c r="H745" s="135" t="s">
        <v>834</v>
      </c>
      <c r="I745" s="136" t="s">
        <v>831</v>
      </c>
      <c r="J745" s="150">
        <v>2</v>
      </c>
      <c r="K745" s="150">
        <v>2</v>
      </c>
      <c r="L745" s="150">
        <v>10</v>
      </c>
      <c r="M745" s="132">
        <v>1</v>
      </c>
      <c r="N745" s="140" t="s">
        <v>36</v>
      </c>
      <c r="O745" s="141" t="str">
        <f>IF(ISBLANK(N745),"",VLOOKUP(N745,[29]Parámetros!$G$2:$H$23,2,FALSE))</f>
        <v xml:space="preserve">Contratación directa (con ofertas) </v>
      </c>
      <c r="P745" s="142">
        <v>1</v>
      </c>
      <c r="Q745" s="143">
        <v>247864738</v>
      </c>
      <c r="R745" s="143">
        <v>247864738</v>
      </c>
      <c r="S745" s="144" t="s">
        <v>222</v>
      </c>
      <c r="T745" s="140">
        <v>0</v>
      </c>
      <c r="U745" s="145" t="str">
        <f t="shared" si="132"/>
        <v>SUBDIRECCION DE GESTION CONTRACTUAL</v>
      </c>
      <c r="V745" s="132" t="str">
        <f t="shared" si="133"/>
        <v>CO-DC</v>
      </c>
      <c r="W745" s="145" t="str">
        <f t="shared" si="134"/>
        <v>Distrito Capital de Bogotá</v>
      </c>
      <c r="X745" s="146" t="s">
        <v>759</v>
      </c>
      <c r="Y745" s="132">
        <v>2427400</v>
      </c>
      <c r="Z745" s="148" t="s">
        <v>760</v>
      </c>
    </row>
    <row r="746" spans="1:26" s="7" customFormat="1" ht="14.25" x14ac:dyDescent="0.2">
      <c r="A746" s="132" t="s">
        <v>756</v>
      </c>
      <c r="B746" s="132">
        <v>85</v>
      </c>
      <c r="C746" s="133" t="s">
        <v>796</v>
      </c>
      <c r="D746" s="133" t="s">
        <v>774</v>
      </c>
      <c r="E746" s="134"/>
      <c r="F746" s="134">
        <v>20000000</v>
      </c>
      <c r="G746" s="134"/>
      <c r="H746" s="135" t="s">
        <v>42</v>
      </c>
      <c r="I746" s="136" t="s">
        <v>832</v>
      </c>
      <c r="J746" s="150">
        <v>3</v>
      </c>
      <c r="K746" s="150">
        <v>4</v>
      </c>
      <c r="L746" s="150">
        <v>9</v>
      </c>
      <c r="M746" s="132">
        <v>1</v>
      </c>
      <c r="N746" s="140" t="s">
        <v>61</v>
      </c>
      <c r="O746" s="141" t="str">
        <f>IF(ISBLANK(N746),"",VLOOKUP(N746,[29]Parámetros!$G$2:$H$23,2,FALSE))</f>
        <v>Contratación régimen especial - Selección de comisionista</v>
      </c>
      <c r="P746" s="142">
        <v>1</v>
      </c>
      <c r="Q746" s="143">
        <v>20000000</v>
      </c>
      <c r="R746" s="143">
        <v>20000000</v>
      </c>
      <c r="S746" s="144" t="s">
        <v>222</v>
      </c>
      <c r="T746" s="140">
        <v>0</v>
      </c>
      <c r="U746" s="145" t="str">
        <f t="shared" si="132"/>
        <v>SUBDIRECCION DE GESTION CONTRACTUAL</v>
      </c>
      <c r="V746" s="132" t="str">
        <f t="shared" si="133"/>
        <v>CO-DC</v>
      </c>
      <c r="W746" s="145" t="str">
        <f t="shared" si="134"/>
        <v>Distrito Capital de Bogotá</v>
      </c>
      <c r="X746" s="146" t="s">
        <v>759</v>
      </c>
      <c r="Y746" s="132">
        <v>2427400</v>
      </c>
      <c r="Z746" s="148" t="s">
        <v>760</v>
      </c>
    </row>
    <row r="747" spans="1:26" s="7" customFormat="1" ht="14.25" x14ac:dyDescent="0.2">
      <c r="A747" s="132" t="s">
        <v>756</v>
      </c>
      <c r="B747" s="132">
        <v>86</v>
      </c>
      <c r="C747" s="133" t="s">
        <v>790</v>
      </c>
      <c r="D747" s="133" t="s">
        <v>757</v>
      </c>
      <c r="E747" s="134"/>
      <c r="F747" s="134">
        <v>20000000</v>
      </c>
      <c r="G747" s="134"/>
      <c r="H747" s="135" t="s">
        <v>42</v>
      </c>
      <c r="I747" s="136" t="s">
        <v>833</v>
      </c>
      <c r="J747" s="150">
        <v>3</v>
      </c>
      <c r="K747" s="150">
        <v>4</v>
      </c>
      <c r="L747" s="150">
        <v>9</v>
      </c>
      <c r="M747" s="132">
        <v>1</v>
      </c>
      <c r="N747" s="140" t="s">
        <v>61</v>
      </c>
      <c r="O747" s="141" t="str">
        <f>IF(ISBLANK(N747),"",VLOOKUP(N747,[29]Parámetros!$G$2:$H$23,2,FALSE))</f>
        <v>Contratación régimen especial - Selección de comisionista</v>
      </c>
      <c r="P747" s="142">
        <v>1</v>
      </c>
      <c r="Q747" s="143">
        <v>20000000</v>
      </c>
      <c r="R747" s="143">
        <v>20000000</v>
      </c>
      <c r="S747" s="144" t="s">
        <v>222</v>
      </c>
      <c r="T747" s="140">
        <v>0</v>
      </c>
      <c r="U747" s="145" t="str">
        <f t="shared" si="132"/>
        <v>SUBDIRECCION DE GESTION CONTRACTUAL</v>
      </c>
      <c r="V747" s="132" t="str">
        <f t="shared" si="133"/>
        <v>CO-DC</v>
      </c>
      <c r="W747" s="145" t="str">
        <f t="shared" si="134"/>
        <v>Distrito Capital de Bogotá</v>
      </c>
      <c r="X747" s="146" t="s">
        <v>789</v>
      </c>
      <c r="Y747" s="132">
        <v>2427400</v>
      </c>
      <c r="Z747" s="148" t="s">
        <v>760</v>
      </c>
    </row>
  </sheetData>
  <sheetProtection insertRows="0" selectLockedCells="1"/>
  <autoFilter ref="A6:CG747" xr:uid="{00000000-0009-0000-0000-000001000000}"/>
  <sortState xmlns:xlrd2="http://schemas.microsoft.com/office/spreadsheetml/2017/richdata2" ref="A7:Z660">
    <sortCondition ref="A7:A660"/>
    <sortCondition ref="B7:B660"/>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525:V1048576 V7:V512" xr:uid="{00000000-0002-0000-0100-000000000000}"/>
    <dataValidation type="whole" operator="greaterThanOrEqual" allowBlank="1" showInputMessage="1" showErrorMessage="1" sqref="E38:E54 H33 E103:G164 F224:F237 F166:F221 G166:G237 E165:E237 F165:G165 E90:G99 G326 E238:G325 E330:E350 F45:G54 G662:G747 F332:F337 E351:G506 F43 E44:G44 E7:E36 E690:E747 F662:F689 G330:G350 F339:F350 G7:G43 F7:F41 Q328:R329 E327:G329 E526:G661 F508:F512 E55:G87" xr:uid="{00000000-0002-0000-0100-000001000000}">
      <formula1>0</formula1>
    </dataValidation>
    <dataValidation type="whole" allowBlank="1" showInputMessage="1" showErrorMessage="1" sqref="L136:L159 L310:L319 L257:L265 L340:L400 L222:L223 L402:L461 L660:L747 L321:L338 L103:L107 L36:L97 L525:L619 L253:L255 L238:L251 L273:L278 L649:L658 L280:L284 L286:L290 L298:L306 L292:L296 L308 L463:L479 L490:L497 L481:L488 L499:L506 L267:L271 L16:L34 L236 M662:M747 L7:L14 L621:L647 L161:L220 L109:L134" xr:uid="{00000000-0002-0000-0100-000002000000}">
      <formula1>1</formula1>
      <formula2>24</formula2>
    </dataValidation>
    <dataValidation type="whole" allowBlank="1" showDropDown="1" showInputMessage="1" showErrorMessage="1" sqref="J402:K461 J308:K319 J257:K265 J340:K400 J222:K223 J236:K236 J660:K747 J36:K97 J103:K107 J321:K338 J525:K619 J253:K255 J238:K251 J273:K278 J649:K658 J280:K284 J286:K290 J292:K296 J136:K159 J298:K306 J463:K479 J490:K497 J481:K488 J7:K34 J267:K271 J621:K647 J161:K220 J499:K506 J109:K134"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03" r:id="rId44" xr:uid="{00000000-0004-0000-0100-00002B000000}"/>
    <hyperlink ref="Z169" r:id="rId45" xr:uid="{00000000-0004-0000-0100-00002C000000}"/>
    <hyperlink ref="Z170" r:id="rId46" xr:uid="{00000000-0004-0000-0100-00002D000000}"/>
    <hyperlink ref="Z171" r:id="rId47" xr:uid="{00000000-0004-0000-0100-00002E000000}"/>
    <hyperlink ref="Z183" r:id="rId48" xr:uid="{00000000-0004-0000-0100-00002F000000}"/>
    <hyperlink ref="Z189" r:id="rId49" xr:uid="{00000000-0004-0000-0100-000030000000}"/>
    <hyperlink ref="Z195" r:id="rId50" xr:uid="{00000000-0004-0000-0100-000031000000}"/>
    <hyperlink ref="Z196" r:id="rId51" xr:uid="{00000000-0004-0000-0100-000032000000}"/>
    <hyperlink ref="Z201" r:id="rId52" xr:uid="{00000000-0004-0000-0100-000033000000}"/>
    <hyperlink ref="Z213" r:id="rId53" xr:uid="{00000000-0004-0000-0100-000034000000}"/>
    <hyperlink ref="Z214" r:id="rId54" xr:uid="{00000000-0004-0000-0100-000035000000}"/>
    <hyperlink ref="Z172" r:id="rId55" xr:uid="{00000000-0004-0000-0100-000036000000}"/>
    <hyperlink ref="Z173:Z174" r:id="rId56" display="diana.vivas@mininterior.gov.co" xr:uid="{00000000-0004-0000-0100-000037000000}"/>
    <hyperlink ref="Z182" r:id="rId57" xr:uid="{00000000-0004-0000-0100-000038000000}"/>
    <hyperlink ref="Z188" r:id="rId58" xr:uid="{00000000-0004-0000-0100-000039000000}"/>
    <hyperlink ref="Z193:Z194" r:id="rId59" display="diana.vivas@mininterior.gov.co" xr:uid="{00000000-0004-0000-0100-00003A000000}"/>
    <hyperlink ref="Z202" r:id="rId60" xr:uid="{00000000-0004-0000-0100-00003B000000}"/>
    <hyperlink ref="Z205:Z206" r:id="rId61" display="diana.vivas@mininterior.gov.co" xr:uid="{00000000-0004-0000-0100-00003C000000}"/>
    <hyperlink ref="Z218:Z220" r:id="rId62" display="diana.vivas@mininterior.gov.co" xr:uid="{00000000-0004-0000-0100-00003D000000}"/>
    <hyperlink ref="Z330" r:id="rId63" xr:uid="{00000000-0004-0000-0100-00003E000000}"/>
    <hyperlink ref="Z331:Z335" r:id="rId64" display="yuly.manosalva@mininterior.gov.co" xr:uid="{00000000-0004-0000-0100-00003F000000}"/>
    <hyperlink ref="Z337" r:id="rId65" xr:uid="{00000000-0004-0000-0100-000040000000}"/>
    <hyperlink ref="Z338" r:id="rId66" xr:uid="{00000000-0004-0000-0100-000041000000}"/>
    <hyperlink ref="Z341" r:id="rId67" xr:uid="{00000000-0004-0000-0100-000042000000}"/>
    <hyperlink ref="Z342" r:id="rId68" xr:uid="{00000000-0004-0000-0100-000043000000}"/>
    <hyperlink ref="Z343" r:id="rId69" xr:uid="{00000000-0004-0000-0100-000044000000}"/>
    <hyperlink ref="Z344" r:id="rId70" xr:uid="{00000000-0004-0000-0100-000045000000}"/>
    <hyperlink ref="Z345" r:id="rId71" xr:uid="{00000000-0004-0000-0100-000046000000}"/>
    <hyperlink ref="Z347" r:id="rId72" xr:uid="{00000000-0004-0000-0100-000047000000}"/>
    <hyperlink ref="Z348" r:id="rId73" xr:uid="{00000000-0004-0000-0100-000048000000}"/>
    <hyperlink ref="Z358" r:id="rId74" xr:uid="{00000000-0004-0000-0100-000049000000}"/>
    <hyperlink ref="Z465" r:id="rId75" xr:uid="{00000000-0004-0000-0100-00004A000000}"/>
    <hyperlink ref="Z526" r:id="rId76" xr:uid="{00000000-0004-0000-0100-00004B000000}"/>
    <hyperlink ref="Z527" r:id="rId77" xr:uid="{00000000-0004-0000-0100-00004C000000}"/>
    <hyperlink ref="Z528" r:id="rId78" xr:uid="{00000000-0004-0000-0100-00004D000000}"/>
    <hyperlink ref="Z529" r:id="rId79" xr:uid="{00000000-0004-0000-0100-00004E000000}"/>
    <hyperlink ref="Z530" r:id="rId80" xr:uid="{00000000-0004-0000-0100-00004F000000}"/>
    <hyperlink ref="Z531" r:id="rId81" xr:uid="{00000000-0004-0000-0100-000050000000}"/>
    <hyperlink ref="Z532" r:id="rId82" xr:uid="{00000000-0004-0000-0100-000051000000}"/>
    <hyperlink ref="Z533" r:id="rId83" xr:uid="{00000000-0004-0000-0100-000052000000}"/>
    <hyperlink ref="Z534" r:id="rId84" xr:uid="{00000000-0004-0000-0100-000053000000}"/>
    <hyperlink ref="Z535" r:id="rId85" xr:uid="{00000000-0004-0000-0100-000054000000}"/>
    <hyperlink ref="Z536" r:id="rId86" xr:uid="{00000000-0004-0000-0100-000055000000}"/>
    <hyperlink ref="Z537" r:id="rId87" xr:uid="{00000000-0004-0000-0100-000056000000}"/>
    <hyperlink ref="Z538" r:id="rId88" xr:uid="{00000000-0004-0000-0100-000057000000}"/>
    <hyperlink ref="Z539" r:id="rId89" xr:uid="{00000000-0004-0000-0100-000058000000}"/>
    <hyperlink ref="Z540" r:id="rId90" xr:uid="{00000000-0004-0000-0100-000059000000}"/>
    <hyperlink ref="Z541" r:id="rId91" xr:uid="{00000000-0004-0000-0100-00005A000000}"/>
    <hyperlink ref="Z542" r:id="rId92" xr:uid="{00000000-0004-0000-0100-00005B000000}"/>
    <hyperlink ref="Z543" r:id="rId93" xr:uid="{00000000-0004-0000-0100-00005C000000}"/>
    <hyperlink ref="Z544" r:id="rId94" xr:uid="{00000000-0004-0000-0100-00005D000000}"/>
    <hyperlink ref="Z545" r:id="rId95" xr:uid="{00000000-0004-0000-0100-00005E000000}"/>
    <hyperlink ref="Z546" r:id="rId96" xr:uid="{00000000-0004-0000-0100-00005F000000}"/>
    <hyperlink ref="Z547" r:id="rId97" xr:uid="{00000000-0004-0000-0100-000060000000}"/>
    <hyperlink ref="Z548" r:id="rId98" xr:uid="{00000000-0004-0000-0100-000061000000}"/>
    <hyperlink ref="Z549" r:id="rId99" xr:uid="{00000000-0004-0000-0100-000062000000}"/>
    <hyperlink ref="Z550" r:id="rId100" xr:uid="{00000000-0004-0000-0100-000063000000}"/>
    <hyperlink ref="Z551" r:id="rId101" xr:uid="{00000000-0004-0000-0100-000064000000}"/>
    <hyperlink ref="Z552" r:id="rId102" xr:uid="{00000000-0004-0000-0100-000065000000}"/>
    <hyperlink ref="Z553" r:id="rId103" xr:uid="{00000000-0004-0000-0100-000066000000}"/>
    <hyperlink ref="Z554" r:id="rId104" xr:uid="{00000000-0004-0000-0100-000067000000}"/>
    <hyperlink ref="Z555" r:id="rId105" xr:uid="{00000000-0004-0000-0100-000068000000}"/>
    <hyperlink ref="Z556" r:id="rId106" xr:uid="{00000000-0004-0000-0100-000069000000}"/>
    <hyperlink ref="Z557" r:id="rId107" xr:uid="{00000000-0004-0000-0100-00006A000000}"/>
    <hyperlink ref="Z558" r:id="rId108" xr:uid="{00000000-0004-0000-0100-00006B000000}"/>
    <hyperlink ref="Z559" r:id="rId109" xr:uid="{00000000-0004-0000-0100-00006C000000}"/>
    <hyperlink ref="Z560" r:id="rId110" xr:uid="{00000000-0004-0000-0100-00006D000000}"/>
    <hyperlink ref="Z561" r:id="rId111" xr:uid="{00000000-0004-0000-0100-00006E000000}"/>
    <hyperlink ref="Z562" r:id="rId112" xr:uid="{00000000-0004-0000-0100-00006F000000}"/>
    <hyperlink ref="Z563" r:id="rId113" xr:uid="{00000000-0004-0000-0100-000070000000}"/>
    <hyperlink ref="Z564" r:id="rId114" xr:uid="{00000000-0004-0000-0100-000071000000}"/>
    <hyperlink ref="Z565" r:id="rId115" xr:uid="{00000000-0004-0000-0100-000072000000}"/>
    <hyperlink ref="Z566" r:id="rId116" xr:uid="{00000000-0004-0000-0100-000073000000}"/>
    <hyperlink ref="Z567" r:id="rId117" xr:uid="{00000000-0004-0000-0100-000074000000}"/>
    <hyperlink ref="Z568" r:id="rId118" xr:uid="{00000000-0004-0000-0100-000075000000}"/>
    <hyperlink ref="Z569" r:id="rId119" xr:uid="{00000000-0004-0000-0100-000076000000}"/>
    <hyperlink ref="Z570" r:id="rId120" xr:uid="{00000000-0004-0000-0100-000077000000}"/>
    <hyperlink ref="Z571" r:id="rId121" xr:uid="{00000000-0004-0000-0100-000078000000}"/>
    <hyperlink ref="Z572" r:id="rId122" xr:uid="{00000000-0004-0000-0100-000079000000}"/>
    <hyperlink ref="Z573" r:id="rId123" xr:uid="{00000000-0004-0000-0100-00007A000000}"/>
    <hyperlink ref="Z574" r:id="rId124" xr:uid="{00000000-0004-0000-0100-00007B000000}"/>
    <hyperlink ref="Z575" r:id="rId125" xr:uid="{00000000-0004-0000-0100-00007C000000}"/>
    <hyperlink ref="Z576" r:id="rId126" xr:uid="{00000000-0004-0000-0100-00007D000000}"/>
    <hyperlink ref="Z577" r:id="rId127" xr:uid="{00000000-0004-0000-0100-00007E000000}"/>
    <hyperlink ref="Z578" r:id="rId128" xr:uid="{00000000-0004-0000-0100-00007F000000}"/>
    <hyperlink ref="Z579" r:id="rId129" xr:uid="{00000000-0004-0000-0100-000080000000}"/>
    <hyperlink ref="Z580" r:id="rId130" xr:uid="{00000000-0004-0000-0100-000081000000}"/>
    <hyperlink ref="Z581" r:id="rId131" xr:uid="{00000000-0004-0000-0100-000082000000}"/>
    <hyperlink ref="Z582" r:id="rId132" xr:uid="{00000000-0004-0000-0100-000083000000}"/>
    <hyperlink ref="Z583" r:id="rId133" xr:uid="{00000000-0004-0000-0100-000084000000}"/>
    <hyperlink ref="Z584" r:id="rId134" xr:uid="{00000000-0004-0000-0100-000085000000}"/>
    <hyperlink ref="Z585" r:id="rId135" xr:uid="{00000000-0004-0000-0100-000086000000}"/>
    <hyperlink ref="Z586" r:id="rId136" xr:uid="{00000000-0004-0000-0100-000087000000}"/>
    <hyperlink ref="Z587" r:id="rId137" xr:uid="{00000000-0004-0000-0100-000088000000}"/>
    <hyperlink ref="Z588" r:id="rId138" xr:uid="{00000000-0004-0000-0100-000089000000}"/>
    <hyperlink ref="Z589" r:id="rId139" xr:uid="{00000000-0004-0000-0100-00008A000000}"/>
    <hyperlink ref="Z590" r:id="rId140" xr:uid="{00000000-0004-0000-0100-00008B000000}"/>
    <hyperlink ref="Z591" r:id="rId141" xr:uid="{00000000-0004-0000-0100-00008C000000}"/>
    <hyperlink ref="Z592" r:id="rId142" xr:uid="{00000000-0004-0000-0100-00008D000000}"/>
    <hyperlink ref="Z593" r:id="rId143" xr:uid="{00000000-0004-0000-0100-00008E000000}"/>
    <hyperlink ref="Z594" r:id="rId144" xr:uid="{00000000-0004-0000-0100-00008F000000}"/>
    <hyperlink ref="Z595" r:id="rId145" xr:uid="{00000000-0004-0000-0100-000090000000}"/>
    <hyperlink ref="Z596" r:id="rId146" xr:uid="{00000000-0004-0000-0100-000091000000}"/>
    <hyperlink ref="Z597" r:id="rId147" xr:uid="{00000000-0004-0000-0100-000092000000}"/>
    <hyperlink ref="Z598" r:id="rId148" xr:uid="{00000000-0004-0000-0100-000093000000}"/>
    <hyperlink ref="Z599" r:id="rId149" xr:uid="{00000000-0004-0000-0100-000094000000}"/>
    <hyperlink ref="Z600" r:id="rId150" xr:uid="{00000000-0004-0000-0100-000095000000}"/>
    <hyperlink ref="Z601" r:id="rId151" xr:uid="{00000000-0004-0000-0100-000096000000}"/>
    <hyperlink ref="Z602" r:id="rId152" xr:uid="{00000000-0004-0000-0100-000097000000}"/>
    <hyperlink ref="Z603" r:id="rId153" xr:uid="{00000000-0004-0000-0100-000098000000}"/>
    <hyperlink ref="Z604" r:id="rId154" xr:uid="{00000000-0004-0000-0100-000099000000}"/>
    <hyperlink ref="Z605" r:id="rId155" xr:uid="{00000000-0004-0000-0100-00009A000000}"/>
    <hyperlink ref="Z606" r:id="rId156" xr:uid="{00000000-0004-0000-0100-00009B000000}"/>
    <hyperlink ref="Z607" r:id="rId157" xr:uid="{00000000-0004-0000-0100-00009C000000}"/>
    <hyperlink ref="Z608" r:id="rId158" xr:uid="{00000000-0004-0000-0100-00009D000000}"/>
    <hyperlink ref="Z609" r:id="rId159" xr:uid="{00000000-0004-0000-0100-00009E000000}"/>
    <hyperlink ref="Z610" r:id="rId160" xr:uid="{00000000-0004-0000-0100-00009F000000}"/>
    <hyperlink ref="Z611" r:id="rId161" xr:uid="{00000000-0004-0000-0100-0000A0000000}"/>
    <hyperlink ref="Z612" r:id="rId162" xr:uid="{00000000-0004-0000-0100-0000A1000000}"/>
    <hyperlink ref="Z613" r:id="rId163" xr:uid="{00000000-0004-0000-0100-0000A2000000}"/>
    <hyperlink ref="Z614" r:id="rId164" xr:uid="{00000000-0004-0000-0100-0000A3000000}"/>
    <hyperlink ref="Z615" r:id="rId165" xr:uid="{00000000-0004-0000-0100-0000A4000000}"/>
    <hyperlink ref="Z616" r:id="rId166" xr:uid="{00000000-0004-0000-0100-0000A5000000}"/>
    <hyperlink ref="Z617" r:id="rId167" xr:uid="{00000000-0004-0000-0100-0000A6000000}"/>
    <hyperlink ref="Z642" r:id="rId168" xr:uid="{00000000-0004-0000-0100-0000A7000000}"/>
    <hyperlink ref="Z643" r:id="rId169" xr:uid="{00000000-0004-0000-0100-0000A8000000}"/>
    <hyperlink ref="Z644" r:id="rId170" xr:uid="{00000000-0004-0000-0100-0000A9000000}"/>
    <hyperlink ref="Z645" r:id="rId171" xr:uid="{00000000-0004-0000-0100-0000AA000000}"/>
    <hyperlink ref="Z622" r:id="rId172" xr:uid="{00000000-0004-0000-0100-0000AB000000}"/>
    <hyperlink ref="Z623" r:id="rId173" xr:uid="{00000000-0004-0000-0100-0000AC000000}"/>
    <hyperlink ref="Z624" r:id="rId174" xr:uid="{00000000-0004-0000-0100-0000AD000000}"/>
    <hyperlink ref="Z625" r:id="rId175" xr:uid="{00000000-0004-0000-0100-0000AE000000}"/>
    <hyperlink ref="Z626" r:id="rId176" xr:uid="{00000000-0004-0000-0100-0000AF000000}"/>
    <hyperlink ref="Z627" r:id="rId177" xr:uid="{00000000-0004-0000-0100-0000B0000000}"/>
    <hyperlink ref="Z628" r:id="rId178" xr:uid="{00000000-0004-0000-0100-0000B1000000}"/>
    <hyperlink ref="Z629" r:id="rId179" xr:uid="{00000000-0004-0000-0100-0000B2000000}"/>
    <hyperlink ref="Z630" r:id="rId180" xr:uid="{00000000-0004-0000-0100-0000B3000000}"/>
    <hyperlink ref="Z631" r:id="rId181" xr:uid="{00000000-0004-0000-0100-0000B4000000}"/>
    <hyperlink ref="Z632" r:id="rId182" xr:uid="{00000000-0004-0000-0100-0000B5000000}"/>
    <hyperlink ref="Z633" r:id="rId183" xr:uid="{00000000-0004-0000-0100-0000B6000000}"/>
    <hyperlink ref="Z634" r:id="rId184" xr:uid="{00000000-0004-0000-0100-0000B7000000}"/>
    <hyperlink ref="Z635" r:id="rId185" xr:uid="{00000000-0004-0000-0100-0000B8000000}"/>
    <hyperlink ref="Z636" r:id="rId186" xr:uid="{00000000-0004-0000-0100-0000B9000000}"/>
    <hyperlink ref="Z637" r:id="rId187" xr:uid="{00000000-0004-0000-0100-0000BA000000}"/>
    <hyperlink ref="Z638" r:id="rId188" xr:uid="{00000000-0004-0000-0100-0000BB000000}"/>
    <hyperlink ref="Z639" r:id="rId189" xr:uid="{00000000-0004-0000-0100-0000BC000000}"/>
    <hyperlink ref="Z640" r:id="rId190" xr:uid="{00000000-0004-0000-0100-0000BD000000}"/>
    <hyperlink ref="Z641" r:id="rId191" xr:uid="{00000000-0004-0000-0100-0000BE000000}"/>
    <hyperlink ref="Z618" r:id="rId192" xr:uid="{00000000-0004-0000-0100-0000BF000000}"/>
    <hyperlink ref="Z646" r:id="rId193" xr:uid="{00000000-0004-0000-0100-0000C0000000}"/>
    <hyperlink ref="Z619" r:id="rId194" xr:uid="{00000000-0004-0000-0100-0000C1000000}"/>
    <hyperlink ref="Z620" r:id="rId195" xr:uid="{00000000-0004-0000-0100-0000C2000000}"/>
    <hyperlink ref="Z621" r:id="rId196" xr:uid="{00000000-0004-0000-0100-0000C3000000}"/>
    <hyperlink ref="Z483" r:id="rId197" display="mailto:sonia.bernal@mininterior.gov.co" xr:uid="{00000000-0004-0000-0100-0000C4000000}"/>
    <hyperlink ref="Z162" r:id="rId198" xr:uid="{00000000-0004-0000-0100-0000C5000000}"/>
    <hyperlink ref="Z300" r:id="rId199" xr:uid="{00000000-0004-0000-0100-0000C6000000}"/>
    <hyperlink ref="Z336" r:id="rId200" xr:uid="{00000000-0004-0000-0100-0000C7000000}"/>
    <hyperlink ref="Z356" r:id="rId201" xr:uid="{00000000-0004-0000-0100-0000C8000000}"/>
    <hyperlink ref="Z383" r:id="rId202" xr:uid="{00000000-0004-0000-0100-0000C9000000}"/>
    <hyperlink ref="Z30" r:id="rId203" xr:uid="{00000000-0004-0000-0100-0000CA000000}"/>
    <hyperlink ref="Z144" r:id="rId204" xr:uid="{00000000-0004-0000-0100-0000CB000000}"/>
    <hyperlink ref="Z161" r:id="rId205" xr:uid="{00000000-0004-0000-0100-0000CC000000}"/>
    <hyperlink ref="Z224" r:id="rId206" xr:uid="{00000000-0004-0000-0100-0000CD000000}"/>
    <hyperlink ref="Z335" r:id="rId207" xr:uid="{00000000-0004-0000-0100-0000CE000000}"/>
    <hyperlink ref="Z359" r:id="rId208" xr:uid="{00000000-0004-0000-0100-0000CF000000}"/>
    <hyperlink ref="Z385" r:id="rId209" xr:uid="{00000000-0004-0000-0100-0000D0000000}"/>
    <hyperlink ref="Z505" r:id="rId210" xr:uid="{00000000-0004-0000-0100-0000D1000000}"/>
    <hyperlink ref="Z660" r:id="rId211" xr:uid="{00000000-0004-0000-0100-0000D2000000}"/>
    <hyperlink ref="Z484" r:id="rId212" xr:uid="{00000000-0004-0000-0100-0000D3000000}"/>
    <hyperlink ref="Z662" r:id="rId213" xr:uid="{00000000-0004-0000-0100-0000D4000000}"/>
    <hyperlink ref="Z690" r:id="rId214" xr:uid="{00000000-0004-0000-0100-0000D5000000}"/>
    <hyperlink ref="Z663" r:id="rId215" xr:uid="{00000000-0004-0000-0100-0000D6000000}"/>
    <hyperlink ref="Z664" r:id="rId216" xr:uid="{00000000-0004-0000-0100-0000D7000000}"/>
    <hyperlink ref="Z665" r:id="rId217" xr:uid="{00000000-0004-0000-0100-0000D8000000}"/>
    <hyperlink ref="Z666" r:id="rId218" xr:uid="{00000000-0004-0000-0100-0000D9000000}"/>
    <hyperlink ref="Z667" r:id="rId219" xr:uid="{00000000-0004-0000-0100-0000DA000000}"/>
    <hyperlink ref="Z668" r:id="rId220" xr:uid="{00000000-0004-0000-0100-0000DB000000}"/>
    <hyperlink ref="Z669" r:id="rId221" xr:uid="{00000000-0004-0000-0100-0000DC000000}"/>
    <hyperlink ref="Z670" r:id="rId222" xr:uid="{00000000-0004-0000-0100-0000DD000000}"/>
    <hyperlink ref="Z671" r:id="rId223" xr:uid="{00000000-0004-0000-0100-0000DE000000}"/>
    <hyperlink ref="Z672" r:id="rId224" xr:uid="{00000000-0004-0000-0100-0000DF000000}"/>
    <hyperlink ref="Z673" r:id="rId225" xr:uid="{00000000-0004-0000-0100-0000E0000000}"/>
    <hyperlink ref="Z674" r:id="rId226" xr:uid="{00000000-0004-0000-0100-0000E1000000}"/>
    <hyperlink ref="Z675" r:id="rId227" xr:uid="{00000000-0004-0000-0100-0000E2000000}"/>
    <hyperlink ref="Z676" r:id="rId228" xr:uid="{00000000-0004-0000-0100-0000E3000000}"/>
    <hyperlink ref="Z677" r:id="rId229" xr:uid="{00000000-0004-0000-0100-0000E4000000}"/>
    <hyperlink ref="Z678" r:id="rId230" xr:uid="{00000000-0004-0000-0100-0000E5000000}"/>
    <hyperlink ref="Z679" r:id="rId231" xr:uid="{00000000-0004-0000-0100-0000E6000000}"/>
    <hyperlink ref="Z680" r:id="rId232" xr:uid="{00000000-0004-0000-0100-0000E7000000}"/>
    <hyperlink ref="Z681" r:id="rId233" xr:uid="{00000000-0004-0000-0100-0000E8000000}"/>
    <hyperlink ref="Z682" r:id="rId234" xr:uid="{00000000-0004-0000-0100-0000E9000000}"/>
    <hyperlink ref="Z683" r:id="rId235" xr:uid="{00000000-0004-0000-0100-0000EA000000}"/>
    <hyperlink ref="Z684" r:id="rId236" xr:uid="{00000000-0004-0000-0100-0000EB000000}"/>
    <hyperlink ref="Z685" r:id="rId237" xr:uid="{00000000-0004-0000-0100-0000EC000000}"/>
    <hyperlink ref="Z686" r:id="rId238" xr:uid="{00000000-0004-0000-0100-0000ED000000}"/>
    <hyperlink ref="Z687" r:id="rId239" xr:uid="{00000000-0004-0000-0100-0000EE000000}"/>
    <hyperlink ref="Z688" r:id="rId240" xr:uid="{00000000-0004-0000-0100-0000EF000000}"/>
    <hyperlink ref="Z689" r:id="rId241" xr:uid="{00000000-0004-0000-0100-0000F0000000}"/>
    <hyperlink ref="Z691" r:id="rId242" xr:uid="{00000000-0004-0000-0100-0000F1000000}"/>
    <hyperlink ref="Z692" r:id="rId243" xr:uid="{00000000-0004-0000-0100-0000F2000000}"/>
    <hyperlink ref="Z693" r:id="rId244" xr:uid="{00000000-0004-0000-0100-0000F3000000}"/>
    <hyperlink ref="Z694" r:id="rId245" xr:uid="{00000000-0004-0000-0100-0000F4000000}"/>
    <hyperlink ref="Z695" r:id="rId246" xr:uid="{00000000-0004-0000-0100-0000F5000000}"/>
    <hyperlink ref="Z696" r:id="rId247" xr:uid="{00000000-0004-0000-0100-0000F6000000}"/>
    <hyperlink ref="Z697" r:id="rId248" xr:uid="{00000000-0004-0000-0100-0000F7000000}"/>
    <hyperlink ref="Z698" r:id="rId249" xr:uid="{00000000-0004-0000-0100-0000F8000000}"/>
    <hyperlink ref="Z699" r:id="rId250" xr:uid="{00000000-0004-0000-0100-0000F9000000}"/>
    <hyperlink ref="Z700" r:id="rId251" xr:uid="{00000000-0004-0000-0100-0000FA000000}"/>
    <hyperlink ref="Z701" r:id="rId252" xr:uid="{00000000-0004-0000-0100-0000FB000000}"/>
    <hyperlink ref="Z702" r:id="rId253" xr:uid="{00000000-0004-0000-0100-0000FC000000}"/>
    <hyperlink ref="Z703" r:id="rId254" xr:uid="{00000000-0004-0000-0100-0000FD000000}"/>
    <hyperlink ref="Z704" r:id="rId255" xr:uid="{00000000-0004-0000-0100-0000FE000000}"/>
    <hyperlink ref="Z705" r:id="rId256" xr:uid="{00000000-0004-0000-0100-0000FF000000}"/>
    <hyperlink ref="Z706" r:id="rId257" xr:uid="{00000000-0004-0000-0100-000000010000}"/>
    <hyperlink ref="Z707" r:id="rId258" xr:uid="{00000000-0004-0000-0100-000001010000}"/>
    <hyperlink ref="Z708" r:id="rId259" xr:uid="{00000000-0004-0000-0100-000002010000}"/>
    <hyperlink ref="Z709" r:id="rId260" xr:uid="{00000000-0004-0000-0100-000003010000}"/>
    <hyperlink ref="Z710" r:id="rId261" xr:uid="{00000000-0004-0000-0100-000004010000}"/>
    <hyperlink ref="Z711" r:id="rId262" xr:uid="{00000000-0004-0000-0100-000005010000}"/>
    <hyperlink ref="Z712" r:id="rId263" xr:uid="{00000000-0004-0000-0100-000006010000}"/>
    <hyperlink ref="Z713" r:id="rId264" xr:uid="{00000000-0004-0000-0100-000007010000}"/>
    <hyperlink ref="Z714" r:id="rId265" xr:uid="{00000000-0004-0000-0100-000008010000}"/>
    <hyperlink ref="Z715" r:id="rId266" xr:uid="{00000000-0004-0000-0100-000009010000}"/>
    <hyperlink ref="Z716" r:id="rId267" xr:uid="{00000000-0004-0000-0100-00000A010000}"/>
    <hyperlink ref="Z717" r:id="rId268" xr:uid="{00000000-0004-0000-0100-00000B010000}"/>
    <hyperlink ref="Z718" r:id="rId269" xr:uid="{00000000-0004-0000-0100-00000C010000}"/>
    <hyperlink ref="Z719" r:id="rId270" xr:uid="{00000000-0004-0000-0100-00000D010000}"/>
    <hyperlink ref="Z720" r:id="rId271" xr:uid="{00000000-0004-0000-0100-00000E010000}"/>
    <hyperlink ref="Z721" r:id="rId272" xr:uid="{00000000-0004-0000-0100-00000F010000}"/>
    <hyperlink ref="Z350" r:id="rId273" xr:uid="{00000000-0004-0000-0100-000010010000}"/>
    <hyperlink ref="Z349" r:id="rId274" xr:uid="{00000000-0004-0000-0100-000011010000}"/>
    <hyperlink ref="Z647" r:id="rId275" xr:uid="{00000000-0004-0000-0100-000012010000}"/>
    <hyperlink ref="Z648" r:id="rId276" xr:uid="{00000000-0004-0000-0100-000013010000}"/>
    <hyperlink ref="Z164" r:id="rId277" xr:uid="{00000000-0004-0000-0100-000014010000}"/>
    <hyperlink ref="Z661" r:id="rId278" xr:uid="{00000000-0004-0000-0100-000015010000}"/>
    <hyperlink ref="Z40" r:id="rId279" xr:uid="{00000000-0004-0000-0100-000016010000}"/>
    <hyperlink ref="Z649" r:id="rId280" xr:uid="{00000000-0004-0000-0100-000017010000}"/>
    <hyperlink ref="Z24" r:id="rId281" xr:uid="{00000000-0004-0000-0100-000018010000}"/>
    <hyperlink ref="Z100" r:id="rId282" xr:uid="{00000000-0004-0000-0100-000019010000}"/>
    <hyperlink ref="Z240" r:id="rId283" xr:uid="{00000000-0004-0000-0100-00001A010000}"/>
    <hyperlink ref="Z309" r:id="rId284" xr:uid="{00000000-0004-0000-0100-00001B010000}"/>
    <hyperlink ref="Z328" r:id="rId285" xr:uid="{00000000-0004-0000-0100-00001C010000}"/>
    <hyperlink ref="Z51" r:id="rId286" xr:uid="{00000000-0004-0000-0100-00001D010000}"/>
    <hyperlink ref="Z101" r:id="rId287" xr:uid="{08A85A97-DAF9-4227-B5E8-68C3E7DFC012}"/>
    <hyperlink ref="Z102" r:id="rId288" xr:uid="{66BD0D63-BBF1-4D77-9581-E9EFDF5CF5E5}"/>
    <hyperlink ref="Z236" r:id="rId289" xr:uid="{E7E6882C-FCAD-4AB9-A496-4BAEE1838925}"/>
    <hyperlink ref="Z747" r:id="rId290" xr:uid="{226B72B9-D4A5-4A4A-9FA6-E42991324405}"/>
    <hyperlink ref="Z722" r:id="rId291" xr:uid="{E4259C3A-69B5-4EA4-9972-51380C2A7745}"/>
    <hyperlink ref="Z724" r:id="rId292" xr:uid="{6F07C508-16A0-4C53-A9C1-3D7C66C3D5FE}"/>
    <hyperlink ref="Z726" r:id="rId293" xr:uid="{761C74CB-410A-42DD-87D1-D6A27249ABC8}"/>
    <hyperlink ref="Z728" r:id="rId294" xr:uid="{1CAF6111-6AA2-409D-84EF-554D3635ED58}"/>
    <hyperlink ref="Z730" r:id="rId295" xr:uid="{F9CE089A-A81E-4804-9328-FF7C5BA0B791}"/>
    <hyperlink ref="Z732" r:id="rId296" xr:uid="{8AC63978-98CA-4174-BC9E-0A8EB702BD47}"/>
    <hyperlink ref="Z734" r:id="rId297" xr:uid="{7F49790E-F1AB-4BF3-BF97-920D7665EE83}"/>
    <hyperlink ref="Z736" r:id="rId298" xr:uid="{102F894F-71B6-4E59-93A9-0F4EC2C04118}"/>
    <hyperlink ref="Z738" r:id="rId299" xr:uid="{BC3B4C93-B343-4FEA-ADFE-460A91D2A299}"/>
    <hyperlink ref="Z740" r:id="rId300" xr:uid="{737AFBA8-E4D4-4954-AAFE-A8F8D332735A}"/>
    <hyperlink ref="Z742" r:id="rId301" xr:uid="{9D37692F-6C6F-4098-8509-8E6C87DD3196}"/>
    <hyperlink ref="Z744" r:id="rId302" xr:uid="{F0ED99C0-11E9-458B-A7E9-6ECDACD88D3F}"/>
    <hyperlink ref="Z746" r:id="rId303" xr:uid="{CC347432-3BB9-4C92-B7A8-C3666DD87D3B}"/>
    <hyperlink ref="Z723" r:id="rId304" xr:uid="{A28C23EC-EDBF-45A4-955A-5B02A260170D}"/>
    <hyperlink ref="Z725" r:id="rId305" xr:uid="{1C27F80A-7F46-4192-ACD4-D6FF1DE91F01}"/>
    <hyperlink ref="Z727" r:id="rId306" xr:uid="{C9C677C3-4194-4EC3-86E3-A9AAA19B3D9C}"/>
    <hyperlink ref="Z729" r:id="rId307" xr:uid="{4CD5559F-B15E-4290-9BCB-09D61BB83E6F}"/>
    <hyperlink ref="Z731" r:id="rId308" xr:uid="{53DB7EF2-5C9E-4402-8F91-790409CA14B6}"/>
    <hyperlink ref="Z733" r:id="rId309" xr:uid="{1944D303-7642-448E-95CA-83CB693C3CB2}"/>
    <hyperlink ref="Z735" r:id="rId310" xr:uid="{87BAFE97-FDAF-4CF5-99D7-9B29D715A281}"/>
    <hyperlink ref="Z737" r:id="rId311" xr:uid="{9D23E198-ECFC-4FA8-B691-E5E21E61AFF3}"/>
    <hyperlink ref="Z739" r:id="rId312" xr:uid="{F6017C9E-779B-4C18-8972-5484457801E6}"/>
    <hyperlink ref="Z741" r:id="rId313" xr:uid="{8884D75F-983F-4AF5-AFBE-2917D76DFC4E}"/>
    <hyperlink ref="Z743" r:id="rId314" xr:uid="{27CE7DE9-9F3E-4517-808E-E557FADCA1A9}"/>
    <hyperlink ref="Z745" r:id="rId315" xr:uid="{76AC394F-9292-4B14-899C-81EF62B24EB7}"/>
    <hyperlink ref="Z650" r:id="rId316" xr:uid="{3096CD86-DE1D-443C-9CC4-D52D3628085A}"/>
    <hyperlink ref="Z658" r:id="rId317" xr:uid="{F17F754A-E01E-4481-85F8-904C3F35A57A}"/>
    <hyperlink ref="Z133" r:id="rId318" xr:uid="{D451D2B4-95D4-4DD5-AA9A-759E269CF2C8}"/>
    <hyperlink ref="Z165" r:id="rId319" xr:uid="{1C86AF12-031B-4E90-BDD3-9D07240D17CD}"/>
  </hyperlinks>
  <pageMargins left="0.70866141732283472" right="0.70866141732283472" top="0.74803149606299213" bottom="0.74803149606299213" header="0" footer="0"/>
  <pageSetup orientation="landscape" r:id="rId320"/>
  <ignoredErrors>
    <ignoredError sqref="F426 F460:F463 T651:T660 T330:T348 F618 T513:T646 T134:T163 F658 T7:T50 F380 F435 F441:F446 E455:E457 F465:F471 F648 T103:T128 T238:T327 F476 F483 Q651:R721 Q166:R235 T166:T235 Q238:R506 T351:T506 F507 F512 F485:F495 F501:F504 Q513:R646 O131:P132 Q134:R164 Q7:R132 T52:T99" unlockedFormula="1"/>
    <ignoredError sqref="O357 O111 O91 O148 O207 O347 O483 O619 O37 O277:O295 O305 O246 O243:O245 O247:O268 O306 O296:O304 O342:O346 O332 O647 O41 O58 O270:O276 O240 F696 F720" formula="1"/>
    <ignoredError sqref="S694:S705 K34 S651:S661 S166:S235 S238:S506 S707:S739 S513:S649 S134:S164 S7:S99 S103:S132 S740:S747" numberStoredAsText="1"/>
    <ignoredError sqref="T349 T350 T129:T131 T51 S650" numberStoredAsText="1" unlockedFormula="1"/>
    <ignoredError sqref="Q647:Q650 R647:R650" formula="1" unlockedFormula="1"/>
  </ignoredErrors>
  <drawing r:id="rId3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183</v>
      </c>
      <c r="C6" s="32" t="s">
        <v>184</v>
      </c>
      <c r="D6" s="310" t="s">
        <v>185</v>
      </c>
      <c r="E6" s="311"/>
      <c r="F6" s="312"/>
      <c r="G6" s="62" t="s">
        <v>186</v>
      </c>
      <c r="H6" s="33" t="s">
        <v>187</v>
      </c>
      <c r="I6" s="62" t="s">
        <v>21</v>
      </c>
      <c r="J6" s="62" t="s">
        <v>22</v>
      </c>
      <c r="K6" s="62" t="s">
        <v>23</v>
      </c>
      <c r="L6" s="62" t="s">
        <v>24</v>
      </c>
      <c r="M6" s="62" t="s">
        <v>188</v>
      </c>
      <c r="N6" s="62" t="s">
        <v>25</v>
      </c>
      <c r="O6" s="62" t="s">
        <v>26</v>
      </c>
      <c r="P6" s="62" t="s">
        <v>189</v>
      </c>
      <c r="Q6" s="62" t="s">
        <v>190</v>
      </c>
      <c r="R6" s="62" t="s">
        <v>27</v>
      </c>
      <c r="S6" s="62" t="s">
        <v>28</v>
      </c>
      <c r="T6" s="62" t="s">
        <v>191</v>
      </c>
      <c r="U6" s="62" t="s">
        <v>192</v>
      </c>
      <c r="V6" s="62" t="s">
        <v>193</v>
      </c>
      <c r="W6" s="62" t="s">
        <v>194</v>
      </c>
      <c r="X6" s="62" t="s">
        <v>195</v>
      </c>
      <c r="Y6" s="69" t="s">
        <v>196</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tr">
        <f>IF(M8&gt;1,VLOOKUP(M8,'[30]Archivo datos'!$G$1:$H$14,2,FALSE),"")</f>
        <v>Contratación directa</v>
      </c>
      <c r="O8" s="82">
        <v>1</v>
      </c>
      <c r="P8" s="86">
        <f>+E8</f>
        <v>322694453</v>
      </c>
      <c r="Q8" s="86">
        <f>+E8</f>
        <v>322694453</v>
      </c>
      <c r="R8" s="82">
        <v>0</v>
      </c>
      <c r="S8" s="82">
        <v>0</v>
      </c>
      <c r="T8" s="82" t="s">
        <v>37</v>
      </c>
      <c r="U8" s="82" t="s">
        <v>95</v>
      </c>
      <c r="V8" s="23" t="str">
        <f>IF(U8&gt;1,VLOOKUP(U8,'[30]Archivo datos'!$D$1:$E$1153,2,FALSE),"")</f>
        <v>CO-DC-11001</v>
      </c>
      <c r="W8" s="82" t="s">
        <v>181</v>
      </c>
      <c r="X8" s="82">
        <v>2427400</v>
      </c>
      <c r="Y8" s="87" t="s">
        <v>182</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197</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198</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199</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314" t="s">
        <v>200</v>
      </c>
      <c r="C18" s="314"/>
      <c r="D18" s="314"/>
      <c r="E18" s="314"/>
      <c r="F18" s="314"/>
      <c r="G18" s="314"/>
      <c r="H18" s="314"/>
      <c r="I18" s="314"/>
      <c r="J18" s="314"/>
      <c r="K18" s="314"/>
      <c r="L18" s="314"/>
      <c r="M18" s="314"/>
      <c r="N18" s="314"/>
      <c r="O18" s="314"/>
      <c r="P18" s="314"/>
      <c r="Q18" s="314"/>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313" t="s">
        <v>201</v>
      </c>
      <c r="B20" s="313"/>
      <c r="C20" s="313"/>
      <c r="D20" s="313"/>
      <c r="E20" s="313"/>
      <c r="F20" s="313"/>
      <c r="G20" s="313"/>
      <c r="H20" s="313"/>
      <c r="I20" s="313"/>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202</v>
      </c>
      <c r="C21" s="13"/>
      <c r="D21" s="13"/>
      <c r="E21" s="13"/>
      <c r="F21" s="13"/>
      <c r="G21" s="54" t="s">
        <v>203</v>
      </c>
      <c r="H21" s="13"/>
      <c r="I21" s="13"/>
      <c r="J21" s="13"/>
      <c r="K21" s="13" t="s">
        <v>203</v>
      </c>
      <c r="L21" s="13"/>
      <c r="M21" s="13"/>
      <c r="N21" s="13"/>
      <c r="O21" s="13"/>
      <c r="P21" s="11" t="s">
        <v>204</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315"/>
      <c r="C22" s="315"/>
      <c r="D22" s="315"/>
      <c r="E22" s="315"/>
      <c r="F22" s="41"/>
      <c r="G22" s="59" t="s">
        <v>205</v>
      </c>
      <c r="H22" s="15"/>
      <c r="I22" s="15"/>
      <c r="J22" s="41"/>
      <c r="K22" s="15" t="s">
        <v>206</v>
      </c>
      <c r="L22" s="15"/>
      <c r="M22" s="15"/>
      <c r="N22" s="41"/>
      <c r="O22" s="41"/>
      <c r="P22" s="15" t="s">
        <v>207</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316" t="s">
        <v>208</v>
      </c>
      <c r="H23" s="316"/>
      <c r="I23" s="41"/>
      <c r="J23" s="41"/>
      <c r="K23" s="41" t="s">
        <v>209</v>
      </c>
      <c r="L23" s="41"/>
      <c r="M23" s="41"/>
      <c r="N23" s="41"/>
      <c r="O23" s="41"/>
      <c r="P23" s="41" t="s">
        <v>210</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313"/>
      <c r="B24" s="41"/>
      <c r="C24" s="309"/>
      <c r="D24" s="309"/>
      <c r="E24" s="309"/>
      <c r="F24" s="309"/>
      <c r="G24" s="306" t="s">
        <v>211</v>
      </c>
      <c r="H24" s="306"/>
      <c r="I24" s="306"/>
      <c r="J24" s="306"/>
      <c r="K24" s="308"/>
      <c r="L24" s="308"/>
      <c r="M24" s="308"/>
      <c r="N24" s="308"/>
      <c r="O24" s="309"/>
      <c r="P24" s="307"/>
      <c r="Q24" s="307"/>
      <c r="R24" s="307"/>
      <c r="S24" s="307"/>
      <c r="T24" s="305"/>
      <c r="U24" s="305"/>
      <c r="V24" s="305"/>
      <c r="W24" s="305"/>
      <c r="X24" s="305"/>
      <c r="Y24" s="305"/>
      <c r="Z24" s="305"/>
      <c r="AA24" s="305"/>
      <c r="AB24" s="305"/>
      <c r="AC24" s="305"/>
      <c r="AD24" s="305"/>
      <c r="AE24" s="305"/>
      <c r="AF24" s="305"/>
      <c r="AG24" s="305"/>
      <c r="AH24" s="305"/>
      <c r="AI24" s="305"/>
      <c r="AJ24" s="305"/>
      <c r="AK24" s="305"/>
      <c r="AL24" s="305"/>
      <c r="AM24" s="305"/>
      <c r="AN24" s="305"/>
      <c r="AO24" s="305"/>
      <c r="AP24" s="305"/>
      <c r="AQ24" s="305"/>
      <c r="AR24" s="305"/>
      <c r="AS24" s="305"/>
      <c r="AT24" s="305"/>
      <c r="AU24" s="305"/>
      <c r="AV24" s="305"/>
      <c r="AW24" s="305"/>
      <c r="AX24" s="305"/>
      <c r="AY24" s="305"/>
      <c r="AZ24" s="305"/>
      <c r="BA24" s="305"/>
      <c r="BB24" s="305"/>
      <c r="BC24" s="305"/>
      <c r="BD24" s="305"/>
      <c r="BE24" s="305"/>
      <c r="BF24" s="305"/>
      <c r="BG24" s="305"/>
      <c r="BH24" s="305"/>
      <c r="BI24" s="305"/>
      <c r="BJ24" s="305"/>
      <c r="BK24" s="305"/>
      <c r="BL24" s="305"/>
      <c r="BM24" s="305"/>
      <c r="BN24" s="305"/>
      <c r="BO24" s="305"/>
      <c r="BP24" s="305"/>
      <c r="BQ24" s="305"/>
      <c r="BR24" s="305"/>
      <c r="BS24" s="305"/>
      <c r="BT24" s="305"/>
      <c r="BU24" s="305"/>
      <c r="BV24" s="305"/>
      <c r="BW24" s="305"/>
      <c r="BX24" s="305"/>
      <c r="BY24" s="305"/>
      <c r="BZ24" s="305"/>
      <c r="CA24" s="305"/>
      <c r="CB24" s="305"/>
      <c r="CC24" s="305"/>
      <c r="CD24" s="305"/>
      <c r="CE24" s="305"/>
      <c r="CF24" s="305"/>
      <c r="CG24" s="305"/>
      <c r="CH24" s="305"/>
      <c r="CI24" s="305"/>
      <c r="CJ24" s="305"/>
      <c r="CK24" s="305"/>
      <c r="CL24" s="305"/>
      <c r="CM24" s="305"/>
      <c r="CN24" s="305"/>
      <c r="CO24" s="305"/>
      <c r="CP24" s="305"/>
      <c r="CQ24" s="305"/>
      <c r="CR24" s="305"/>
      <c r="CS24" s="305"/>
      <c r="CT24" s="305"/>
      <c r="CU24" s="305"/>
      <c r="CV24" s="305"/>
      <c r="CW24" s="305"/>
      <c r="CX24" s="305"/>
      <c r="CY24" s="305"/>
      <c r="CZ24" s="305"/>
      <c r="DA24" s="305"/>
      <c r="DB24" s="305"/>
      <c r="DC24" s="305"/>
      <c r="DD24" s="305"/>
      <c r="DE24" s="305"/>
      <c r="DF24" s="305"/>
      <c r="DG24" s="305"/>
      <c r="DH24" s="305"/>
      <c r="DI24" s="305"/>
      <c r="DJ24" s="305"/>
      <c r="DK24" s="305"/>
      <c r="DL24" s="305"/>
      <c r="DM24" s="305"/>
      <c r="DN24" s="305"/>
      <c r="DO24" s="305"/>
      <c r="DP24" s="305"/>
      <c r="DQ24" s="305"/>
      <c r="DR24" s="305"/>
      <c r="DS24" s="305"/>
      <c r="DT24" s="305"/>
      <c r="DU24" s="305"/>
      <c r="DV24" s="305"/>
      <c r="DW24" s="305"/>
      <c r="DX24" s="305"/>
      <c r="DY24" s="305"/>
      <c r="DZ24" s="305"/>
      <c r="EA24" s="305"/>
      <c r="EB24" s="305"/>
      <c r="EC24" s="305"/>
      <c r="ED24" s="305"/>
      <c r="EE24" s="305"/>
      <c r="EF24" s="305"/>
      <c r="EG24" s="305"/>
      <c r="EH24" s="305"/>
      <c r="EI24" s="305"/>
      <c r="EJ24" s="305"/>
      <c r="EK24" s="305"/>
      <c r="EL24" s="305"/>
      <c r="EM24" s="305"/>
      <c r="EN24" s="305"/>
      <c r="EO24" s="305"/>
      <c r="EP24" s="305"/>
      <c r="EQ24" s="305"/>
      <c r="ER24" s="305"/>
      <c r="ES24" s="305"/>
      <c r="ET24" s="305"/>
      <c r="EU24" s="305"/>
      <c r="EV24" s="305"/>
      <c r="EW24" s="305"/>
      <c r="EX24" s="305"/>
      <c r="EY24" s="305"/>
      <c r="EZ24" s="305"/>
      <c r="FA24" s="305"/>
      <c r="FB24" s="305"/>
      <c r="FC24" s="305"/>
      <c r="FD24" s="305"/>
      <c r="FE24" s="305"/>
      <c r="FF24" s="305"/>
      <c r="FG24" s="305"/>
      <c r="FH24" s="305"/>
      <c r="FI24" s="305"/>
      <c r="FJ24" s="305"/>
      <c r="FK24" s="305"/>
      <c r="FL24" s="305"/>
      <c r="FM24" s="305"/>
      <c r="FN24" s="305"/>
      <c r="FO24" s="305"/>
      <c r="FP24" s="305"/>
      <c r="FQ24" s="305"/>
      <c r="FR24" s="305"/>
      <c r="FS24" s="305"/>
      <c r="FT24" s="305"/>
      <c r="FU24" s="305"/>
      <c r="FV24" s="305"/>
      <c r="FW24" s="305"/>
      <c r="FX24" s="305"/>
      <c r="FY24" s="305"/>
      <c r="FZ24" s="305"/>
      <c r="GA24" s="305"/>
      <c r="GB24" s="305"/>
      <c r="GC24" s="305"/>
      <c r="GD24" s="305"/>
      <c r="GE24" s="305"/>
      <c r="GF24" s="305"/>
      <c r="GG24" s="305"/>
      <c r="GH24" s="305"/>
      <c r="GI24" s="305"/>
      <c r="GJ24" s="305"/>
      <c r="GK24" s="305"/>
      <c r="GL24" s="305"/>
      <c r="GM24" s="305"/>
      <c r="GN24" s="305"/>
      <c r="GO24" s="305"/>
      <c r="GP24" s="305"/>
      <c r="GQ24" s="305"/>
      <c r="GR24" s="305"/>
      <c r="GS24" s="305"/>
      <c r="GT24" s="305"/>
      <c r="GU24" s="305"/>
      <c r="GV24" s="305"/>
      <c r="GW24" s="305"/>
      <c r="GX24" s="305"/>
      <c r="GY24" s="305"/>
      <c r="GZ24" s="305"/>
      <c r="HA24" s="305"/>
      <c r="HB24" s="305"/>
      <c r="HC24" s="305"/>
      <c r="HD24" s="305"/>
      <c r="HE24" s="305"/>
      <c r="HF24" s="305"/>
      <c r="HG24" s="305"/>
      <c r="HH24" s="12"/>
    </row>
    <row r="25" spans="1:256" s="48" customFormat="1" ht="20.100000000000001" customHeight="1" x14ac:dyDescent="0.25">
      <c r="A25" s="313"/>
      <c r="B25" s="41"/>
      <c r="C25" s="309"/>
      <c r="D25" s="309"/>
      <c r="E25" s="309"/>
      <c r="F25" s="309"/>
      <c r="G25" s="306" t="s">
        <v>212</v>
      </c>
      <c r="H25" s="306"/>
      <c r="I25" s="306"/>
      <c r="J25" s="306"/>
      <c r="K25" s="308"/>
      <c r="L25" s="308"/>
      <c r="M25" s="308"/>
      <c r="N25" s="308"/>
      <c r="O25" s="309"/>
      <c r="P25" s="307"/>
      <c r="Q25" s="307"/>
      <c r="R25" s="307"/>
      <c r="S25" s="307"/>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5"/>
      <c r="AQ25" s="305"/>
      <c r="AR25" s="305"/>
      <c r="AS25" s="305"/>
      <c r="AT25" s="305"/>
      <c r="AU25" s="305"/>
      <c r="AV25" s="305"/>
      <c r="AW25" s="305"/>
      <c r="AX25" s="305"/>
      <c r="AY25" s="305"/>
      <c r="AZ25" s="305"/>
      <c r="BA25" s="305"/>
      <c r="BB25" s="305"/>
      <c r="BC25" s="305"/>
      <c r="BD25" s="305"/>
      <c r="BE25" s="305"/>
      <c r="BF25" s="305"/>
      <c r="BG25" s="305"/>
      <c r="BH25" s="305"/>
      <c r="BI25" s="305"/>
      <c r="BJ25" s="305"/>
      <c r="BK25" s="305"/>
      <c r="BL25" s="305"/>
      <c r="BM25" s="305"/>
      <c r="BN25" s="305"/>
      <c r="BO25" s="305"/>
      <c r="BP25" s="305"/>
      <c r="BQ25" s="305"/>
      <c r="BR25" s="305"/>
      <c r="BS25" s="305"/>
      <c r="BT25" s="305"/>
      <c r="BU25" s="305"/>
      <c r="BV25" s="305"/>
      <c r="BW25" s="305"/>
      <c r="BX25" s="305"/>
      <c r="BY25" s="305"/>
      <c r="BZ25" s="305"/>
      <c r="CA25" s="305"/>
      <c r="CB25" s="305"/>
      <c r="CC25" s="305"/>
      <c r="CD25" s="305"/>
      <c r="CE25" s="305"/>
      <c r="CF25" s="305"/>
      <c r="CG25" s="305"/>
      <c r="CH25" s="305"/>
      <c r="CI25" s="305"/>
      <c r="CJ25" s="305"/>
      <c r="CK25" s="305"/>
      <c r="CL25" s="305"/>
      <c r="CM25" s="305"/>
      <c r="CN25" s="305"/>
      <c r="CO25" s="305"/>
      <c r="CP25" s="305"/>
      <c r="CQ25" s="305"/>
      <c r="CR25" s="305"/>
      <c r="CS25" s="305"/>
      <c r="CT25" s="305"/>
      <c r="CU25" s="305"/>
      <c r="CV25" s="305"/>
      <c r="CW25" s="305"/>
      <c r="CX25" s="305"/>
      <c r="CY25" s="305"/>
      <c r="CZ25" s="305"/>
      <c r="DA25" s="305"/>
      <c r="DB25" s="305"/>
      <c r="DC25" s="305"/>
      <c r="DD25" s="305"/>
      <c r="DE25" s="305"/>
      <c r="DF25" s="305"/>
      <c r="DG25" s="305"/>
      <c r="DH25" s="305"/>
      <c r="DI25" s="305"/>
      <c r="DJ25" s="305"/>
      <c r="DK25" s="305"/>
      <c r="DL25" s="305"/>
      <c r="DM25" s="305"/>
      <c r="DN25" s="305"/>
      <c r="DO25" s="305"/>
      <c r="DP25" s="305"/>
      <c r="DQ25" s="305"/>
      <c r="DR25" s="305"/>
      <c r="DS25" s="305"/>
      <c r="DT25" s="305"/>
      <c r="DU25" s="305"/>
      <c r="DV25" s="305"/>
      <c r="DW25" s="305"/>
      <c r="DX25" s="305"/>
      <c r="DY25" s="305"/>
      <c r="DZ25" s="305"/>
      <c r="EA25" s="305"/>
      <c r="EB25" s="305"/>
      <c r="EC25" s="305"/>
      <c r="ED25" s="305"/>
      <c r="EE25" s="305"/>
      <c r="EF25" s="305"/>
      <c r="EG25" s="305"/>
      <c r="EH25" s="305"/>
      <c r="EI25" s="305"/>
      <c r="EJ25" s="305"/>
      <c r="EK25" s="305"/>
      <c r="EL25" s="305"/>
      <c r="EM25" s="305"/>
      <c r="EN25" s="305"/>
      <c r="EO25" s="305"/>
      <c r="EP25" s="305"/>
      <c r="EQ25" s="305"/>
      <c r="ER25" s="305"/>
      <c r="ES25" s="305"/>
      <c r="ET25" s="305"/>
      <c r="EU25" s="305"/>
      <c r="EV25" s="305"/>
      <c r="EW25" s="305"/>
      <c r="EX25" s="305"/>
      <c r="EY25" s="305"/>
      <c r="EZ25" s="305"/>
      <c r="FA25" s="305"/>
      <c r="FB25" s="305"/>
      <c r="FC25" s="305"/>
      <c r="FD25" s="305"/>
      <c r="FE25" s="305"/>
      <c r="FF25" s="305"/>
      <c r="FG25" s="305"/>
      <c r="FH25" s="305"/>
      <c r="FI25" s="305"/>
      <c r="FJ25" s="305"/>
      <c r="FK25" s="305"/>
      <c r="FL25" s="305"/>
      <c r="FM25" s="305"/>
      <c r="FN25" s="305"/>
      <c r="FO25" s="305"/>
      <c r="FP25" s="305"/>
      <c r="FQ25" s="305"/>
      <c r="FR25" s="305"/>
      <c r="FS25" s="305"/>
      <c r="FT25" s="305"/>
      <c r="FU25" s="305"/>
      <c r="FV25" s="305"/>
      <c r="FW25" s="305"/>
      <c r="FX25" s="305"/>
      <c r="FY25" s="305"/>
      <c r="FZ25" s="305"/>
      <c r="GA25" s="305"/>
      <c r="GB25" s="305"/>
      <c r="GC25" s="305"/>
      <c r="GD25" s="305"/>
      <c r="GE25" s="305"/>
      <c r="GF25" s="305"/>
      <c r="GG25" s="305"/>
      <c r="GH25" s="305"/>
      <c r="GI25" s="305"/>
      <c r="GJ25" s="305"/>
      <c r="GK25" s="305"/>
      <c r="GL25" s="305"/>
      <c r="GM25" s="305"/>
      <c r="GN25" s="305"/>
      <c r="GO25" s="305"/>
      <c r="GP25" s="305"/>
      <c r="GQ25" s="305"/>
      <c r="GR25" s="305"/>
      <c r="GS25" s="305"/>
      <c r="GT25" s="305"/>
      <c r="GU25" s="305"/>
      <c r="GV25" s="305"/>
      <c r="GW25" s="305"/>
      <c r="GX25" s="305"/>
      <c r="GY25" s="305"/>
      <c r="GZ25" s="305"/>
      <c r="HA25" s="305"/>
      <c r="HB25" s="305"/>
      <c r="HC25" s="305"/>
      <c r="HD25" s="305"/>
      <c r="HE25" s="305"/>
      <c r="HF25" s="305"/>
      <c r="HG25" s="305"/>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213</v>
      </c>
      <c r="C29" s="13"/>
      <c r="D29" s="13"/>
      <c r="E29" s="13"/>
      <c r="F29" s="13"/>
      <c r="G29" s="54" t="s">
        <v>214</v>
      </c>
      <c r="H29" s="13"/>
      <c r="I29" s="13"/>
      <c r="J29" s="13"/>
      <c r="K29" s="13" t="s">
        <v>214</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215</v>
      </c>
      <c r="H31" s="41"/>
      <c r="I31" s="41"/>
      <c r="J31" s="41"/>
      <c r="K31" s="41" t="s">
        <v>215</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Mensaje Suspensión De Cuenta</cp:lastModifiedBy>
  <cp:revision/>
  <dcterms:created xsi:type="dcterms:W3CDTF">2016-06-03T19:17:40Z</dcterms:created>
  <dcterms:modified xsi:type="dcterms:W3CDTF">2024-03-14T19:43:53Z</dcterms:modified>
  <cp:category/>
  <cp:contentStatus/>
</cp:coreProperties>
</file>