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E:\MININTEROR\PAA\PLAN ANUAL DE ADQUISICIONES\PAA 2024\PUBLICACIONES WEB\"/>
    </mc:Choice>
  </mc:AlternateContent>
  <xr:revisionPtr revIDLastSave="0" documentId="13_ncr:1_{95995E0E-557F-439A-B28C-AF5192E15DB9}"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PAA" sheetId="51" r:id="rId2"/>
    <sheet name="SECRETARIA G" sheetId="50"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1" hidden="1">PAA!$A$6:$CG$697</definedName>
    <definedName name="_xlnm._FilterDatabase" localSheetId="2" hidden="1">'SECRETARIA G'!$A$6:$Y$8</definedName>
    <definedName name="Modalidad" localSheetId="1">#REF!</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26" i="51" l="1"/>
  <c r="V626" i="51"/>
  <c r="U626" i="51"/>
  <c r="T626" i="51"/>
  <c r="R626" i="51"/>
  <c r="Q626" i="51"/>
  <c r="P626" i="51"/>
  <c r="O626" i="51"/>
  <c r="M626" i="51"/>
  <c r="F24" i="51"/>
  <c r="F428" i="51"/>
  <c r="F418" i="51"/>
  <c r="F49" i="51" l="1"/>
  <c r="F37" i="51" l="1"/>
  <c r="F26" i="51"/>
  <c r="F214" i="51" l="1"/>
  <c r="F158" i="51"/>
  <c r="F31" i="51"/>
  <c r="U50" i="51"/>
  <c r="U49" i="51"/>
  <c r="U48" i="51"/>
  <c r="U47" i="51"/>
  <c r="U46" i="51"/>
  <c r="W50" i="51"/>
  <c r="V50" i="51"/>
  <c r="T50" i="51"/>
  <c r="R50" i="51"/>
  <c r="Q50" i="51"/>
  <c r="P50" i="51"/>
  <c r="O50" i="51"/>
  <c r="W49" i="51"/>
  <c r="V49" i="51"/>
  <c r="T49" i="51"/>
  <c r="R49" i="51"/>
  <c r="Q49" i="51"/>
  <c r="P49" i="51"/>
  <c r="O49" i="51"/>
  <c r="W48" i="51"/>
  <c r="V48" i="51"/>
  <c r="T48" i="51"/>
  <c r="R48" i="51"/>
  <c r="Q48" i="51"/>
  <c r="P48" i="51"/>
  <c r="O48" i="51"/>
  <c r="W47" i="51"/>
  <c r="V47" i="51"/>
  <c r="T47" i="51"/>
  <c r="R47" i="51"/>
  <c r="Q47" i="51"/>
  <c r="P47" i="51"/>
  <c r="O47" i="51"/>
  <c r="W46" i="51"/>
  <c r="V46" i="51"/>
  <c r="T46" i="51"/>
  <c r="R46" i="51"/>
  <c r="Q46" i="51"/>
  <c r="P46" i="51"/>
  <c r="O46" i="51"/>
  <c r="M46" i="51"/>
  <c r="M47" i="51"/>
  <c r="M48" i="51"/>
  <c r="M49" i="51"/>
  <c r="M50" i="51"/>
  <c r="F43" i="51"/>
  <c r="F42" i="51"/>
  <c r="F41" i="51"/>
  <c r="F40" i="51"/>
  <c r="F36" i="51"/>
  <c r="F23" i="51"/>
  <c r="F16" i="51"/>
  <c r="W637" i="51" l="1"/>
  <c r="V637" i="51"/>
  <c r="U637" i="51"/>
  <c r="R637" i="51"/>
  <c r="Q637" i="51"/>
  <c r="O637" i="51"/>
  <c r="F634" i="51"/>
  <c r="W152" i="51" l="1"/>
  <c r="V152" i="51"/>
  <c r="U152" i="51"/>
  <c r="T152" i="51"/>
  <c r="P152" i="51"/>
  <c r="O152" i="51"/>
  <c r="M152" i="51"/>
  <c r="F152" i="51"/>
  <c r="R152" i="51" s="1"/>
  <c r="F148" i="51"/>
  <c r="Q152" i="51" l="1"/>
  <c r="F595" i="51" l="1"/>
  <c r="W625" i="51"/>
  <c r="V625" i="51"/>
  <c r="U625" i="51"/>
  <c r="T625" i="51"/>
  <c r="R625" i="51"/>
  <c r="Q625" i="51"/>
  <c r="P625" i="51"/>
  <c r="O625" i="51"/>
  <c r="W624" i="51"/>
  <c r="V624" i="51"/>
  <c r="U624" i="51"/>
  <c r="T624" i="51"/>
  <c r="R624" i="51"/>
  <c r="Q624" i="51"/>
  <c r="P624" i="51"/>
  <c r="O624" i="51"/>
  <c r="F313" i="51" l="1"/>
  <c r="F331" i="51"/>
  <c r="F330" i="51"/>
  <c r="F329" i="51"/>
  <c r="F328" i="51"/>
  <c r="F327" i="51"/>
  <c r="F326" i="51"/>
  <c r="R332" i="51"/>
  <c r="Q332" i="51"/>
  <c r="W332" i="51"/>
  <c r="V332" i="51"/>
  <c r="U332" i="51"/>
  <c r="T332" i="51"/>
  <c r="P332" i="51"/>
  <c r="O332" i="51"/>
  <c r="M332" i="51"/>
  <c r="R333" i="51" l="1"/>
  <c r="Q333" i="51"/>
  <c r="W333" i="51"/>
  <c r="V333" i="51"/>
  <c r="U333" i="51"/>
  <c r="T333" i="51"/>
  <c r="P333" i="51"/>
  <c r="O333" i="51"/>
  <c r="M333" i="51"/>
  <c r="R697" i="51" l="1"/>
  <c r="R696" i="51"/>
  <c r="R695" i="51"/>
  <c r="R694" i="51"/>
  <c r="R693" i="51"/>
  <c r="R692" i="51"/>
  <c r="R691" i="51"/>
  <c r="R690" i="51"/>
  <c r="R689" i="51"/>
  <c r="R688" i="51"/>
  <c r="R687" i="51"/>
  <c r="R686" i="51"/>
  <c r="R685" i="51"/>
  <c r="R684" i="51"/>
  <c r="R683" i="51"/>
  <c r="R682" i="51"/>
  <c r="R681" i="51"/>
  <c r="R680" i="51"/>
  <c r="R679" i="51"/>
  <c r="R678" i="51"/>
  <c r="R677" i="51"/>
  <c r="R676" i="51"/>
  <c r="R675" i="51"/>
  <c r="R674" i="51"/>
  <c r="R673" i="51"/>
  <c r="R672" i="51"/>
  <c r="R671" i="51"/>
  <c r="R670" i="51"/>
  <c r="R669" i="51"/>
  <c r="R668" i="51"/>
  <c r="R667" i="51"/>
  <c r="R666" i="51"/>
  <c r="R665" i="51"/>
  <c r="R664" i="51"/>
  <c r="R663" i="51"/>
  <c r="R662" i="51"/>
  <c r="R661" i="51"/>
  <c r="R660" i="51"/>
  <c r="R659" i="51"/>
  <c r="R658" i="51"/>
  <c r="R657" i="51"/>
  <c r="R656" i="51"/>
  <c r="R655" i="51"/>
  <c r="R654" i="51"/>
  <c r="R653" i="51"/>
  <c r="R652" i="51"/>
  <c r="R651" i="51"/>
  <c r="R650" i="51"/>
  <c r="R649" i="51"/>
  <c r="R648" i="51"/>
  <c r="R647" i="51"/>
  <c r="R646" i="51"/>
  <c r="R645" i="51"/>
  <c r="R644" i="51"/>
  <c r="R643" i="51"/>
  <c r="R642" i="51"/>
  <c r="R641" i="51"/>
  <c r="R640" i="51"/>
  <c r="R639" i="51"/>
  <c r="R638" i="51"/>
  <c r="Q697" i="51"/>
  <c r="Q696" i="51"/>
  <c r="Q695" i="51"/>
  <c r="Q694" i="51"/>
  <c r="Q693" i="51"/>
  <c r="Q692" i="51"/>
  <c r="Q691" i="51"/>
  <c r="Q690" i="51"/>
  <c r="Q689" i="51"/>
  <c r="Q688" i="51"/>
  <c r="Q687" i="51"/>
  <c r="Q686" i="51"/>
  <c r="Q685" i="51"/>
  <c r="Q684" i="51"/>
  <c r="Q683" i="51"/>
  <c r="Q682" i="51"/>
  <c r="Q681" i="51"/>
  <c r="Q680" i="51"/>
  <c r="Q679" i="51"/>
  <c r="Q678" i="51"/>
  <c r="Q677" i="51"/>
  <c r="Q676" i="51"/>
  <c r="Q675" i="51"/>
  <c r="Q674" i="51"/>
  <c r="Q673" i="51"/>
  <c r="Q672" i="51"/>
  <c r="Q671" i="51"/>
  <c r="Q670" i="51"/>
  <c r="Q669" i="51"/>
  <c r="Q668" i="51"/>
  <c r="Q667" i="51"/>
  <c r="Q666" i="51"/>
  <c r="Q665" i="51"/>
  <c r="Q664" i="51"/>
  <c r="Q663" i="51"/>
  <c r="Q662" i="51"/>
  <c r="Q661" i="51"/>
  <c r="Q660" i="51"/>
  <c r="Q659" i="51"/>
  <c r="Q658" i="51"/>
  <c r="Q657" i="51"/>
  <c r="Q656" i="51"/>
  <c r="Q655" i="51"/>
  <c r="Q654" i="51"/>
  <c r="Q653" i="51"/>
  <c r="Q652" i="51"/>
  <c r="Q651" i="51"/>
  <c r="Q650" i="51"/>
  <c r="Q649" i="51"/>
  <c r="Q648" i="51"/>
  <c r="Q647" i="51"/>
  <c r="Q646" i="51"/>
  <c r="Q645" i="51"/>
  <c r="Q644" i="51"/>
  <c r="Q643" i="51"/>
  <c r="Q642" i="51"/>
  <c r="Q641" i="51"/>
  <c r="Q640" i="51"/>
  <c r="Q639" i="51"/>
  <c r="Q638" i="51"/>
  <c r="W697" i="51"/>
  <c r="V697" i="51"/>
  <c r="U697" i="51"/>
  <c r="O697" i="51"/>
  <c r="W696" i="51"/>
  <c r="V696" i="51"/>
  <c r="U696" i="51"/>
  <c r="O696" i="51"/>
  <c r="W695" i="51"/>
  <c r="V695" i="51"/>
  <c r="U695" i="51"/>
  <c r="O695" i="51"/>
  <c r="W694" i="51"/>
  <c r="V694" i="51"/>
  <c r="U694" i="51"/>
  <c r="O694" i="51"/>
  <c r="W693" i="51"/>
  <c r="V693" i="51"/>
  <c r="U693" i="51"/>
  <c r="O693" i="51"/>
  <c r="W692" i="51"/>
  <c r="V692" i="51"/>
  <c r="U692" i="51"/>
  <c r="O692" i="51"/>
  <c r="W691" i="51"/>
  <c r="V691" i="51"/>
  <c r="U691" i="51"/>
  <c r="O691" i="51"/>
  <c r="W690" i="51"/>
  <c r="V690" i="51"/>
  <c r="U690" i="51"/>
  <c r="O690" i="51"/>
  <c r="W689" i="51"/>
  <c r="V689" i="51"/>
  <c r="U689" i="51"/>
  <c r="O689" i="51"/>
  <c r="W688" i="51"/>
  <c r="V688" i="51"/>
  <c r="U688" i="51"/>
  <c r="O688" i="51"/>
  <c r="W687" i="51"/>
  <c r="V687" i="51"/>
  <c r="U687" i="51"/>
  <c r="O687" i="51"/>
  <c r="W686" i="51"/>
  <c r="V686" i="51"/>
  <c r="U686" i="51"/>
  <c r="O686" i="51"/>
  <c r="W685" i="51"/>
  <c r="V685" i="51"/>
  <c r="U685" i="51"/>
  <c r="O685" i="51"/>
  <c r="W684" i="51"/>
  <c r="V684" i="51"/>
  <c r="U684" i="51"/>
  <c r="O684" i="51"/>
  <c r="W683" i="51"/>
  <c r="V683" i="51"/>
  <c r="U683" i="51"/>
  <c r="O683" i="51"/>
  <c r="W682" i="51"/>
  <c r="V682" i="51"/>
  <c r="U682" i="51"/>
  <c r="O682" i="51"/>
  <c r="W681" i="51"/>
  <c r="V681" i="51"/>
  <c r="U681" i="51"/>
  <c r="O681" i="51"/>
  <c r="W680" i="51"/>
  <c r="V680" i="51"/>
  <c r="U680" i="51"/>
  <c r="O680" i="51"/>
  <c r="W679" i="51"/>
  <c r="V679" i="51"/>
  <c r="U679" i="51"/>
  <c r="O679" i="51"/>
  <c r="W678" i="51"/>
  <c r="V678" i="51"/>
  <c r="U678" i="51"/>
  <c r="O678" i="51"/>
  <c r="W677" i="51"/>
  <c r="V677" i="51"/>
  <c r="U677" i="51"/>
  <c r="O677" i="51"/>
  <c r="W676" i="51"/>
  <c r="V676" i="51"/>
  <c r="U676" i="51"/>
  <c r="O676" i="51"/>
  <c r="W675" i="51"/>
  <c r="V675" i="51"/>
  <c r="U675" i="51"/>
  <c r="O675" i="51"/>
  <c r="W674" i="51"/>
  <c r="V674" i="51"/>
  <c r="U674" i="51"/>
  <c r="O674" i="51"/>
  <c r="W673" i="51"/>
  <c r="V673" i="51"/>
  <c r="U673" i="51"/>
  <c r="O673" i="51"/>
  <c r="W672" i="51"/>
  <c r="V672" i="51"/>
  <c r="U672" i="51"/>
  <c r="O672" i="51"/>
  <c r="W671" i="51"/>
  <c r="V671" i="51"/>
  <c r="U671" i="51"/>
  <c r="O671" i="51"/>
  <c r="W670" i="51"/>
  <c r="V670" i="51"/>
  <c r="U670" i="51"/>
  <c r="O670" i="51"/>
  <c r="W669" i="51"/>
  <c r="V669" i="51"/>
  <c r="U669" i="51"/>
  <c r="O669" i="51"/>
  <c r="W668" i="51"/>
  <c r="V668" i="51"/>
  <c r="U668" i="51"/>
  <c r="O668" i="51"/>
  <c r="W667" i="51"/>
  <c r="V667" i="51"/>
  <c r="U667" i="51"/>
  <c r="O667" i="51"/>
  <c r="W666" i="51"/>
  <c r="V666" i="51"/>
  <c r="U666" i="51"/>
  <c r="O666" i="51"/>
  <c r="W665" i="51"/>
  <c r="V665" i="51"/>
  <c r="U665" i="51"/>
  <c r="O665" i="51"/>
  <c r="W664" i="51"/>
  <c r="V664" i="51"/>
  <c r="U664" i="51"/>
  <c r="O664" i="51"/>
  <c r="W663" i="51"/>
  <c r="V663" i="51"/>
  <c r="U663" i="51"/>
  <c r="O663" i="51"/>
  <c r="W662" i="51"/>
  <c r="V662" i="51"/>
  <c r="U662" i="51"/>
  <c r="O662" i="51"/>
  <c r="W661" i="51"/>
  <c r="V661" i="51"/>
  <c r="U661" i="51"/>
  <c r="O661" i="51"/>
  <c r="W660" i="51"/>
  <c r="V660" i="51"/>
  <c r="U660" i="51"/>
  <c r="O660" i="51"/>
  <c r="W659" i="51"/>
  <c r="V659" i="51"/>
  <c r="U659" i="51"/>
  <c r="O659" i="51"/>
  <c r="W658" i="51"/>
  <c r="V658" i="51"/>
  <c r="U658" i="51"/>
  <c r="O658" i="51"/>
  <c r="W657" i="51"/>
  <c r="V657" i="51"/>
  <c r="U657" i="51"/>
  <c r="O657" i="51"/>
  <c r="W656" i="51"/>
  <c r="V656" i="51"/>
  <c r="U656" i="51"/>
  <c r="O656" i="51"/>
  <c r="W655" i="51"/>
  <c r="V655" i="51"/>
  <c r="U655" i="51"/>
  <c r="O655" i="51"/>
  <c r="W654" i="51"/>
  <c r="V654" i="51"/>
  <c r="U654" i="51"/>
  <c r="O654" i="51"/>
  <c r="W653" i="51"/>
  <c r="V653" i="51"/>
  <c r="U653" i="51"/>
  <c r="O653" i="51"/>
  <c r="W652" i="51"/>
  <c r="V652" i="51"/>
  <c r="U652" i="51"/>
  <c r="O652" i="51"/>
  <c r="W651" i="51"/>
  <c r="V651" i="51"/>
  <c r="U651" i="51"/>
  <c r="O651" i="51"/>
  <c r="W650" i="51"/>
  <c r="V650" i="51"/>
  <c r="U650" i="51"/>
  <c r="O650" i="51"/>
  <c r="W649" i="51"/>
  <c r="V649" i="51"/>
  <c r="U649" i="51"/>
  <c r="O649" i="51"/>
  <c r="W648" i="51"/>
  <c r="V648" i="51"/>
  <c r="U648" i="51"/>
  <c r="O648" i="51"/>
  <c r="W647" i="51"/>
  <c r="V647" i="51"/>
  <c r="U647" i="51"/>
  <c r="O647" i="51"/>
  <c r="W646" i="51"/>
  <c r="V646" i="51"/>
  <c r="U646" i="51"/>
  <c r="O646" i="51"/>
  <c r="W645" i="51"/>
  <c r="V645" i="51"/>
  <c r="U645" i="51"/>
  <c r="O645" i="51"/>
  <c r="W644" i="51"/>
  <c r="V644" i="51"/>
  <c r="U644" i="51"/>
  <c r="O644" i="51"/>
  <c r="W643" i="51"/>
  <c r="V643" i="51"/>
  <c r="U643" i="51"/>
  <c r="O643" i="51"/>
  <c r="W642" i="51"/>
  <c r="V642" i="51"/>
  <c r="U642" i="51"/>
  <c r="O642" i="51"/>
  <c r="W641" i="51"/>
  <c r="V641" i="51"/>
  <c r="U641" i="51"/>
  <c r="O641" i="51"/>
  <c r="W640" i="51"/>
  <c r="V640" i="51"/>
  <c r="U640" i="51"/>
  <c r="O640" i="51"/>
  <c r="W639" i="51"/>
  <c r="V639" i="51"/>
  <c r="U639" i="51"/>
  <c r="O639" i="51"/>
  <c r="W638" i="51"/>
  <c r="V638" i="51"/>
  <c r="U638" i="51"/>
  <c r="O638" i="51"/>
  <c r="M636" i="51" l="1"/>
  <c r="M635" i="51"/>
  <c r="M634" i="51"/>
  <c r="M633" i="51"/>
  <c r="M632" i="51"/>
  <c r="M631" i="51"/>
  <c r="M630" i="51"/>
  <c r="M629" i="51"/>
  <c r="M628" i="51"/>
  <c r="M627" i="51"/>
  <c r="M623" i="51"/>
  <c r="M622" i="51"/>
  <c r="M621" i="51"/>
  <c r="M620" i="51"/>
  <c r="M619" i="51"/>
  <c r="M618" i="51"/>
  <c r="M617" i="51"/>
  <c r="M616" i="51"/>
  <c r="M615" i="51"/>
  <c r="M614" i="51"/>
  <c r="M613" i="51"/>
  <c r="M612" i="51"/>
  <c r="M611" i="51"/>
  <c r="M610" i="51"/>
  <c r="M609" i="51"/>
  <c r="M608" i="51"/>
  <c r="M607" i="51"/>
  <c r="M606" i="51"/>
  <c r="M605" i="51"/>
  <c r="M604" i="51"/>
  <c r="M603" i="51"/>
  <c r="M602" i="51"/>
  <c r="M601" i="51"/>
  <c r="M600" i="51"/>
  <c r="M599" i="51"/>
  <c r="M598" i="51"/>
  <c r="M597" i="51"/>
  <c r="M596" i="51"/>
  <c r="M595" i="51"/>
  <c r="M594" i="51"/>
  <c r="M593" i="51"/>
  <c r="M592" i="51"/>
  <c r="M591" i="51"/>
  <c r="M590" i="51"/>
  <c r="M589" i="51"/>
  <c r="M588" i="51"/>
  <c r="M587" i="51"/>
  <c r="M586" i="51"/>
  <c r="M585" i="51"/>
  <c r="M584" i="51"/>
  <c r="M583" i="51"/>
  <c r="M582" i="51"/>
  <c r="M581" i="51"/>
  <c r="M580" i="51"/>
  <c r="M579" i="51"/>
  <c r="M578" i="51"/>
  <c r="M577" i="51"/>
  <c r="M576" i="51"/>
  <c r="M575" i="51"/>
  <c r="M574" i="51"/>
  <c r="M573" i="51"/>
  <c r="M572" i="51"/>
  <c r="M571" i="51"/>
  <c r="M570" i="51"/>
  <c r="M569" i="51"/>
  <c r="M568" i="51"/>
  <c r="M567" i="51"/>
  <c r="M566" i="51"/>
  <c r="M565" i="51"/>
  <c r="M564" i="51"/>
  <c r="M563" i="51"/>
  <c r="M562" i="51"/>
  <c r="M561" i="51"/>
  <c r="M560" i="51"/>
  <c r="M559" i="51"/>
  <c r="M558" i="51"/>
  <c r="M557" i="51"/>
  <c r="M556" i="51"/>
  <c r="M555" i="51"/>
  <c r="M554" i="51"/>
  <c r="M553" i="51"/>
  <c r="M552" i="51"/>
  <c r="M551" i="51"/>
  <c r="M550" i="51"/>
  <c r="M549" i="51"/>
  <c r="M548" i="51"/>
  <c r="M547" i="51"/>
  <c r="M546" i="51"/>
  <c r="M545" i="51"/>
  <c r="M544" i="51"/>
  <c r="M543" i="51"/>
  <c r="M542" i="51"/>
  <c r="M541" i="51"/>
  <c r="M540" i="51"/>
  <c r="M539" i="51"/>
  <c r="M538" i="51"/>
  <c r="M537" i="51"/>
  <c r="M536" i="51"/>
  <c r="M535" i="51"/>
  <c r="M534" i="51"/>
  <c r="M533" i="51"/>
  <c r="M532" i="51"/>
  <c r="M531" i="51"/>
  <c r="M530" i="51"/>
  <c r="M529" i="51"/>
  <c r="M528" i="51"/>
  <c r="M527" i="51"/>
  <c r="M526" i="51"/>
  <c r="M525" i="51"/>
  <c r="M524" i="51"/>
  <c r="M523" i="51"/>
  <c r="M522" i="51"/>
  <c r="M521" i="51"/>
  <c r="M520" i="51"/>
  <c r="M519" i="51"/>
  <c r="M518" i="51"/>
  <c r="M517" i="51"/>
  <c r="M516" i="51"/>
  <c r="M515" i="51"/>
  <c r="M514" i="51"/>
  <c r="M513" i="51"/>
  <c r="M512" i="51"/>
  <c r="M511" i="51"/>
  <c r="M510" i="51"/>
  <c r="M509" i="51"/>
  <c r="M508" i="51"/>
  <c r="M507" i="51"/>
  <c r="M506" i="51"/>
  <c r="M505" i="51"/>
  <c r="M504" i="51"/>
  <c r="M503" i="51"/>
  <c r="M502" i="51"/>
  <c r="M501" i="51"/>
  <c r="M500" i="51"/>
  <c r="M499" i="51"/>
  <c r="M498" i="51"/>
  <c r="M497" i="51"/>
  <c r="M496" i="51"/>
  <c r="M495" i="51"/>
  <c r="M494" i="51"/>
  <c r="M493" i="51"/>
  <c r="M492" i="51"/>
  <c r="M491" i="51"/>
  <c r="M490" i="51"/>
  <c r="M489" i="51"/>
  <c r="M488" i="51"/>
  <c r="M487" i="51"/>
  <c r="M486" i="51"/>
  <c r="M485" i="51"/>
  <c r="M484" i="51"/>
  <c r="M483" i="51"/>
  <c r="M482" i="51"/>
  <c r="M481" i="51"/>
  <c r="M480" i="51"/>
  <c r="M479" i="51"/>
  <c r="M478" i="51"/>
  <c r="M477" i="51"/>
  <c r="M476" i="51"/>
  <c r="M475" i="51"/>
  <c r="M474" i="51"/>
  <c r="M473" i="51"/>
  <c r="M472" i="51"/>
  <c r="M471" i="51"/>
  <c r="M470" i="51"/>
  <c r="M469" i="51"/>
  <c r="M468" i="51"/>
  <c r="M467" i="51"/>
  <c r="M466" i="51"/>
  <c r="M465" i="51"/>
  <c r="M464" i="51"/>
  <c r="M463" i="51"/>
  <c r="M462" i="51"/>
  <c r="M461" i="51"/>
  <c r="M460" i="51"/>
  <c r="M459" i="51"/>
  <c r="M458" i="51"/>
  <c r="M457" i="51"/>
  <c r="M456" i="51"/>
  <c r="M455" i="51"/>
  <c r="M454" i="51"/>
  <c r="M453" i="51"/>
  <c r="M452" i="51"/>
  <c r="M451" i="51"/>
  <c r="M450" i="51"/>
  <c r="M449" i="51"/>
  <c r="M448" i="51"/>
  <c r="M447" i="51"/>
  <c r="M446" i="51"/>
  <c r="M445" i="51"/>
  <c r="M444" i="51"/>
  <c r="M443" i="51"/>
  <c r="M442" i="51"/>
  <c r="M441" i="51"/>
  <c r="M440" i="51"/>
  <c r="M439" i="51"/>
  <c r="M438" i="51"/>
  <c r="M437" i="51"/>
  <c r="M436" i="51"/>
  <c r="M435" i="51"/>
  <c r="M434" i="51"/>
  <c r="M433" i="51"/>
  <c r="M432" i="51"/>
  <c r="M431" i="51"/>
  <c r="M430" i="51"/>
  <c r="M429" i="51"/>
  <c r="M428" i="51"/>
  <c r="M427" i="51"/>
  <c r="M426" i="51"/>
  <c r="M425" i="51"/>
  <c r="M424" i="51"/>
  <c r="M423" i="51"/>
  <c r="M422" i="51"/>
  <c r="M421" i="51"/>
  <c r="M420" i="51"/>
  <c r="M419" i="51"/>
  <c r="M418" i="51"/>
  <c r="M417" i="51"/>
  <c r="M416" i="51"/>
  <c r="M415" i="51"/>
  <c r="M414" i="51"/>
  <c r="M413" i="51"/>
  <c r="M412" i="51"/>
  <c r="M411" i="51"/>
  <c r="M410" i="51"/>
  <c r="M409" i="51"/>
  <c r="M408" i="51"/>
  <c r="M407" i="51"/>
  <c r="M406" i="51"/>
  <c r="M405" i="51"/>
  <c r="M404" i="51"/>
  <c r="M403" i="51"/>
  <c r="M402" i="51"/>
  <c r="M401" i="51"/>
  <c r="M400" i="51"/>
  <c r="M399" i="51"/>
  <c r="M398" i="51"/>
  <c r="M397" i="51"/>
  <c r="M396" i="51"/>
  <c r="M395" i="51"/>
  <c r="M394" i="51"/>
  <c r="M393" i="51"/>
  <c r="M392" i="51"/>
  <c r="M391" i="51"/>
  <c r="M390" i="51"/>
  <c r="M389" i="51"/>
  <c r="M388" i="51"/>
  <c r="M387" i="51"/>
  <c r="M386" i="51"/>
  <c r="M385" i="51"/>
  <c r="M384" i="51"/>
  <c r="M383" i="51"/>
  <c r="M382" i="51"/>
  <c r="M381" i="51"/>
  <c r="M380" i="51"/>
  <c r="M379" i="51"/>
  <c r="M378" i="51"/>
  <c r="M377" i="51"/>
  <c r="M376" i="51"/>
  <c r="M375" i="51"/>
  <c r="M374" i="51"/>
  <c r="M373" i="51"/>
  <c r="M372" i="51"/>
  <c r="M371" i="51"/>
  <c r="M370" i="51"/>
  <c r="M369" i="51"/>
  <c r="M368" i="51"/>
  <c r="M367" i="51"/>
  <c r="M366" i="51"/>
  <c r="M365" i="51"/>
  <c r="M364" i="51"/>
  <c r="M363" i="51"/>
  <c r="M362" i="51"/>
  <c r="M361" i="51"/>
  <c r="M360" i="51"/>
  <c r="M359" i="51"/>
  <c r="M358" i="51"/>
  <c r="M357" i="51"/>
  <c r="M356" i="51"/>
  <c r="M355" i="51"/>
  <c r="M354" i="51"/>
  <c r="M353" i="51"/>
  <c r="M352" i="51"/>
  <c r="M351" i="51"/>
  <c r="M350" i="51"/>
  <c r="M349" i="51"/>
  <c r="M348" i="51"/>
  <c r="M347" i="51"/>
  <c r="M346" i="51"/>
  <c r="M345" i="51"/>
  <c r="M344" i="51"/>
  <c r="M343" i="51"/>
  <c r="M342" i="51"/>
  <c r="M341" i="51"/>
  <c r="M340" i="51"/>
  <c r="M339" i="51"/>
  <c r="M338" i="51"/>
  <c r="M337" i="51"/>
  <c r="M336" i="51"/>
  <c r="M335" i="51"/>
  <c r="M334" i="51"/>
  <c r="M331" i="51"/>
  <c r="M330" i="51"/>
  <c r="M329" i="51"/>
  <c r="M328" i="51"/>
  <c r="M327" i="51"/>
  <c r="M326" i="51"/>
  <c r="M325" i="51"/>
  <c r="M324" i="51"/>
  <c r="M323" i="51"/>
  <c r="M322" i="51"/>
  <c r="M321" i="51"/>
  <c r="M320" i="51"/>
  <c r="M319" i="51"/>
  <c r="M318" i="51"/>
  <c r="M317" i="51"/>
  <c r="M316" i="51"/>
  <c r="M315" i="51"/>
  <c r="M314" i="51"/>
  <c r="M313" i="51"/>
  <c r="M312" i="51"/>
  <c r="M311" i="51"/>
  <c r="M310" i="51"/>
  <c r="M309" i="51"/>
  <c r="M308" i="51"/>
  <c r="M307" i="51"/>
  <c r="M306" i="51"/>
  <c r="M305" i="51"/>
  <c r="M304" i="51"/>
  <c r="M303" i="51"/>
  <c r="M302" i="51"/>
  <c r="M301" i="51"/>
  <c r="M300" i="51"/>
  <c r="M299" i="51"/>
  <c r="M298" i="51"/>
  <c r="M297" i="51"/>
  <c r="M296" i="51"/>
  <c r="M295" i="51"/>
  <c r="M294" i="51"/>
  <c r="M293" i="51"/>
  <c r="M292" i="51"/>
  <c r="M291" i="51"/>
  <c r="M290" i="51"/>
  <c r="M289" i="51"/>
  <c r="M288" i="51"/>
  <c r="M287" i="51"/>
  <c r="M286" i="51"/>
  <c r="M285" i="51"/>
  <c r="M284" i="51"/>
  <c r="M283" i="51"/>
  <c r="M282" i="51"/>
  <c r="M281" i="51"/>
  <c r="M280" i="51"/>
  <c r="M279" i="51"/>
  <c r="M278" i="51"/>
  <c r="M277" i="51"/>
  <c r="M276" i="51"/>
  <c r="M275" i="51"/>
  <c r="M274" i="51"/>
  <c r="M273" i="51"/>
  <c r="M272" i="51"/>
  <c r="M271" i="51"/>
  <c r="M270" i="51"/>
  <c r="M269" i="51"/>
  <c r="M268" i="51"/>
  <c r="M267" i="51"/>
  <c r="M266" i="51"/>
  <c r="M265" i="51"/>
  <c r="M264" i="51"/>
  <c r="M263" i="51"/>
  <c r="M262" i="51"/>
  <c r="M261" i="51"/>
  <c r="M260" i="51"/>
  <c r="M259" i="51"/>
  <c r="M258" i="51"/>
  <c r="M257" i="51"/>
  <c r="M256" i="51"/>
  <c r="M255" i="51"/>
  <c r="M254" i="51"/>
  <c r="M253" i="51"/>
  <c r="M252" i="51"/>
  <c r="M251" i="51"/>
  <c r="M250" i="51"/>
  <c r="M249" i="51"/>
  <c r="M248" i="51"/>
  <c r="M247" i="51"/>
  <c r="M246" i="51"/>
  <c r="M245" i="51"/>
  <c r="M244" i="51"/>
  <c r="M243" i="51"/>
  <c r="M242" i="51"/>
  <c r="M241" i="51"/>
  <c r="M240" i="51"/>
  <c r="M239" i="51"/>
  <c r="M238" i="51"/>
  <c r="M237" i="51"/>
  <c r="M236" i="51"/>
  <c r="M235" i="51"/>
  <c r="M234" i="51"/>
  <c r="M233" i="51"/>
  <c r="M232" i="51"/>
  <c r="M231" i="51"/>
  <c r="M230" i="51"/>
  <c r="M229" i="51"/>
  <c r="M228" i="51"/>
  <c r="M227" i="51"/>
  <c r="M226" i="51"/>
  <c r="M225" i="51"/>
  <c r="M224" i="51"/>
  <c r="M223" i="51"/>
  <c r="M222" i="51"/>
  <c r="M221" i="51"/>
  <c r="M220" i="51"/>
  <c r="M219" i="51"/>
  <c r="M218" i="51"/>
  <c r="M217" i="51"/>
  <c r="M216" i="51"/>
  <c r="M215" i="51"/>
  <c r="M214" i="51"/>
  <c r="M213" i="51"/>
  <c r="M212" i="51"/>
  <c r="M211" i="51"/>
  <c r="M210" i="51"/>
  <c r="M209" i="51"/>
  <c r="M208" i="51"/>
  <c r="M207" i="51"/>
  <c r="M206" i="51"/>
  <c r="M205" i="51"/>
  <c r="M204" i="51"/>
  <c r="M203" i="51"/>
  <c r="M202" i="51"/>
  <c r="M201" i="51"/>
  <c r="M200" i="51"/>
  <c r="M199" i="51"/>
  <c r="M198" i="51"/>
  <c r="M197" i="51"/>
  <c r="M196" i="51"/>
  <c r="M195" i="51"/>
  <c r="M194" i="51"/>
  <c r="M193" i="51"/>
  <c r="M192" i="51"/>
  <c r="M191" i="51"/>
  <c r="M190" i="51"/>
  <c r="M189" i="51"/>
  <c r="M188" i="51"/>
  <c r="M187" i="51"/>
  <c r="M186" i="51"/>
  <c r="M185" i="51"/>
  <c r="M184" i="51"/>
  <c r="M183" i="51"/>
  <c r="M182" i="51"/>
  <c r="M181" i="51"/>
  <c r="M180" i="51"/>
  <c r="M179" i="51"/>
  <c r="M178" i="51"/>
  <c r="M177" i="51"/>
  <c r="M176" i="51"/>
  <c r="M175" i="51"/>
  <c r="M174" i="51"/>
  <c r="M173" i="51"/>
  <c r="M172" i="51"/>
  <c r="M171" i="51"/>
  <c r="M170" i="51"/>
  <c r="M169" i="51"/>
  <c r="M168" i="51"/>
  <c r="M167" i="51"/>
  <c r="M166" i="51"/>
  <c r="M165" i="51"/>
  <c r="M164" i="51"/>
  <c r="M163" i="51"/>
  <c r="M162" i="51"/>
  <c r="M161" i="51"/>
  <c r="M160" i="51"/>
  <c r="M159" i="51"/>
  <c r="M158" i="51"/>
  <c r="M157" i="51"/>
  <c r="M156" i="51"/>
  <c r="M155" i="51"/>
  <c r="M154" i="51"/>
  <c r="M153" i="51"/>
  <c r="M151" i="51"/>
  <c r="M150" i="51"/>
  <c r="M149" i="51"/>
  <c r="M148" i="51"/>
  <c r="M147" i="51"/>
  <c r="M146" i="51"/>
  <c r="M145" i="51"/>
  <c r="M144" i="51"/>
  <c r="M143" i="51"/>
  <c r="M142" i="51"/>
  <c r="M141" i="51"/>
  <c r="M140" i="51"/>
  <c r="M139" i="51"/>
  <c r="M138" i="51"/>
  <c r="M137" i="51"/>
  <c r="M136" i="51"/>
  <c r="M135" i="51"/>
  <c r="M134" i="51"/>
  <c r="M133" i="51"/>
  <c r="M132" i="51"/>
  <c r="M131" i="51"/>
  <c r="M130" i="51"/>
  <c r="M129" i="51"/>
  <c r="M128" i="51"/>
  <c r="M127" i="51"/>
  <c r="M126" i="51"/>
  <c r="M125" i="51"/>
  <c r="M124" i="51"/>
  <c r="M123" i="51"/>
  <c r="M122" i="51"/>
  <c r="M121" i="51"/>
  <c r="M120" i="51"/>
  <c r="M119" i="51"/>
  <c r="M118" i="51"/>
  <c r="M117" i="51"/>
  <c r="M116" i="51"/>
  <c r="M115" i="51"/>
  <c r="M114" i="51"/>
  <c r="M113" i="51"/>
  <c r="M112" i="51"/>
  <c r="M111" i="51"/>
  <c r="M110" i="51"/>
  <c r="M109" i="51"/>
  <c r="M108" i="51"/>
  <c r="M107" i="51"/>
  <c r="M106" i="51"/>
  <c r="M105" i="51"/>
  <c r="M104" i="51"/>
  <c r="M103" i="51"/>
  <c r="M102" i="51"/>
  <c r="M101" i="51"/>
  <c r="M100" i="51"/>
  <c r="M99" i="51"/>
  <c r="M98" i="51"/>
  <c r="M97" i="51"/>
  <c r="M96" i="51"/>
  <c r="M95" i="51"/>
  <c r="M94" i="51"/>
  <c r="M93" i="51"/>
  <c r="M92" i="51"/>
  <c r="M91" i="51"/>
  <c r="M90" i="51"/>
  <c r="M89" i="51"/>
  <c r="M88" i="51"/>
  <c r="M87" i="51"/>
  <c r="M86" i="51"/>
  <c r="M85" i="51"/>
  <c r="M84" i="51"/>
  <c r="M83" i="51"/>
  <c r="M82" i="51"/>
  <c r="M81" i="51"/>
  <c r="M80" i="51"/>
  <c r="M79" i="51"/>
  <c r="M78" i="51"/>
  <c r="M77" i="51"/>
  <c r="M76" i="51"/>
  <c r="M75" i="51"/>
  <c r="M74" i="51"/>
  <c r="M73" i="51"/>
  <c r="M72" i="51"/>
  <c r="M71" i="51"/>
  <c r="M70" i="51"/>
  <c r="M69" i="51"/>
  <c r="M68" i="51"/>
  <c r="M67" i="51"/>
  <c r="M66" i="51"/>
  <c r="M65" i="51"/>
  <c r="M64" i="51"/>
  <c r="M63" i="51"/>
  <c r="M62" i="51"/>
  <c r="M61" i="51"/>
  <c r="M60" i="51"/>
  <c r="M59" i="51"/>
  <c r="M58" i="51"/>
  <c r="M57" i="51"/>
  <c r="M56" i="51"/>
  <c r="M55" i="51"/>
  <c r="M54" i="51"/>
  <c r="M53" i="51"/>
  <c r="M52" i="51"/>
  <c r="M51" i="51"/>
  <c r="M45" i="51"/>
  <c r="M44" i="51"/>
  <c r="M43" i="51"/>
  <c r="M42" i="51"/>
  <c r="M41" i="51"/>
  <c r="M40" i="51"/>
  <c r="M39" i="51"/>
  <c r="M38" i="51"/>
  <c r="M37" i="51"/>
  <c r="M36" i="51"/>
  <c r="M35" i="51"/>
  <c r="M34" i="51"/>
  <c r="M33" i="51"/>
  <c r="M32" i="51"/>
  <c r="M31" i="51"/>
  <c r="M30" i="51"/>
  <c r="M29" i="51"/>
  <c r="M28" i="51"/>
  <c r="M27" i="51"/>
  <c r="M26" i="51"/>
  <c r="M25" i="51"/>
  <c r="M24" i="51"/>
  <c r="M23" i="51"/>
  <c r="M22" i="51"/>
  <c r="M21" i="51"/>
  <c r="M20" i="51"/>
  <c r="M19" i="51"/>
  <c r="M18" i="51"/>
  <c r="M17" i="51"/>
  <c r="M16" i="51"/>
  <c r="M15" i="51"/>
  <c r="M14" i="51"/>
  <c r="M13" i="51"/>
  <c r="M12" i="51"/>
  <c r="M11" i="51"/>
  <c r="M10" i="51"/>
  <c r="M9" i="51"/>
  <c r="M8" i="51"/>
  <c r="Q9" i="51"/>
  <c r="Q10" i="51"/>
  <c r="Q11" i="51"/>
  <c r="Q12" i="51"/>
  <c r="Q13" i="51"/>
  <c r="Q14" i="51"/>
  <c r="Q15" i="51"/>
  <c r="Q16" i="51"/>
  <c r="Q17" i="51"/>
  <c r="Q18" i="51"/>
  <c r="Q19" i="51"/>
  <c r="Q20" i="51"/>
  <c r="Q21" i="51"/>
  <c r="Q22" i="51"/>
  <c r="Q23" i="51"/>
  <c r="Q24" i="51"/>
  <c r="Q25" i="51"/>
  <c r="Q26" i="51"/>
  <c r="Q27" i="51"/>
  <c r="Q28" i="51"/>
  <c r="Q29" i="51"/>
  <c r="Q30" i="51"/>
  <c r="Q31" i="51"/>
  <c r="Q32" i="51"/>
  <c r="Q33" i="51"/>
  <c r="Q34" i="51"/>
  <c r="Q35" i="51"/>
  <c r="Q36" i="51"/>
  <c r="Q37" i="51"/>
  <c r="Q39" i="51"/>
  <c r="Q40" i="51"/>
  <c r="Q41" i="51"/>
  <c r="Q42" i="51"/>
  <c r="Q43" i="51"/>
  <c r="Q51" i="51"/>
  <c r="Q52" i="51"/>
  <c r="Q53" i="51"/>
  <c r="Q54" i="51"/>
  <c r="Q55" i="51"/>
  <c r="Q56" i="51"/>
  <c r="Q57" i="51"/>
  <c r="Q58" i="51"/>
  <c r="Q59" i="51"/>
  <c r="Q60" i="51"/>
  <c r="Q62" i="51"/>
  <c r="Q63" i="51"/>
  <c r="Q64" i="51"/>
  <c r="Q65" i="51"/>
  <c r="Q66" i="51"/>
  <c r="Q67" i="51"/>
  <c r="Q68" i="51"/>
  <c r="Q69" i="51"/>
  <c r="Q70" i="51"/>
  <c r="Q71" i="51"/>
  <c r="Q72" i="51"/>
  <c r="Q73" i="51"/>
  <c r="Q74" i="51"/>
  <c r="Q75" i="51"/>
  <c r="Q76" i="51"/>
  <c r="Q77" i="51"/>
  <c r="Q78" i="51"/>
  <c r="Q79" i="51"/>
  <c r="Q80" i="51"/>
  <c r="Q81" i="51"/>
  <c r="Q82" i="51"/>
  <c r="Q83" i="51"/>
  <c r="Q84" i="51"/>
  <c r="Q85" i="51"/>
  <c r="Q87" i="51"/>
  <c r="Q88" i="51"/>
  <c r="Q89" i="51"/>
  <c r="Q90" i="51"/>
  <c r="Q91" i="51"/>
  <c r="Q92" i="51"/>
  <c r="Q93" i="51"/>
  <c r="Q94" i="51"/>
  <c r="Q95" i="51"/>
  <c r="Q96" i="51"/>
  <c r="Q97" i="51"/>
  <c r="Q98" i="51"/>
  <c r="Q99" i="51"/>
  <c r="Q100" i="51"/>
  <c r="Q101" i="51"/>
  <c r="Q102" i="51"/>
  <c r="Q103" i="51"/>
  <c r="Q104" i="51"/>
  <c r="Q105" i="51"/>
  <c r="Q106" i="51"/>
  <c r="Q107" i="51"/>
  <c r="Q108" i="51"/>
  <c r="Q109" i="51"/>
  <c r="Q110" i="51"/>
  <c r="Q111" i="51"/>
  <c r="Q112" i="51"/>
  <c r="Q113" i="51"/>
  <c r="Q114" i="51"/>
  <c r="Q115" i="51"/>
  <c r="Q116" i="51"/>
  <c r="Q117" i="51"/>
  <c r="Q118" i="51"/>
  <c r="Q119" i="51"/>
  <c r="Q120" i="51"/>
  <c r="Q122" i="51"/>
  <c r="Q123" i="51"/>
  <c r="Q124" i="51"/>
  <c r="Q125" i="51"/>
  <c r="Q126" i="51"/>
  <c r="Q127" i="51"/>
  <c r="Q128" i="51"/>
  <c r="Q129" i="51"/>
  <c r="Q130" i="51"/>
  <c r="Q131" i="51"/>
  <c r="Q132" i="51"/>
  <c r="Q133" i="51"/>
  <c r="Q134" i="51"/>
  <c r="Q135" i="51"/>
  <c r="Q136" i="51"/>
  <c r="Q137" i="51"/>
  <c r="Q139" i="51"/>
  <c r="Q141" i="51"/>
  <c r="Q142" i="51"/>
  <c r="Q143" i="51"/>
  <c r="Q144" i="51"/>
  <c r="Q146" i="51"/>
  <c r="Q147" i="51"/>
  <c r="Q149" i="51"/>
  <c r="Q150" i="51"/>
  <c r="Q153" i="51"/>
  <c r="Q154" i="51"/>
  <c r="Q155" i="51"/>
  <c r="Q156" i="51"/>
  <c r="Q157" i="51"/>
  <c r="Q158" i="51"/>
  <c r="Q159" i="51"/>
  <c r="Q160" i="51"/>
  <c r="Q161" i="51"/>
  <c r="Q162" i="51"/>
  <c r="Q163" i="51"/>
  <c r="Q164" i="51"/>
  <c r="Q165" i="51"/>
  <c r="Q166" i="51"/>
  <c r="Q167" i="51"/>
  <c r="Q168" i="51"/>
  <c r="Q169" i="51"/>
  <c r="Q170" i="51"/>
  <c r="Q171" i="51"/>
  <c r="Q172" i="51"/>
  <c r="Q173" i="51"/>
  <c r="Q174" i="51"/>
  <c r="Q175" i="51"/>
  <c r="Q176" i="51"/>
  <c r="Q177" i="51"/>
  <c r="Q178" i="51"/>
  <c r="Q179" i="51"/>
  <c r="Q180" i="51"/>
  <c r="Q181" i="51"/>
  <c r="Q182" i="51"/>
  <c r="Q183" i="51"/>
  <c r="Q184" i="51"/>
  <c r="Q185" i="51"/>
  <c r="Q186" i="51"/>
  <c r="Q187" i="51"/>
  <c r="Q188" i="51"/>
  <c r="Q189" i="51"/>
  <c r="Q190" i="51"/>
  <c r="Q191" i="51"/>
  <c r="Q192" i="51"/>
  <c r="Q193" i="51"/>
  <c r="Q194" i="51"/>
  <c r="Q195" i="51"/>
  <c r="Q196" i="51"/>
  <c r="Q197" i="51"/>
  <c r="Q198" i="51"/>
  <c r="Q199" i="51"/>
  <c r="Q201" i="51"/>
  <c r="Q202" i="51"/>
  <c r="Q203" i="51"/>
  <c r="Q204" i="51"/>
  <c r="Q205" i="51"/>
  <c r="Q206" i="51"/>
  <c r="Q207" i="51"/>
  <c r="Q208" i="51"/>
  <c r="Q209" i="51"/>
  <c r="Q210" i="51"/>
  <c r="Q211" i="51"/>
  <c r="Q212" i="51"/>
  <c r="Q213" i="51"/>
  <c r="Q214" i="51"/>
  <c r="Q215" i="51"/>
  <c r="Q216" i="51"/>
  <c r="Q217" i="51"/>
  <c r="Q218" i="51"/>
  <c r="Q219" i="51"/>
  <c r="Q220" i="51"/>
  <c r="Q221" i="51"/>
  <c r="Q222" i="51"/>
  <c r="Q223" i="51"/>
  <c r="Q224" i="51"/>
  <c r="Q225" i="51"/>
  <c r="Q226" i="51"/>
  <c r="Q227" i="51"/>
  <c r="Q228" i="51"/>
  <c r="Q229" i="51"/>
  <c r="Q230" i="51"/>
  <c r="Q231" i="51"/>
  <c r="Q232" i="51"/>
  <c r="Q233" i="51"/>
  <c r="Q234" i="51"/>
  <c r="Q235" i="51"/>
  <c r="Q236" i="51"/>
  <c r="Q237" i="51"/>
  <c r="Q238" i="51"/>
  <c r="Q239" i="51"/>
  <c r="Q240" i="51"/>
  <c r="Q241" i="51"/>
  <c r="Q242" i="51"/>
  <c r="Q243" i="51"/>
  <c r="Q244" i="51"/>
  <c r="Q245" i="51"/>
  <c r="Q246" i="51"/>
  <c r="Q247" i="51"/>
  <c r="Q248" i="51"/>
  <c r="Q249" i="51"/>
  <c r="Q250" i="51"/>
  <c r="Q251" i="51"/>
  <c r="Q252" i="51"/>
  <c r="Q253" i="51"/>
  <c r="Q254" i="51"/>
  <c r="Q255" i="51"/>
  <c r="Q256" i="51"/>
  <c r="Q257" i="51"/>
  <c r="Q258" i="51"/>
  <c r="Q259" i="51"/>
  <c r="Q260" i="51"/>
  <c r="Q261" i="51"/>
  <c r="Q262" i="51"/>
  <c r="Q263" i="51"/>
  <c r="Q264" i="51"/>
  <c r="Q265" i="51"/>
  <c r="Q266" i="51"/>
  <c r="Q267" i="51"/>
  <c r="Q268" i="51"/>
  <c r="Q269" i="51"/>
  <c r="Q270" i="51"/>
  <c r="Q271" i="51"/>
  <c r="Q272" i="51"/>
  <c r="Q273" i="51"/>
  <c r="Q274" i="51"/>
  <c r="Q275" i="51"/>
  <c r="Q276" i="51"/>
  <c r="Q277" i="51"/>
  <c r="Q278" i="51"/>
  <c r="Q279" i="51"/>
  <c r="Q280" i="51"/>
  <c r="Q281" i="51"/>
  <c r="Q282" i="51"/>
  <c r="Q283" i="51"/>
  <c r="Q284" i="51"/>
  <c r="Q285" i="51"/>
  <c r="Q286" i="51"/>
  <c r="Q287" i="51"/>
  <c r="Q288" i="51"/>
  <c r="Q289" i="51"/>
  <c r="Q290" i="51"/>
  <c r="Q291" i="51"/>
  <c r="Q292" i="51"/>
  <c r="Q293" i="51"/>
  <c r="Q294" i="51"/>
  <c r="Q295" i="51"/>
  <c r="Q296" i="51"/>
  <c r="Q297" i="51"/>
  <c r="Q298" i="51"/>
  <c r="Q299" i="51"/>
  <c r="Q300" i="51"/>
  <c r="Q301" i="51"/>
  <c r="Q302" i="51"/>
  <c r="Q303" i="51"/>
  <c r="Q304" i="51"/>
  <c r="Q305" i="51"/>
  <c r="Q306" i="51"/>
  <c r="Q307" i="51"/>
  <c r="Q308" i="51"/>
  <c r="Q309" i="51"/>
  <c r="Q310" i="51"/>
  <c r="Q311" i="51"/>
  <c r="Q312" i="51"/>
  <c r="Q313" i="51"/>
  <c r="Q314" i="51"/>
  <c r="Q315" i="51"/>
  <c r="Q316" i="51"/>
  <c r="Q317" i="51"/>
  <c r="Q318" i="51"/>
  <c r="Q319" i="51"/>
  <c r="Q320" i="51"/>
  <c r="Q321" i="51"/>
  <c r="Q322" i="51"/>
  <c r="Q324" i="51"/>
  <c r="Q325" i="51"/>
  <c r="Q326" i="51"/>
  <c r="Q327" i="51"/>
  <c r="Q328" i="51"/>
  <c r="Q329" i="51"/>
  <c r="Q330" i="51"/>
  <c r="Q331" i="51"/>
  <c r="Q334" i="51"/>
  <c r="Q335" i="51"/>
  <c r="Q336" i="51"/>
  <c r="Q337" i="51"/>
  <c r="Q338" i="51"/>
  <c r="Q339" i="51"/>
  <c r="Q340" i="51"/>
  <c r="Q341" i="51"/>
  <c r="Q342" i="51"/>
  <c r="Q343" i="51"/>
  <c r="Q344" i="51"/>
  <c r="Q345" i="51"/>
  <c r="Q346" i="51"/>
  <c r="Q347" i="51"/>
  <c r="Q348" i="51"/>
  <c r="Q349" i="51"/>
  <c r="Q350" i="51"/>
  <c r="Q351" i="51"/>
  <c r="Q352" i="51"/>
  <c r="Q353" i="51"/>
  <c r="Q354" i="51"/>
  <c r="Q355" i="51"/>
  <c r="Q356" i="51"/>
  <c r="Q357" i="51"/>
  <c r="Q370" i="51"/>
  <c r="Q371" i="51"/>
  <c r="Q372" i="51"/>
  <c r="Q373" i="51"/>
  <c r="Q374" i="51"/>
  <c r="Q375" i="51"/>
  <c r="Q376" i="51"/>
  <c r="Q377" i="51"/>
  <c r="Q378" i="51"/>
  <c r="Q379" i="51"/>
  <c r="Q380" i="51"/>
  <c r="Q381" i="51"/>
  <c r="Q382" i="51"/>
  <c r="Q383" i="51"/>
  <c r="Q384" i="51"/>
  <c r="Q385" i="51"/>
  <c r="Q386" i="51"/>
  <c r="Q387" i="51"/>
  <c r="Q388" i="51"/>
  <c r="Q389" i="51"/>
  <c r="Q390" i="51"/>
  <c r="Q391" i="51"/>
  <c r="Q392" i="51"/>
  <c r="Q393" i="51"/>
  <c r="Q394" i="51"/>
  <c r="Q395" i="51"/>
  <c r="Q45" i="51"/>
  <c r="Q396" i="51"/>
  <c r="Q397" i="51"/>
  <c r="Q398" i="51"/>
  <c r="Q399" i="51"/>
  <c r="Q400" i="51"/>
  <c r="Q401" i="51"/>
  <c r="Q402" i="51"/>
  <c r="Q403" i="51"/>
  <c r="Q404" i="51"/>
  <c r="Q405" i="51"/>
  <c r="Q406" i="51"/>
  <c r="Q407" i="51"/>
  <c r="Q408" i="51"/>
  <c r="Q410" i="51"/>
  <c r="Q411" i="51"/>
  <c r="Q412" i="51"/>
  <c r="Q413" i="51"/>
  <c r="Q414" i="51"/>
  <c r="Q415" i="51"/>
  <c r="Q416" i="51"/>
  <c r="Q417" i="51"/>
  <c r="Q418" i="51"/>
  <c r="Q419" i="51"/>
  <c r="Q420" i="51"/>
  <c r="Q421" i="51"/>
  <c r="Q422" i="51"/>
  <c r="Q423" i="51"/>
  <c r="Q426" i="51"/>
  <c r="Q427" i="51"/>
  <c r="Q428" i="51"/>
  <c r="Q430" i="51"/>
  <c r="Q431" i="51"/>
  <c r="Q432" i="51"/>
  <c r="Q433" i="51"/>
  <c r="Q434" i="51"/>
  <c r="Q435" i="51"/>
  <c r="Q436" i="51"/>
  <c r="Q437" i="51"/>
  <c r="Q441" i="51"/>
  <c r="Q445" i="51"/>
  <c r="Q446" i="51"/>
  <c r="Q447" i="51"/>
  <c r="Q358" i="51"/>
  <c r="Q359" i="51"/>
  <c r="Q360" i="51"/>
  <c r="Q361" i="51"/>
  <c r="Q362" i="51"/>
  <c r="Q364" i="51"/>
  <c r="Q365" i="51"/>
  <c r="Q366" i="51"/>
  <c r="Q367" i="51"/>
  <c r="Q368" i="51"/>
  <c r="Q369" i="51"/>
  <c r="Q448" i="51"/>
  <c r="Q449" i="51"/>
  <c r="Q450" i="51"/>
  <c r="Q452" i="51"/>
  <c r="Q453" i="51"/>
  <c r="Q455" i="51"/>
  <c r="Q456" i="51"/>
  <c r="Q457" i="51"/>
  <c r="Q458" i="51"/>
  <c r="Q459" i="51"/>
  <c r="Q460" i="51"/>
  <c r="Q461" i="51"/>
  <c r="Q462" i="51"/>
  <c r="Q463" i="51"/>
  <c r="Q464" i="51"/>
  <c r="Q465" i="51"/>
  <c r="Q466" i="51"/>
  <c r="Q467" i="51"/>
  <c r="Q468" i="51"/>
  <c r="Q470" i="51"/>
  <c r="Q471" i="51"/>
  <c r="Q472" i="51"/>
  <c r="Q473" i="51"/>
  <c r="Q474" i="51"/>
  <c r="Q475" i="51"/>
  <c r="Q476" i="51"/>
  <c r="Q477" i="51"/>
  <c r="Q478" i="51"/>
  <c r="Q479" i="51"/>
  <c r="Q480" i="51"/>
  <c r="Q481" i="51"/>
  <c r="Q482" i="51"/>
  <c r="Q483" i="51"/>
  <c r="Q484" i="51"/>
  <c r="Q485" i="51"/>
  <c r="Q486" i="51"/>
  <c r="Q487" i="51"/>
  <c r="Q488" i="51"/>
  <c r="Q489" i="51"/>
  <c r="Q490" i="51"/>
  <c r="Q491" i="51"/>
  <c r="Q492" i="51"/>
  <c r="Q493" i="51"/>
  <c r="Q494" i="51"/>
  <c r="Q495" i="51"/>
  <c r="Q496" i="51"/>
  <c r="Q497" i="51"/>
  <c r="Q498" i="51"/>
  <c r="Q499" i="51"/>
  <c r="Q500" i="51"/>
  <c r="Q501" i="51"/>
  <c r="Q502" i="51"/>
  <c r="Q503" i="51"/>
  <c r="Q504" i="51"/>
  <c r="Q505" i="51"/>
  <c r="Q506" i="51"/>
  <c r="Q507" i="51"/>
  <c r="Q508" i="51"/>
  <c r="Q509" i="51"/>
  <c r="Q510" i="51"/>
  <c r="Q511" i="51"/>
  <c r="Q512" i="51"/>
  <c r="Q513" i="51"/>
  <c r="Q514" i="51"/>
  <c r="Q515" i="51"/>
  <c r="Q516" i="51"/>
  <c r="Q517" i="51"/>
  <c r="Q518" i="51"/>
  <c r="Q519" i="51"/>
  <c r="Q520" i="51"/>
  <c r="Q521" i="51"/>
  <c r="Q522" i="51"/>
  <c r="Q523" i="51"/>
  <c r="Q524" i="51"/>
  <c r="Q525" i="51"/>
  <c r="Q526" i="51"/>
  <c r="Q527" i="51"/>
  <c r="Q528" i="51"/>
  <c r="Q529" i="51"/>
  <c r="Q530" i="51"/>
  <c r="Q531" i="51"/>
  <c r="Q532" i="51"/>
  <c r="Q533" i="51"/>
  <c r="Q534" i="51"/>
  <c r="Q535" i="51"/>
  <c r="Q536" i="51"/>
  <c r="Q537" i="51"/>
  <c r="Q538" i="51"/>
  <c r="Q539" i="51"/>
  <c r="Q540" i="51"/>
  <c r="Q541" i="51"/>
  <c r="Q542" i="51"/>
  <c r="Q543" i="51"/>
  <c r="Q544" i="51"/>
  <c r="Q545" i="51"/>
  <c r="Q546" i="51"/>
  <c r="Q547" i="51"/>
  <c r="Q548" i="51"/>
  <c r="Q549" i="51"/>
  <c r="Q550" i="51"/>
  <c r="Q551" i="51"/>
  <c r="Q552" i="51"/>
  <c r="Q553" i="51"/>
  <c r="Q554" i="51"/>
  <c r="Q555" i="51"/>
  <c r="Q556" i="51"/>
  <c r="Q557" i="51"/>
  <c r="Q558" i="51"/>
  <c r="Q559" i="51"/>
  <c r="Q560" i="51"/>
  <c r="Q561" i="51"/>
  <c r="Q562" i="51"/>
  <c r="Q563" i="51"/>
  <c r="Q564" i="51"/>
  <c r="Q565" i="51"/>
  <c r="Q566" i="51"/>
  <c r="Q567" i="51"/>
  <c r="Q568" i="51"/>
  <c r="Q569" i="51"/>
  <c r="Q570" i="51"/>
  <c r="Q571" i="51"/>
  <c r="Q572" i="51"/>
  <c r="Q573" i="51"/>
  <c r="Q574" i="51"/>
  <c r="Q575" i="51"/>
  <c r="Q576" i="51"/>
  <c r="Q577" i="51"/>
  <c r="Q578" i="51"/>
  <c r="Q579" i="51"/>
  <c r="Q580" i="51"/>
  <c r="Q581" i="51"/>
  <c r="Q582" i="51"/>
  <c r="Q583" i="51"/>
  <c r="Q584" i="51"/>
  <c r="Q585" i="51"/>
  <c r="Q586" i="51"/>
  <c r="Q587" i="51"/>
  <c r="Q588" i="51"/>
  <c r="Q589" i="51"/>
  <c r="Q590" i="51"/>
  <c r="Q591" i="51"/>
  <c r="Q592" i="51"/>
  <c r="Q593" i="51"/>
  <c r="Q594" i="51"/>
  <c r="Q595" i="51"/>
  <c r="Q596" i="51"/>
  <c r="Q597" i="51"/>
  <c r="Q598" i="51"/>
  <c r="Q599" i="51"/>
  <c r="Q600" i="51"/>
  <c r="Q601" i="51"/>
  <c r="Q602" i="51"/>
  <c r="Q603" i="51"/>
  <c r="Q604" i="51"/>
  <c r="Q605" i="51"/>
  <c r="Q606" i="51"/>
  <c r="Q607" i="51"/>
  <c r="Q608" i="51"/>
  <c r="Q609" i="51"/>
  <c r="Q610" i="51"/>
  <c r="Q611" i="51"/>
  <c r="Q612" i="51"/>
  <c r="Q613" i="51"/>
  <c r="Q614" i="51"/>
  <c r="Q615" i="51"/>
  <c r="Q616" i="51"/>
  <c r="Q617" i="51"/>
  <c r="Q618" i="51"/>
  <c r="Q619" i="51"/>
  <c r="Q620" i="51"/>
  <c r="Q621" i="51"/>
  <c r="Q622" i="51"/>
  <c r="Q623" i="51"/>
  <c r="Q627" i="51"/>
  <c r="Q628" i="51"/>
  <c r="Q629" i="51"/>
  <c r="Q630" i="51"/>
  <c r="Q631" i="51"/>
  <c r="Q632" i="51"/>
  <c r="Q633" i="51"/>
  <c r="Q634" i="51"/>
  <c r="Q635" i="51"/>
  <c r="Q636" i="51"/>
  <c r="Q442" i="51"/>
  <c r="Q7" i="51"/>
  <c r="Q8" i="51"/>
  <c r="Q44" i="51"/>
  <c r="R442" i="51"/>
  <c r="R7" i="51"/>
  <c r="R8" i="51"/>
  <c r="R9" i="51"/>
  <c r="R10" i="51"/>
  <c r="R11" i="51"/>
  <c r="R12" i="51"/>
  <c r="R13" i="51"/>
  <c r="R14" i="51"/>
  <c r="R15" i="51"/>
  <c r="R16" i="51"/>
  <c r="R17" i="51"/>
  <c r="R18" i="51"/>
  <c r="R19" i="51"/>
  <c r="R20" i="51"/>
  <c r="R21" i="51"/>
  <c r="R22" i="51"/>
  <c r="R23" i="51"/>
  <c r="R24" i="51"/>
  <c r="R25" i="51"/>
  <c r="R26" i="51"/>
  <c r="R27" i="51"/>
  <c r="R28" i="51"/>
  <c r="R29" i="51"/>
  <c r="R30" i="51"/>
  <c r="R31" i="51"/>
  <c r="R32" i="51"/>
  <c r="R33" i="51"/>
  <c r="R34" i="51"/>
  <c r="R35" i="51"/>
  <c r="R36" i="51"/>
  <c r="R37" i="51"/>
  <c r="R38" i="51"/>
  <c r="R39" i="51"/>
  <c r="R40" i="51"/>
  <c r="R41" i="51"/>
  <c r="R42" i="51"/>
  <c r="R43" i="51"/>
  <c r="R51" i="51"/>
  <c r="R52" i="51"/>
  <c r="R53" i="51"/>
  <c r="R54" i="51"/>
  <c r="R55" i="51"/>
  <c r="R56" i="51"/>
  <c r="R57" i="51"/>
  <c r="R58" i="51"/>
  <c r="R59" i="51"/>
  <c r="R60" i="51"/>
  <c r="R62" i="51"/>
  <c r="R63" i="51"/>
  <c r="R64" i="51"/>
  <c r="R65" i="51"/>
  <c r="R66" i="51"/>
  <c r="R67" i="51"/>
  <c r="R68" i="51"/>
  <c r="R69" i="51"/>
  <c r="R70" i="51"/>
  <c r="R71" i="51"/>
  <c r="R72" i="51"/>
  <c r="R73" i="51"/>
  <c r="R74" i="51"/>
  <c r="R75" i="51"/>
  <c r="R76" i="51"/>
  <c r="R77" i="51"/>
  <c r="R78" i="51"/>
  <c r="R79" i="51"/>
  <c r="R80" i="51"/>
  <c r="R81" i="51"/>
  <c r="R82" i="51"/>
  <c r="R83" i="51"/>
  <c r="R84" i="51"/>
  <c r="R85" i="51"/>
  <c r="R87" i="51"/>
  <c r="R88" i="51"/>
  <c r="R89" i="51"/>
  <c r="R90" i="51"/>
  <c r="R91" i="51"/>
  <c r="R92" i="51"/>
  <c r="R93" i="51"/>
  <c r="R94" i="51"/>
  <c r="R95" i="51"/>
  <c r="R96" i="51"/>
  <c r="R97" i="51"/>
  <c r="R98" i="51"/>
  <c r="R99" i="51"/>
  <c r="R100" i="51"/>
  <c r="R101" i="51"/>
  <c r="R102" i="51"/>
  <c r="R103" i="51"/>
  <c r="R104" i="51"/>
  <c r="R105" i="51"/>
  <c r="R106" i="51"/>
  <c r="R107" i="51"/>
  <c r="R108" i="51"/>
  <c r="R109" i="51"/>
  <c r="R110" i="51"/>
  <c r="R111" i="51"/>
  <c r="R112" i="51"/>
  <c r="R113" i="51"/>
  <c r="R114" i="51"/>
  <c r="R115" i="51"/>
  <c r="R116" i="51"/>
  <c r="R117" i="51"/>
  <c r="R118" i="51"/>
  <c r="R119" i="51"/>
  <c r="R120" i="51"/>
  <c r="R122" i="51"/>
  <c r="R123" i="51"/>
  <c r="R124" i="51"/>
  <c r="R125" i="51"/>
  <c r="R126" i="51"/>
  <c r="R127" i="51"/>
  <c r="R128" i="51"/>
  <c r="R129" i="51"/>
  <c r="R130" i="51"/>
  <c r="R131" i="51"/>
  <c r="R132" i="51"/>
  <c r="R133" i="51"/>
  <c r="R134" i="51"/>
  <c r="R135" i="51"/>
  <c r="R136" i="51"/>
  <c r="R137" i="51"/>
  <c r="R139" i="51"/>
  <c r="R141" i="51"/>
  <c r="R142" i="51"/>
  <c r="R143" i="51"/>
  <c r="R144" i="51"/>
  <c r="R146" i="51"/>
  <c r="R147" i="51"/>
  <c r="R149" i="51"/>
  <c r="R150" i="51"/>
  <c r="R153" i="51"/>
  <c r="R154" i="51"/>
  <c r="R155" i="51"/>
  <c r="R156" i="51"/>
  <c r="R157" i="51"/>
  <c r="R158" i="51"/>
  <c r="R159" i="51"/>
  <c r="R160" i="51"/>
  <c r="R161" i="51"/>
  <c r="R162" i="51"/>
  <c r="R163" i="51"/>
  <c r="R164" i="51"/>
  <c r="R165" i="51"/>
  <c r="R166" i="51"/>
  <c r="R167" i="51"/>
  <c r="R168" i="51"/>
  <c r="R169" i="51"/>
  <c r="R170" i="51"/>
  <c r="R171" i="51"/>
  <c r="R172" i="51"/>
  <c r="R173" i="51"/>
  <c r="R174" i="51"/>
  <c r="R175" i="51"/>
  <c r="R176" i="51"/>
  <c r="R177" i="51"/>
  <c r="R178" i="51"/>
  <c r="R179" i="51"/>
  <c r="R180" i="51"/>
  <c r="R181" i="51"/>
  <c r="R182" i="51"/>
  <c r="R183" i="51"/>
  <c r="R184" i="51"/>
  <c r="R185" i="51"/>
  <c r="R186" i="51"/>
  <c r="R187" i="51"/>
  <c r="R188" i="51"/>
  <c r="R189" i="51"/>
  <c r="R190" i="51"/>
  <c r="R191" i="51"/>
  <c r="R192" i="51"/>
  <c r="R193" i="51"/>
  <c r="R194" i="51"/>
  <c r="R195" i="51"/>
  <c r="R196" i="51"/>
  <c r="R197" i="51"/>
  <c r="R198" i="51"/>
  <c r="R199" i="51"/>
  <c r="R201" i="51"/>
  <c r="R202" i="51"/>
  <c r="R203" i="51"/>
  <c r="R204" i="51"/>
  <c r="R205" i="51"/>
  <c r="R206" i="51"/>
  <c r="R207" i="51"/>
  <c r="R208" i="51"/>
  <c r="R209" i="51"/>
  <c r="R210" i="51"/>
  <c r="R211" i="51"/>
  <c r="R212" i="51"/>
  <c r="R213" i="51"/>
  <c r="R214" i="51"/>
  <c r="R215" i="51"/>
  <c r="R216" i="51"/>
  <c r="R217" i="51"/>
  <c r="R218" i="51"/>
  <c r="R219" i="51"/>
  <c r="R220" i="51"/>
  <c r="R221" i="51"/>
  <c r="R222" i="51"/>
  <c r="R223" i="51"/>
  <c r="R224" i="51"/>
  <c r="R225" i="51"/>
  <c r="R226" i="51"/>
  <c r="R227" i="51"/>
  <c r="R228" i="51"/>
  <c r="R229" i="51"/>
  <c r="R230" i="51"/>
  <c r="R231" i="51"/>
  <c r="R232" i="51"/>
  <c r="R233" i="51"/>
  <c r="R234" i="51"/>
  <c r="R235" i="51"/>
  <c r="R236" i="51"/>
  <c r="R237" i="51"/>
  <c r="R238" i="51"/>
  <c r="R239" i="51"/>
  <c r="R240" i="51"/>
  <c r="R241" i="51"/>
  <c r="R242" i="51"/>
  <c r="R243" i="51"/>
  <c r="R244" i="51"/>
  <c r="R245" i="51"/>
  <c r="R246" i="51"/>
  <c r="R247" i="51"/>
  <c r="R248" i="51"/>
  <c r="R249" i="51"/>
  <c r="R250" i="51"/>
  <c r="R251" i="51"/>
  <c r="R252" i="51"/>
  <c r="R253" i="51"/>
  <c r="R254" i="51"/>
  <c r="R255" i="51"/>
  <c r="R256" i="51"/>
  <c r="R257" i="51"/>
  <c r="R258" i="51"/>
  <c r="R259" i="51"/>
  <c r="R260" i="51"/>
  <c r="R261" i="51"/>
  <c r="R262" i="51"/>
  <c r="R263" i="51"/>
  <c r="R264" i="51"/>
  <c r="R265" i="51"/>
  <c r="R266" i="51"/>
  <c r="R267" i="51"/>
  <c r="R268" i="51"/>
  <c r="R269" i="51"/>
  <c r="R270" i="51"/>
  <c r="R271" i="51"/>
  <c r="R272" i="51"/>
  <c r="R273" i="51"/>
  <c r="R274" i="51"/>
  <c r="R275" i="51"/>
  <c r="R276" i="51"/>
  <c r="R277" i="51"/>
  <c r="R278" i="51"/>
  <c r="R279" i="51"/>
  <c r="R280" i="51"/>
  <c r="R281" i="51"/>
  <c r="R282" i="51"/>
  <c r="R283" i="51"/>
  <c r="R284" i="51"/>
  <c r="R285" i="51"/>
  <c r="R286" i="51"/>
  <c r="R287" i="51"/>
  <c r="R288" i="51"/>
  <c r="R289" i="51"/>
  <c r="R290" i="51"/>
  <c r="R291" i="51"/>
  <c r="R292" i="51"/>
  <c r="R293" i="51"/>
  <c r="R294" i="51"/>
  <c r="R295" i="51"/>
  <c r="R296" i="51"/>
  <c r="R297" i="51"/>
  <c r="R298" i="51"/>
  <c r="R299" i="51"/>
  <c r="R300" i="51"/>
  <c r="R301" i="51"/>
  <c r="R302" i="51"/>
  <c r="R303" i="51"/>
  <c r="R304" i="51"/>
  <c r="R305" i="51"/>
  <c r="R306" i="51"/>
  <c r="R307" i="51"/>
  <c r="R308" i="51"/>
  <c r="R309" i="51"/>
  <c r="R310" i="51"/>
  <c r="R311" i="51"/>
  <c r="R312" i="51"/>
  <c r="R313" i="51"/>
  <c r="R314" i="51"/>
  <c r="R315" i="51"/>
  <c r="R316" i="51"/>
  <c r="R317" i="51"/>
  <c r="R318" i="51"/>
  <c r="R319" i="51"/>
  <c r="R320" i="51"/>
  <c r="R321" i="51"/>
  <c r="R322" i="51"/>
  <c r="R324" i="51"/>
  <c r="R325" i="51"/>
  <c r="R326" i="51"/>
  <c r="R327" i="51"/>
  <c r="R328" i="51"/>
  <c r="R329" i="51"/>
  <c r="R330" i="51"/>
  <c r="R331" i="51"/>
  <c r="R334" i="51"/>
  <c r="R335" i="51"/>
  <c r="R336" i="51"/>
  <c r="R337" i="51"/>
  <c r="R338" i="51"/>
  <c r="R339" i="51"/>
  <c r="R340" i="51"/>
  <c r="R341" i="51"/>
  <c r="R342" i="51"/>
  <c r="R343" i="51"/>
  <c r="R344" i="51"/>
  <c r="R345" i="51"/>
  <c r="R346" i="51"/>
  <c r="R347" i="51"/>
  <c r="R348" i="51"/>
  <c r="R349" i="51"/>
  <c r="R350" i="51"/>
  <c r="R351" i="51"/>
  <c r="R352" i="51"/>
  <c r="R353" i="51"/>
  <c r="R354" i="51"/>
  <c r="R355" i="51"/>
  <c r="R356" i="51"/>
  <c r="R357" i="51"/>
  <c r="R370" i="51"/>
  <c r="R371" i="51"/>
  <c r="R372" i="51"/>
  <c r="R373" i="51"/>
  <c r="R374" i="51"/>
  <c r="R375" i="51"/>
  <c r="R376" i="51"/>
  <c r="R377" i="51"/>
  <c r="R378" i="51"/>
  <c r="R379" i="51"/>
  <c r="R380" i="51"/>
  <c r="R381" i="51"/>
  <c r="R382" i="51"/>
  <c r="R383" i="51"/>
  <c r="R384" i="51"/>
  <c r="R385" i="51"/>
  <c r="R386" i="51"/>
  <c r="R387" i="51"/>
  <c r="R388" i="51"/>
  <c r="R389" i="51"/>
  <c r="R390" i="51"/>
  <c r="R391" i="51"/>
  <c r="R392" i="51"/>
  <c r="R393" i="51"/>
  <c r="R394" i="51"/>
  <c r="R395" i="51"/>
  <c r="R45" i="51"/>
  <c r="R396" i="51"/>
  <c r="R397" i="51"/>
  <c r="R398" i="51"/>
  <c r="R399" i="51"/>
  <c r="R400" i="51"/>
  <c r="R401" i="51"/>
  <c r="R402" i="51"/>
  <c r="R403" i="51"/>
  <c r="R404" i="51"/>
  <c r="R405" i="51"/>
  <c r="R406" i="51"/>
  <c r="R407" i="51"/>
  <c r="R408" i="51"/>
  <c r="R410" i="51"/>
  <c r="R411" i="51"/>
  <c r="R412" i="51"/>
  <c r="R413" i="51"/>
  <c r="R414" i="51"/>
  <c r="R415" i="51"/>
  <c r="R416" i="51"/>
  <c r="R417" i="51"/>
  <c r="R418" i="51"/>
  <c r="R419" i="51"/>
  <c r="R420" i="51"/>
  <c r="R421" i="51"/>
  <c r="R422" i="51"/>
  <c r="R423" i="51"/>
  <c r="R426" i="51"/>
  <c r="R427" i="51"/>
  <c r="R428" i="51"/>
  <c r="R430" i="51"/>
  <c r="R431" i="51"/>
  <c r="R432" i="51"/>
  <c r="R433" i="51"/>
  <c r="R434" i="51"/>
  <c r="R435" i="51"/>
  <c r="R436" i="51"/>
  <c r="R437" i="51"/>
  <c r="R438" i="51"/>
  <c r="R439" i="51"/>
  <c r="R440" i="51"/>
  <c r="R441" i="51"/>
  <c r="R445" i="51"/>
  <c r="R446" i="51"/>
  <c r="R447" i="51"/>
  <c r="R358" i="51"/>
  <c r="R359" i="51"/>
  <c r="R360" i="51"/>
  <c r="R361" i="51"/>
  <c r="R362" i="51"/>
  <c r="R364" i="51"/>
  <c r="R365" i="51"/>
  <c r="R366" i="51"/>
  <c r="R367" i="51"/>
  <c r="R368" i="51"/>
  <c r="R369" i="51"/>
  <c r="R448" i="51"/>
  <c r="R449" i="51"/>
  <c r="R450" i="51"/>
  <c r="R452" i="51"/>
  <c r="R453" i="51"/>
  <c r="R455" i="51"/>
  <c r="R456" i="51"/>
  <c r="R457" i="51"/>
  <c r="R458" i="51"/>
  <c r="R459" i="51"/>
  <c r="R460" i="51"/>
  <c r="R461" i="51"/>
  <c r="R462" i="51"/>
  <c r="R463" i="51"/>
  <c r="R464" i="51"/>
  <c r="R465" i="51"/>
  <c r="R466" i="51"/>
  <c r="R467" i="51"/>
  <c r="R468" i="51"/>
  <c r="R470" i="51"/>
  <c r="R471" i="51"/>
  <c r="R472" i="51"/>
  <c r="R473" i="51"/>
  <c r="R474" i="51"/>
  <c r="R475" i="51"/>
  <c r="R476" i="51"/>
  <c r="R477" i="51"/>
  <c r="R478" i="51"/>
  <c r="R479" i="51"/>
  <c r="R480" i="51"/>
  <c r="R481" i="51"/>
  <c r="R482" i="51"/>
  <c r="R483" i="51"/>
  <c r="R484" i="51"/>
  <c r="R485" i="51"/>
  <c r="R486" i="51"/>
  <c r="R487" i="51"/>
  <c r="R488" i="51"/>
  <c r="R489" i="51"/>
  <c r="R490" i="51"/>
  <c r="R491" i="51"/>
  <c r="R492" i="51"/>
  <c r="R493" i="51"/>
  <c r="R494" i="51"/>
  <c r="R495" i="51"/>
  <c r="R496" i="51"/>
  <c r="R497" i="51"/>
  <c r="R498" i="51"/>
  <c r="R499" i="51"/>
  <c r="R500" i="51"/>
  <c r="R501" i="51"/>
  <c r="R502" i="51"/>
  <c r="R503" i="51"/>
  <c r="R504" i="51"/>
  <c r="R505" i="51"/>
  <c r="R506" i="51"/>
  <c r="R507" i="51"/>
  <c r="R508" i="51"/>
  <c r="R509" i="51"/>
  <c r="R510" i="51"/>
  <c r="R511" i="51"/>
  <c r="R512" i="51"/>
  <c r="R513" i="51"/>
  <c r="R514" i="51"/>
  <c r="R515" i="51"/>
  <c r="R516" i="51"/>
  <c r="R517" i="51"/>
  <c r="R518" i="51"/>
  <c r="R519" i="51"/>
  <c r="R520" i="51"/>
  <c r="R521" i="51"/>
  <c r="R522" i="51"/>
  <c r="R523" i="51"/>
  <c r="R524" i="51"/>
  <c r="R525" i="51"/>
  <c r="R526" i="51"/>
  <c r="R527" i="51"/>
  <c r="R528" i="51"/>
  <c r="R529" i="51"/>
  <c r="R530" i="51"/>
  <c r="R531" i="51"/>
  <c r="R532" i="51"/>
  <c r="R533" i="51"/>
  <c r="R534" i="51"/>
  <c r="R535" i="51"/>
  <c r="R536" i="51"/>
  <c r="R537" i="51"/>
  <c r="R538" i="51"/>
  <c r="R539" i="51"/>
  <c r="R540" i="51"/>
  <c r="R541" i="51"/>
  <c r="R542" i="51"/>
  <c r="R543" i="51"/>
  <c r="R544" i="51"/>
  <c r="R545" i="51"/>
  <c r="R546" i="51"/>
  <c r="R547" i="51"/>
  <c r="R548" i="51"/>
  <c r="R549" i="51"/>
  <c r="R550" i="51"/>
  <c r="R551" i="51"/>
  <c r="R552" i="51"/>
  <c r="R553" i="51"/>
  <c r="R554" i="51"/>
  <c r="R555" i="51"/>
  <c r="R556" i="51"/>
  <c r="R557" i="51"/>
  <c r="R558" i="51"/>
  <c r="R559" i="51"/>
  <c r="R560" i="51"/>
  <c r="R561" i="51"/>
  <c r="R562" i="51"/>
  <c r="R563" i="51"/>
  <c r="R564" i="51"/>
  <c r="R565" i="51"/>
  <c r="R566" i="51"/>
  <c r="R567" i="51"/>
  <c r="R568" i="51"/>
  <c r="R569" i="51"/>
  <c r="R570" i="51"/>
  <c r="R571" i="51"/>
  <c r="R572" i="51"/>
  <c r="R573" i="51"/>
  <c r="R574" i="51"/>
  <c r="R575" i="51"/>
  <c r="R576" i="51"/>
  <c r="R577" i="51"/>
  <c r="R578" i="51"/>
  <c r="R579" i="51"/>
  <c r="R580" i="51"/>
  <c r="R581" i="51"/>
  <c r="R582" i="51"/>
  <c r="R583" i="51"/>
  <c r="R584" i="51"/>
  <c r="R585" i="51"/>
  <c r="R586" i="51"/>
  <c r="R587" i="51"/>
  <c r="R588" i="51"/>
  <c r="R589" i="51"/>
  <c r="R590" i="51"/>
  <c r="R591" i="51"/>
  <c r="R592" i="51"/>
  <c r="R593" i="51"/>
  <c r="R594" i="51"/>
  <c r="R595" i="51"/>
  <c r="R596" i="51"/>
  <c r="R597" i="51"/>
  <c r="R598" i="51"/>
  <c r="R599" i="51"/>
  <c r="R600" i="51"/>
  <c r="R601" i="51"/>
  <c r="R602" i="51"/>
  <c r="R603" i="51"/>
  <c r="R604" i="51"/>
  <c r="R605" i="51"/>
  <c r="R606" i="51"/>
  <c r="R607" i="51"/>
  <c r="R608" i="51"/>
  <c r="R609" i="51"/>
  <c r="R610" i="51"/>
  <c r="R611" i="51"/>
  <c r="R612" i="51"/>
  <c r="R613" i="51"/>
  <c r="R614" i="51"/>
  <c r="R615" i="51"/>
  <c r="R616" i="51"/>
  <c r="R617" i="51"/>
  <c r="R618" i="51"/>
  <c r="R619" i="51"/>
  <c r="R620" i="51"/>
  <c r="R621" i="51"/>
  <c r="R622" i="51"/>
  <c r="R623" i="51"/>
  <c r="R627" i="51"/>
  <c r="R628" i="51"/>
  <c r="R629" i="51"/>
  <c r="R630" i="51"/>
  <c r="R631" i="51"/>
  <c r="R632" i="51"/>
  <c r="R633" i="51"/>
  <c r="R634" i="51"/>
  <c r="R635" i="51"/>
  <c r="R636" i="51"/>
  <c r="R44" i="51"/>
  <c r="V489" i="51"/>
  <c r="U636" i="51"/>
  <c r="U635" i="51"/>
  <c r="U634" i="51"/>
  <c r="U633" i="51"/>
  <c r="U632" i="51"/>
  <c r="U631" i="51"/>
  <c r="U630" i="51"/>
  <c r="U629" i="51"/>
  <c r="U628" i="51"/>
  <c r="U627" i="51"/>
  <c r="U623" i="51"/>
  <c r="U622" i="51"/>
  <c r="U621" i="51"/>
  <c r="U620" i="51"/>
  <c r="U619" i="51"/>
  <c r="U618" i="51"/>
  <c r="U617" i="51"/>
  <c r="U616" i="51"/>
  <c r="U615" i="51"/>
  <c r="U614" i="51"/>
  <c r="U613" i="51"/>
  <c r="U612" i="51"/>
  <c r="U611" i="51"/>
  <c r="U610" i="51"/>
  <c r="U609" i="51"/>
  <c r="U608" i="51"/>
  <c r="U607" i="51"/>
  <c r="U606" i="51"/>
  <c r="U605" i="51"/>
  <c r="U604" i="51"/>
  <c r="U603" i="51"/>
  <c r="U602" i="51"/>
  <c r="U601" i="51"/>
  <c r="U600" i="51"/>
  <c r="U599" i="51"/>
  <c r="U598" i="51"/>
  <c r="U597" i="51"/>
  <c r="U596" i="51"/>
  <c r="U595" i="51"/>
  <c r="U594" i="51"/>
  <c r="U593" i="51"/>
  <c r="U592" i="51"/>
  <c r="U591" i="51"/>
  <c r="U590" i="51"/>
  <c r="U589" i="51"/>
  <c r="U588" i="51"/>
  <c r="U587" i="51"/>
  <c r="U586" i="51"/>
  <c r="U585" i="51"/>
  <c r="U584" i="51"/>
  <c r="U583" i="51"/>
  <c r="U582" i="51"/>
  <c r="U581" i="51"/>
  <c r="U580" i="51"/>
  <c r="U579" i="51"/>
  <c r="U578" i="51"/>
  <c r="U577" i="51"/>
  <c r="U576" i="51"/>
  <c r="U575" i="51"/>
  <c r="U574" i="51"/>
  <c r="U573" i="51"/>
  <c r="U572" i="51"/>
  <c r="U571" i="51"/>
  <c r="U570" i="51"/>
  <c r="U569" i="51"/>
  <c r="U568" i="51"/>
  <c r="U567" i="51"/>
  <c r="U566" i="51"/>
  <c r="U565" i="51"/>
  <c r="U564" i="51"/>
  <c r="U563" i="51"/>
  <c r="U562" i="51"/>
  <c r="U561" i="51"/>
  <c r="U560" i="51"/>
  <c r="U559" i="51"/>
  <c r="U558" i="51"/>
  <c r="U557" i="51"/>
  <c r="U556" i="51"/>
  <c r="U555" i="51"/>
  <c r="U554" i="51"/>
  <c r="U553" i="51"/>
  <c r="U552" i="51"/>
  <c r="U551" i="51"/>
  <c r="U550" i="51"/>
  <c r="U549" i="51"/>
  <c r="U548" i="51"/>
  <c r="U547" i="51"/>
  <c r="U546" i="51"/>
  <c r="U545" i="51"/>
  <c r="U544" i="51"/>
  <c r="U543" i="51"/>
  <c r="U542" i="51"/>
  <c r="U541" i="51"/>
  <c r="U540" i="51"/>
  <c r="U539" i="51"/>
  <c r="U538" i="51"/>
  <c r="U537" i="51"/>
  <c r="U536" i="51"/>
  <c r="U535" i="51"/>
  <c r="U534" i="51"/>
  <c r="U533" i="51"/>
  <c r="U532" i="51"/>
  <c r="U531" i="51"/>
  <c r="U530" i="51"/>
  <c r="U529" i="51"/>
  <c r="U528" i="51"/>
  <c r="U527" i="51"/>
  <c r="U526" i="51"/>
  <c r="U525" i="51"/>
  <c r="U524" i="51"/>
  <c r="U523" i="51"/>
  <c r="U522" i="51"/>
  <c r="U521" i="51"/>
  <c r="U520" i="51"/>
  <c r="U519" i="51"/>
  <c r="U518" i="51"/>
  <c r="U517" i="51"/>
  <c r="U516" i="51"/>
  <c r="U515" i="51"/>
  <c r="U514" i="51"/>
  <c r="U513" i="51"/>
  <c r="U512" i="51"/>
  <c r="U511" i="51"/>
  <c r="U510" i="51"/>
  <c r="U509" i="51"/>
  <c r="U508" i="51"/>
  <c r="U507" i="51"/>
  <c r="U506" i="51"/>
  <c r="U505" i="51"/>
  <c r="U504" i="51"/>
  <c r="U503" i="51"/>
  <c r="U502" i="51"/>
  <c r="U501" i="51"/>
  <c r="U500" i="51"/>
  <c r="U499" i="51"/>
  <c r="U498" i="51"/>
  <c r="U497" i="51"/>
  <c r="U496" i="51"/>
  <c r="U495" i="51"/>
  <c r="U494" i="51"/>
  <c r="U493" i="51"/>
  <c r="U492" i="51"/>
  <c r="U491" i="51"/>
  <c r="U490" i="51"/>
  <c r="U489" i="51"/>
  <c r="U488" i="51"/>
  <c r="U487" i="51"/>
  <c r="U486" i="51"/>
  <c r="U485" i="51"/>
  <c r="U484" i="51"/>
  <c r="U483" i="51"/>
  <c r="U482" i="51"/>
  <c r="U481" i="51"/>
  <c r="U480" i="51"/>
  <c r="U479" i="51"/>
  <c r="U478" i="51"/>
  <c r="U477" i="51"/>
  <c r="U476" i="51"/>
  <c r="U475" i="51"/>
  <c r="U474" i="51"/>
  <c r="U473" i="51"/>
  <c r="U472" i="51"/>
  <c r="U471" i="51"/>
  <c r="U470" i="51"/>
  <c r="U469" i="51"/>
  <c r="U468" i="51"/>
  <c r="U467" i="51"/>
  <c r="U466" i="51"/>
  <c r="U465" i="51"/>
  <c r="U464" i="51"/>
  <c r="U463" i="51"/>
  <c r="U462" i="51"/>
  <c r="U461" i="51"/>
  <c r="U460" i="51"/>
  <c r="U459" i="51"/>
  <c r="U458" i="51"/>
  <c r="U457" i="51"/>
  <c r="U456" i="51"/>
  <c r="U455" i="51"/>
  <c r="U454" i="51"/>
  <c r="U453" i="51"/>
  <c r="U452" i="51"/>
  <c r="U451" i="51"/>
  <c r="U450" i="51"/>
  <c r="U449" i="51"/>
  <c r="U448" i="51"/>
  <c r="U369" i="51"/>
  <c r="U368" i="51"/>
  <c r="U367" i="51"/>
  <c r="U366" i="51"/>
  <c r="U365" i="51"/>
  <c r="U364" i="51"/>
  <c r="U363" i="51"/>
  <c r="U362" i="51"/>
  <c r="U361" i="51"/>
  <c r="U360" i="51"/>
  <c r="U359" i="51"/>
  <c r="U358" i="51"/>
  <c r="U447" i="51"/>
  <c r="U446" i="51"/>
  <c r="U445" i="51"/>
  <c r="U444" i="51"/>
  <c r="U443" i="51"/>
  <c r="U441" i="51"/>
  <c r="U440" i="51"/>
  <c r="U439" i="51"/>
  <c r="U438" i="51"/>
  <c r="U437" i="51"/>
  <c r="U436" i="51"/>
  <c r="U435" i="51"/>
  <c r="U434" i="51"/>
  <c r="U433" i="51"/>
  <c r="U432" i="51"/>
  <c r="U431" i="51"/>
  <c r="U430" i="51"/>
  <c r="U429" i="51"/>
  <c r="U428" i="51"/>
  <c r="U427" i="51"/>
  <c r="U426" i="51"/>
  <c r="U425" i="51"/>
  <c r="U424" i="51"/>
  <c r="U423" i="51"/>
  <c r="U422" i="51"/>
  <c r="U421" i="51"/>
  <c r="U420" i="51"/>
  <c r="U419" i="51"/>
  <c r="U418" i="51"/>
  <c r="U417" i="51"/>
  <c r="U416" i="51"/>
  <c r="U415" i="51"/>
  <c r="U414" i="51"/>
  <c r="U413" i="51"/>
  <c r="U412" i="51"/>
  <c r="U411" i="51"/>
  <c r="U410" i="51"/>
  <c r="U409" i="51"/>
  <c r="U408" i="51"/>
  <c r="U407" i="51"/>
  <c r="U406" i="51"/>
  <c r="U405" i="51"/>
  <c r="U404" i="51"/>
  <c r="U403" i="51"/>
  <c r="U402" i="51"/>
  <c r="U401" i="51"/>
  <c r="U400" i="51"/>
  <c r="U399" i="51"/>
  <c r="U398" i="51"/>
  <c r="U397" i="51"/>
  <c r="U396" i="51"/>
  <c r="U45" i="51"/>
  <c r="U395" i="51"/>
  <c r="U394" i="51"/>
  <c r="U393" i="51"/>
  <c r="U392" i="51"/>
  <c r="U391" i="51"/>
  <c r="U390" i="51"/>
  <c r="U389" i="51"/>
  <c r="U388" i="51"/>
  <c r="U387" i="51"/>
  <c r="U386" i="51"/>
  <c r="U385" i="51"/>
  <c r="U384" i="51"/>
  <c r="U383" i="51"/>
  <c r="U382" i="51"/>
  <c r="U381" i="51"/>
  <c r="U380" i="51"/>
  <c r="U379" i="51"/>
  <c r="U378" i="51"/>
  <c r="U377" i="51"/>
  <c r="U376" i="51"/>
  <c r="U375" i="51"/>
  <c r="U374" i="51"/>
  <c r="U373" i="51"/>
  <c r="U372" i="51"/>
  <c r="U371" i="51"/>
  <c r="U370" i="51"/>
  <c r="U357" i="51"/>
  <c r="U356" i="51"/>
  <c r="U355" i="51"/>
  <c r="U354" i="51"/>
  <c r="U353" i="51"/>
  <c r="U352" i="51"/>
  <c r="U351" i="51"/>
  <c r="U350" i="51"/>
  <c r="U349" i="51"/>
  <c r="U348" i="51"/>
  <c r="U347" i="51"/>
  <c r="U346" i="51"/>
  <c r="U345" i="51"/>
  <c r="U344" i="51"/>
  <c r="U343" i="51"/>
  <c r="U342" i="51"/>
  <c r="U341" i="51"/>
  <c r="U340" i="51"/>
  <c r="U339" i="51"/>
  <c r="U338" i="51"/>
  <c r="U337" i="51"/>
  <c r="U336" i="51"/>
  <c r="U335" i="51"/>
  <c r="U334" i="51"/>
  <c r="U331" i="51"/>
  <c r="U330" i="51"/>
  <c r="U329" i="51"/>
  <c r="U328" i="51"/>
  <c r="U327" i="51"/>
  <c r="U326" i="51"/>
  <c r="U325" i="51"/>
  <c r="U324" i="51"/>
  <c r="U323" i="51"/>
  <c r="U322" i="51"/>
  <c r="U321" i="51"/>
  <c r="U320" i="51"/>
  <c r="U319" i="51"/>
  <c r="U318" i="51"/>
  <c r="U317" i="51"/>
  <c r="U316" i="51"/>
  <c r="U315" i="51"/>
  <c r="U314" i="51"/>
  <c r="U313" i="51"/>
  <c r="U312" i="51"/>
  <c r="U311" i="51"/>
  <c r="U310" i="51"/>
  <c r="U309" i="51"/>
  <c r="U308" i="51"/>
  <c r="U307" i="51"/>
  <c r="U306" i="51"/>
  <c r="U305" i="51"/>
  <c r="U304" i="51"/>
  <c r="U303" i="51"/>
  <c r="U302" i="51"/>
  <c r="U301" i="51"/>
  <c r="U300" i="51"/>
  <c r="U299" i="51"/>
  <c r="U298" i="51"/>
  <c r="U297" i="51"/>
  <c r="U296" i="51"/>
  <c r="U295" i="51"/>
  <c r="U294" i="51"/>
  <c r="U293" i="51"/>
  <c r="U292" i="51"/>
  <c r="U291" i="51"/>
  <c r="U290" i="51"/>
  <c r="U289" i="51"/>
  <c r="U288" i="51"/>
  <c r="U287" i="51"/>
  <c r="U286" i="51"/>
  <c r="U285" i="51"/>
  <c r="U284" i="51"/>
  <c r="U283" i="51"/>
  <c r="U282" i="51"/>
  <c r="U281" i="51"/>
  <c r="U280" i="51"/>
  <c r="U279" i="51"/>
  <c r="U278" i="51"/>
  <c r="U277" i="51"/>
  <c r="U276" i="51"/>
  <c r="U275" i="51"/>
  <c r="U274" i="51"/>
  <c r="U273" i="51"/>
  <c r="U272" i="51"/>
  <c r="U271" i="51"/>
  <c r="U270" i="51"/>
  <c r="U269" i="51"/>
  <c r="U268" i="51"/>
  <c r="U267" i="51"/>
  <c r="U266" i="51"/>
  <c r="U265" i="51"/>
  <c r="U264" i="51"/>
  <c r="U263" i="51"/>
  <c r="U262" i="51"/>
  <c r="U261" i="51"/>
  <c r="U260" i="51"/>
  <c r="U259" i="51"/>
  <c r="U258" i="51"/>
  <c r="U257" i="51"/>
  <c r="U256" i="51"/>
  <c r="U255" i="51"/>
  <c r="U254" i="51"/>
  <c r="U253" i="51"/>
  <c r="U252" i="51"/>
  <c r="U251" i="51"/>
  <c r="U250" i="51"/>
  <c r="U249" i="51"/>
  <c r="U248" i="51"/>
  <c r="U247" i="51"/>
  <c r="U246" i="51"/>
  <c r="U245" i="51"/>
  <c r="U244" i="51"/>
  <c r="U243" i="51"/>
  <c r="U242" i="51"/>
  <c r="U241" i="51"/>
  <c r="U240" i="51"/>
  <c r="U239" i="51"/>
  <c r="U238" i="51"/>
  <c r="U237" i="51"/>
  <c r="U236" i="51"/>
  <c r="U235" i="51"/>
  <c r="U234" i="51"/>
  <c r="U233" i="51"/>
  <c r="U232" i="51"/>
  <c r="U231" i="51"/>
  <c r="U230" i="51"/>
  <c r="U229" i="51"/>
  <c r="U228" i="51"/>
  <c r="U227" i="51"/>
  <c r="U226" i="51"/>
  <c r="U225" i="51"/>
  <c r="U224" i="51"/>
  <c r="U223" i="51"/>
  <c r="U222" i="51"/>
  <c r="U221" i="51"/>
  <c r="U220" i="51"/>
  <c r="U219" i="51"/>
  <c r="U218" i="51"/>
  <c r="U217" i="51"/>
  <c r="U216" i="51"/>
  <c r="U215" i="51"/>
  <c r="U214" i="51"/>
  <c r="U213" i="51"/>
  <c r="U212" i="51"/>
  <c r="U211" i="51"/>
  <c r="U210" i="51"/>
  <c r="U209" i="51"/>
  <c r="U208" i="51"/>
  <c r="U207" i="51"/>
  <c r="U206" i="51"/>
  <c r="U205" i="51"/>
  <c r="U204" i="51"/>
  <c r="U203" i="51"/>
  <c r="U202" i="51"/>
  <c r="U201" i="51"/>
  <c r="U200" i="51"/>
  <c r="U199" i="51"/>
  <c r="U198" i="51"/>
  <c r="U197" i="51"/>
  <c r="U196" i="51"/>
  <c r="U195" i="51"/>
  <c r="U194" i="51"/>
  <c r="U193" i="51"/>
  <c r="U192" i="51"/>
  <c r="U191" i="51"/>
  <c r="U190" i="51"/>
  <c r="U189" i="51"/>
  <c r="U188" i="51"/>
  <c r="U187" i="51"/>
  <c r="U186" i="51"/>
  <c r="U185" i="51"/>
  <c r="U184" i="51"/>
  <c r="U183" i="51"/>
  <c r="U182" i="51"/>
  <c r="U181" i="51"/>
  <c r="U180" i="51"/>
  <c r="U179" i="51"/>
  <c r="U178" i="51"/>
  <c r="U177" i="51"/>
  <c r="U176" i="51"/>
  <c r="U175" i="51"/>
  <c r="U174" i="51"/>
  <c r="U173" i="51"/>
  <c r="U172" i="51"/>
  <c r="U171" i="51"/>
  <c r="U170" i="51"/>
  <c r="U169" i="51"/>
  <c r="U168" i="51"/>
  <c r="U167" i="51"/>
  <c r="U166" i="51"/>
  <c r="U165" i="51"/>
  <c r="U164" i="51"/>
  <c r="U163" i="51"/>
  <c r="U162" i="51"/>
  <c r="U161" i="51"/>
  <c r="U160" i="51"/>
  <c r="U159" i="51"/>
  <c r="U158" i="51"/>
  <c r="U157" i="51"/>
  <c r="U156" i="51"/>
  <c r="U155" i="51"/>
  <c r="U154" i="51"/>
  <c r="U153" i="51"/>
  <c r="U151" i="51"/>
  <c r="U150" i="51"/>
  <c r="U149" i="51"/>
  <c r="U148" i="51"/>
  <c r="U147" i="51"/>
  <c r="U146" i="51"/>
  <c r="U145" i="51"/>
  <c r="U144" i="51"/>
  <c r="U143" i="51"/>
  <c r="U142" i="51"/>
  <c r="U141" i="51"/>
  <c r="U140" i="51"/>
  <c r="U139" i="51"/>
  <c r="U138" i="51"/>
  <c r="U137" i="51"/>
  <c r="U136" i="51"/>
  <c r="U135" i="51"/>
  <c r="U134" i="51"/>
  <c r="U133" i="51"/>
  <c r="U132" i="51"/>
  <c r="U131" i="51"/>
  <c r="U130" i="51"/>
  <c r="U129" i="51"/>
  <c r="U128" i="51"/>
  <c r="U127" i="51"/>
  <c r="U126" i="51"/>
  <c r="U125" i="51"/>
  <c r="U124" i="51"/>
  <c r="U123" i="51"/>
  <c r="U122" i="51"/>
  <c r="U121" i="51"/>
  <c r="U120" i="51"/>
  <c r="U119" i="51"/>
  <c r="U118" i="51"/>
  <c r="U117" i="51"/>
  <c r="U116" i="51"/>
  <c r="U115" i="51"/>
  <c r="U114" i="51"/>
  <c r="U113" i="51"/>
  <c r="U112" i="51"/>
  <c r="U111" i="51"/>
  <c r="U110" i="51"/>
  <c r="U109" i="51"/>
  <c r="U108" i="51"/>
  <c r="U107" i="51"/>
  <c r="U106" i="51"/>
  <c r="U105" i="51"/>
  <c r="U104" i="51"/>
  <c r="U103" i="51"/>
  <c r="U102" i="51"/>
  <c r="U101" i="51"/>
  <c r="U100" i="51"/>
  <c r="U99" i="51"/>
  <c r="U98" i="51"/>
  <c r="U97" i="51"/>
  <c r="U96" i="51"/>
  <c r="U95" i="51"/>
  <c r="U94" i="51"/>
  <c r="U93" i="51"/>
  <c r="U92" i="51"/>
  <c r="U91" i="51"/>
  <c r="U90" i="51"/>
  <c r="U89" i="51"/>
  <c r="U88" i="51"/>
  <c r="U87" i="51"/>
  <c r="U86" i="51"/>
  <c r="U85" i="51"/>
  <c r="U84" i="51"/>
  <c r="U83" i="51"/>
  <c r="U82" i="51"/>
  <c r="U81" i="51"/>
  <c r="U80" i="51"/>
  <c r="U79" i="51"/>
  <c r="U78" i="51"/>
  <c r="U77" i="51"/>
  <c r="U76" i="51"/>
  <c r="U75" i="51"/>
  <c r="U74" i="51"/>
  <c r="U73" i="51"/>
  <c r="U72" i="51"/>
  <c r="U71" i="51"/>
  <c r="U70" i="51"/>
  <c r="U69" i="51"/>
  <c r="U68" i="51"/>
  <c r="U67" i="51"/>
  <c r="U66" i="51"/>
  <c r="U65" i="51"/>
  <c r="U64" i="51"/>
  <c r="U63" i="51"/>
  <c r="U62" i="51"/>
  <c r="U61" i="51"/>
  <c r="U60" i="51"/>
  <c r="U59" i="51"/>
  <c r="U58" i="51"/>
  <c r="U57" i="51"/>
  <c r="U56" i="51"/>
  <c r="U55" i="51"/>
  <c r="U54" i="51"/>
  <c r="U53" i="51"/>
  <c r="U52" i="51"/>
  <c r="U51" i="51"/>
  <c r="U43" i="51"/>
  <c r="U42" i="51"/>
  <c r="U41" i="51"/>
  <c r="U40" i="51"/>
  <c r="U39" i="51"/>
  <c r="U38" i="51"/>
  <c r="U37" i="51"/>
  <c r="U36" i="51"/>
  <c r="U35" i="51"/>
  <c r="U34" i="51"/>
  <c r="U33" i="51"/>
  <c r="U32" i="51"/>
  <c r="U31" i="51"/>
  <c r="U30" i="51"/>
  <c r="U29" i="51"/>
  <c r="U28" i="51"/>
  <c r="U27" i="51"/>
  <c r="U26" i="51"/>
  <c r="U25" i="51"/>
  <c r="U24" i="51"/>
  <c r="U23" i="51"/>
  <c r="U22" i="51"/>
  <c r="U21" i="51"/>
  <c r="U20" i="51"/>
  <c r="U19" i="51"/>
  <c r="U18" i="51"/>
  <c r="U17" i="51"/>
  <c r="U16" i="51"/>
  <c r="U15" i="51"/>
  <c r="U14" i="51"/>
  <c r="U13" i="51"/>
  <c r="U12" i="51"/>
  <c r="U11" i="51"/>
  <c r="U10" i="51"/>
  <c r="U9" i="51"/>
  <c r="U8" i="51"/>
  <c r="U7" i="51"/>
  <c r="U442" i="51"/>
  <c r="T545" i="51"/>
  <c r="T544" i="51"/>
  <c r="T543" i="51"/>
  <c r="T542" i="51"/>
  <c r="T541" i="51"/>
  <c r="T540" i="51"/>
  <c r="T539" i="51"/>
  <c r="T538" i="51"/>
  <c r="T537" i="51"/>
  <c r="T536" i="51"/>
  <c r="T535" i="51"/>
  <c r="T534" i="51"/>
  <c r="T533" i="51"/>
  <c r="T532" i="51"/>
  <c r="T531" i="51"/>
  <c r="T530" i="51"/>
  <c r="T529" i="51"/>
  <c r="T528" i="51"/>
  <c r="T527" i="51"/>
  <c r="T526" i="51"/>
  <c r="T525" i="51"/>
  <c r="T524" i="51"/>
  <c r="T523" i="51"/>
  <c r="T522" i="51"/>
  <c r="T521" i="51"/>
  <c r="T520" i="51"/>
  <c r="T519" i="51"/>
  <c r="T518" i="51"/>
  <c r="T517" i="51"/>
  <c r="T516" i="51"/>
  <c r="T515" i="51"/>
  <c r="T514" i="51"/>
  <c r="T513" i="51"/>
  <c r="T512" i="51"/>
  <c r="T511" i="51"/>
  <c r="T510" i="51"/>
  <c r="T509" i="51"/>
  <c r="T508" i="51"/>
  <c r="T507" i="51"/>
  <c r="T506" i="51"/>
  <c r="T505" i="51"/>
  <c r="T504" i="51"/>
  <c r="T503" i="51"/>
  <c r="T502" i="51"/>
  <c r="T501" i="51"/>
  <c r="T500" i="51"/>
  <c r="T499" i="51"/>
  <c r="T498" i="51"/>
  <c r="T497" i="51"/>
  <c r="T496" i="51"/>
  <c r="T495" i="51"/>
  <c r="T494" i="51"/>
  <c r="T493" i="51"/>
  <c r="T492" i="51"/>
  <c r="T491" i="51"/>
  <c r="T490" i="51"/>
  <c r="T636" i="51"/>
  <c r="T635" i="51"/>
  <c r="T634" i="51"/>
  <c r="T633" i="51"/>
  <c r="T632" i="51"/>
  <c r="T631" i="51"/>
  <c r="T630" i="51"/>
  <c r="T629" i="51"/>
  <c r="T628" i="51"/>
  <c r="T627" i="51"/>
  <c r="V442" i="51"/>
  <c r="W425" i="51"/>
  <c r="V425" i="51"/>
  <c r="W424" i="51"/>
  <c r="V424" i="51"/>
  <c r="O41" i="51"/>
  <c r="O37" i="51"/>
  <c r="W366" i="51" l="1"/>
  <c r="V366" i="51"/>
  <c r="O596" i="51"/>
  <c r="O466" i="51"/>
  <c r="O340" i="51"/>
  <c r="O330" i="51"/>
  <c r="O293" i="51"/>
  <c r="O284" i="51"/>
  <c r="O253" i="51"/>
  <c r="O231" i="51"/>
  <c r="O194" i="51"/>
  <c r="O136" i="51"/>
  <c r="O104" i="51"/>
  <c r="O87" i="51"/>
  <c r="W598" i="51" l="1"/>
  <c r="V598" i="51"/>
  <c r="W502" i="51"/>
  <c r="V502" i="51"/>
  <c r="W483" i="51"/>
  <c r="V483" i="51"/>
  <c r="W465" i="51"/>
  <c r="V465" i="51"/>
  <c r="W451" i="51"/>
  <c r="V451" i="51"/>
  <c r="O54" i="51"/>
  <c r="O502" i="51"/>
  <c r="O395" i="51"/>
  <c r="O338" i="51"/>
  <c r="O328" i="51"/>
  <c r="O325" i="51"/>
  <c r="O315" i="51"/>
  <c r="O290" i="51"/>
  <c r="O280" i="51"/>
  <c r="O274" i="51"/>
  <c r="O268" i="51"/>
  <c r="O262" i="51"/>
  <c r="O249" i="51"/>
  <c r="O246" i="51"/>
  <c r="O239" i="51"/>
  <c r="O235" i="51"/>
  <c r="O228" i="51"/>
  <c r="O116" i="51"/>
  <c r="W489" i="51"/>
  <c r="T489" i="51"/>
  <c r="P489" i="51"/>
  <c r="O489" i="51"/>
  <c r="W488" i="51"/>
  <c r="V488" i="51"/>
  <c r="T488" i="51"/>
  <c r="P488" i="51"/>
  <c r="O488" i="51"/>
  <c r="W487" i="51"/>
  <c r="V487" i="51"/>
  <c r="T487" i="51"/>
  <c r="P487" i="51"/>
  <c r="O487" i="51"/>
  <c r="W486" i="51"/>
  <c r="V486" i="51"/>
  <c r="T486" i="51"/>
  <c r="P486" i="51"/>
  <c r="O486" i="51"/>
  <c r="W485" i="51"/>
  <c r="V485" i="51"/>
  <c r="T485" i="51"/>
  <c r="P485" i="51"/>
  <c r="O485" i="51"/>
  <c r="W484" i="51"/>
  <c r="V484" i="51"/>
  <c r="T484" i="51"/>
  <c r="P484" i="51"/>
  <c r="O484" i="51"/>
  <c r="T483" i="51"/>
  <c r="P483" i="51"/>
  <c r="O483" i="51"/>
  <c r="W482" i="51"/>
  <c r="V482" i="51"/>
  <c r="T482" i="51"/>
  <c r="P482" i="51"/>
  <c r="O482" i="51"/>
  <c r="W481" i="51"/>
  <c r="V481" i="51"/>
  <c r="O481" i="51"/>
  <c r="W480" i="51"/>
  <c r="V480" i="51"/>
  <c r="T480" i="51"/>
  <c r="P480" i="51"/>
  <c r="O480" i="51"/>
  <c r="W479" i="51"/>
  <c r="V479" i="51"/>
  <c r="T479" i="51"/>
  <c r="P479" i="51"/>
  <c r="O479" i="51"/>
  <c r="W478" i="51"/>
  <c r="V478" i="51"/>
  <c r="T478" i="51"/>
  <c r="P478" i="51"/>
  <c r="O478" i="51"/>
  <c r="W477" i="51"/>
  <c r="V477" i="51"/>
  <c r="T477" i="51"/>
  <c r="P477" i="51"/>
  <c r="O477" i="51"/>
  <c r="W476" i="51"/>
  <c r="V476" i="51"/>
  <c r="T476" i="51"/>
  <c r="P476" i="51"/>
  <c r="O476" i="51"/>
  <c r="W475" i="51"/>
  <c r="V475" i="51"/>
  <c r="T475" i="51"/>
  <c r="P475" i="51"/>
  <c r="O475" i="51"/>
  <c r="W474" i="51"/>
  <c r="V474" i="51"/>
  <c r="T474" i="51"/>
  <c r="P474" i="51"/>
  <c r="O474" i="51"/>
  <c r="W473" i="51"/>
  <c r="V473" i="51"/>
  <c r="T473" i="51"/>
  <c r="P473" i="51"/>
  <c r="O473" i="51"/>
  <c r="W472" i="51"/>
  <c r="V472" i="51"/>
  <c r="O472" i="51"/>
  <c r="W471" i="51"/>
  <c r="V471" i="51"/>
  <c r="T471" i="51"/>
  <c r="P471" i="51"/>
  <c r="O471" i="51"/>
  <c r="W470" i="51"/>
  <c r="V470" i="51"/>
  <c r="T470" i="51"/>
  <c r="P470" i="51"/>
  <c r="O470" i="51"/>
  <c r="W469" i="51"/>
  <c r="V469" i="51"/>
  <c r="T469" i="51"/>
  <c r="P469" i="51"/>
  <c r="O469" i="51"/>
  <c r="F469" i="51"/>
  <c r="W468" i="51"/>
  <c r="V468" i="51"/>
  <c r="T468" i="51"/>
  <c r="P468" i="51"/>
  <c r="O468" i="51"/>
  <c r="W467" i="51"/>
  <c r="V467" i="51"/>
  <c r="T467" i="51"/>
  <c r="P467" i="51"/>
  <c r="O467" i="51"/>
  <c r="T465" i="51"/>
  <c r="P465" i="51"/>
  <c r="O465" i="51"/>
  <c r="W464" i="51"/>
  <c r="V464" i="51"/>
  <c r="T464" i="51"/>
  <c r="P464" i="51"/>
  <c r="O464" i="51"/>
  <c r="W463" i="51"/>
  <c r="V463" i="51"/>
  <c r="O463" i="51"/>
  <c r="W462" i="51"/>
  <c r="V462" i="51"/>
  <c r="T462" i="51"/>
  <c r="P462" i="51"/>
  <c r="O462" i="51"/>
  <c r="W461" i="51"/>
  <c r="V461" i="51"/>
  <c r="T461" i="51"/>
  <c r="P461" i="51"/>
  <c r="O461" i="51"/>
  <c r="W460" i="51"/>
  <c r="V460" i="51"/>
  <c r="T460" i="51"/>
  <c r="P460" i="51"/>
  <c r="O460" i="51"/>
  <c r="W459" i="51"/>
  <c r="V459" i="51"/>
  <c r="T459" i="51"/>
  <c r="P459" i="51"/>
  <c r="O459" i="51"/>
  <c r="W458" i="51"/>
  <c r="V458" i="51"/>
  <c r="T458" i="51"/>
  <c r="P458" i="51"/>
  <c r="O458" i="51"/>
  <c r="W457" i="51"/>
  <c r="V457" i="51"/>
  <c r="T457" i="51"/>
  <c r="P457" i="51"/>
  <c r="O457" i="51"/>
  <c r="W456" i="51"/>
  <c r="V456" i="51"/>
  <c r="T456" i="51"/>
  <c r="P456" i="51"/>
  <c r="O456" i="51"/>
  <c r="W455" i="51"/>
  <c r="V455" i="51"/>
  <c r="T455" i="51"/>
  <c r="P455" i="51"/>
  <c r="O455" i="51"/>
  <c r="W454" i="51"/>
  <c r="V454" i="51"/>
  <c r="T454" i="51"/>
  <c r="P454" i="51"/>
  <c r="O454" i="51"/>
  <c r="F454" i="51"/>
  <c r="W453" i="51"/>
  <c r="V453" i="51"/>
  <c r="T453" i="51"/>
  <c r="P453" i="51"/>
  <c r="O453" i="51"/>
  <c r="W452" i="51"/>
  <c r="V452" i="51"/>
  <c r="T452" i="51"/>
  <c r="P452" i="51"/>
  <c r="O452" i="51"/>
  <c r="T451" i="51"/>
  <c r="P451" i="51"/>
  <c r="O451" i="51"/>
  <c r="F451" i="51"/>
  <c r="W450" i="51"/>
  <c r="V450" i="51"/>
  <c r="T450" i="51"/>
  <c r="P450" i="51"/>
  <c r="O450" i="51"/>
  <c r="W449" i="51"/>
  <c r="V449" i="51"/>
  <c r="T449" i="51"/>
  <c r="P449" i="51"/>
  <c r="O449" i="51"/>
  <c r="Q451" i="51" l="1"/>
  <c r="R451" i="51"/>
  <c r="Q454" i="51"/>
  <c r="R454" i="51"/>
  <c r="R469" i="51"/>
  <c r="Q469" i="51"/>
  <c r="W23" i="51"/>
  <c r="V23" i="51"/>
  <c r="T23" i="51"/>
  <c r="P23" i="51"/>
  <c r="O23" i="51"/>
  <c r="W16" i="51"/>
  <c r="V16" i="51"/>
  <c r="T16" i="51"/>
  <c r="P16" i="51"/>
  <c r="O16" i="51"/>
  <c r="W395" i="51"/>
  <c r="V395" i="51"/>
  <c r="T395" i="51"/>
  <c r="P395" i="51"/>
  <c r="W394" i="51"/>
  <c r="V394" i="51"/>
  <c r="T394" i="51"/>
  <c r="P394" i="51"/>
  <c r="O394" i="51"/>
  <c r="W393" i="51"/>
  <c r="V393" i="51"/>
  <c r="T393" i="51"/>
  <c r="P393" i="51"/>
  <c r="O393" i="51"/>
  <c r="W392" i="51"/>
  <c r="V392" i="51"/>
  <c r="T392" i="51"/>
  <c r="P392" i="51"/>
  <c r="O392" i="51"/>
  <c r="W391" i="51"/>
  <c r="V391" i="51"/>
  <c r="T391" i="51"/>
  <c r="P391" i="51"/>
  <c r="O391" i="51"/>
  <c r="W390" i="51"/>
  <c r="V390" i="51"/>
  <c r="T390" i="51"/>
  <c r="P390" i="51"/>
  <c r="O390" i="51"/>
  <c r="W389" i="51"/>
  <c r="V389" i="51"/>
  <c r="T389" i="51"/>
  <c r="P389" i="51"/>
  <c r="O389" i="51"/>
  <c r="W388" i="51"/>
  <c r="V388" i="51"/>
  <c r="T388" i="51"/>
  <c r="P388" i="51"/>
  <c r="O388" i="51"/>
  <c r="W387" i="51"/>
  <c r="V387" i="51"/>
  <c r="T387" i="51"/>
  <c r="P387" i="51"/>
  <c r="O387" i="51"/>
  <c r="W386" i="51"/>
  <c r="V386" i="51"/>
  <c r="T386" i="51"/>
  <c r="P386" i="51"/>
  <c r="O386" i="51"/>
  <c r="W385" i="51"/>
  <c r="V385" i="51"/>
  <c r="T385" i="51"/>
  <c r="P385" i="51"/>
  <c r="O385" i="51"/>
  <c r="W384" i="51"/>
  <c r="V384" i="51"/>
  <c r="T384" i="51"/>
  <c r="P384" i="51"/>
  <c r="O384" i="51"/>
  <c r="W383" i="51"/>
  <c r="V383" i="51"/>
  <c r="T383" i="51"/>
  <c r="P383" i="51"/>
  <c r="O383" i="51"/>
  <c r="W382" i="51"/>
  <c r="V382" i="51"/>
  <c r="T382" i="51"/>
  <c r="P382" i="51"/>
  <c r="O382" i="51"/>
  <c r="W381" i="51"/>
  <c r="V381" i="51"/>
  <c r="T381" i="51"/>
  <c r="P381" i="51"/>
  <c r="O381" i="51"/>
  <c r="W380" i="51"/>
  <c r="V380" i="51"/>
  <c r="T380" i="51"/>
  <c r="P380" i="51"/>
  <c r="O380" i="51"/>
  <c r="W379" i="51"/>
  <c r="V379" i="51"/>
  <c r="T379" i="51"/>
  <c r="P379" i="51"/>
  <c r="O379" i="51"/>
  <c r="W378" i="51"/>
  <c r="V378" i="51"/>
  <c r="T378" i="51"/>
  <c r="P378" i="51"/>
  <c r="O378" i="51"/>
  <c r="W377" i="51"/>
  <c r="V377" i="51"/>
  <c r="T377" i="51"/>
  <c r="P377" i="51"/>
  <c r="O377" i="51"/>
  <c r="W376" i="51"/>
  <c r="V376" i="51"/>
  <c r="T376" i="51"/>
  <c r="P376" i="51"/>
  <c r="O376" i="51"/>
  <c r="W375" i="51"/>
  <c r="V375" i="51"/>
  <c r="T375" i="51"/>
  <c r="P375" i="51"/>
  <c r="O375" i="51"/>
  <c r="W374" i="51"/>
  <c r="V374" i="51"/>
  <c r="T374" i="51"/>
  <c r="P374" i="51"/>
  <c r="O374" i="51"/>
  <c r="W373" i="51"/>
  <c r="V373" i="51"/>
  <c r="T373" i="51"/>
  <c r="P373" i="51"/>
  <c r="O373" i="51"/>
  <c r="W372" i="51"/>
  <c r="V372" i="51"/>
  <c r="T372" i="51"/>
  <c r="P372" i="51"/>
  <c r="O372" i="51"/>
  <c r="W371" i="51"/>
  <c r="V371" i="51"/>
  <c r="T371" i="51"/>
  <c r="P371" i="51"/>
  <c r="O371" i="51"/>
  <c r="W370" i="51"/>
  <c r="V370" i="51"/>
  <c r="T370" i="51"/>
  <c r="P370" i="51"/>
  <c r="O370" i="51"/>
  <c r="W636" i="51" l="1"/>
  <c r="V636" i="51"/>
  <c r="P636" i="51"/>
  <c r="O636" i="51"/>
  <c r="W635" i="51"/>
  <c r="V635" i="51"/>
  <c r="P635" i="51"/>
  <c r="O635" i="51"/>
  <c r="W634" i="51"/>
  <c r="V634" i="51"/>
  <c r="P634" i="51"/>
  <c r="O634" i="51"/>
  <c r="W633" i="51"/>
  <c r="V633" i="51"/>
  <c r="P633" i="51"/>
  <c r="O633" i="51"/>
  <c r="W632" i="51"/>
  <c r="V632" i="51"/>
  <c r="P632" i="51"/>
  <c r="O632" i="51"/>
  <c r="W631" i="51"/>
  <c r="V631" i="51"/>
  <c r="P631" i="51"/>
  <c r="O631" i="51"/>
  <c r="W630" i="51"/>
  <c r="V630" i="51"/>
  <c r="P630" i="51"/>
  <c r="O630" i="51"/>
  <c r="W629" i="51"/>
  <c r="V629" i="51"/>
  <c r="P629" i="51"/>
  <c r="O629" i="51"/>
  <c r="W628" i="51"/>
  <c r="V628" i="51"/>
  <c r="P628" i="51"/>
  <c r="O628" i="51"/>
  <c r="W627" i="51"/>
  <c r="V627" i="51"/>
  <c r="P627" i="51"/>
  <c r="O627" i="51"/>
  <c r="W623" i="51"/>
  <c r="V623" i="51"/>
  <c r="T623" i="51"/>
  <c r="P623" i="51"/>
  <c r="O623" i="51"/>
  <c r="W622" i="51"/>
  <c r="V622" i="51"/>
  <c r="T622" i="51"/>
  <c r="P622" i="51"/>
  <c r="O622" i="51"/>
  <c r="W621" i="51"/>
  <c r="V621" i="51"/>
  <c r="T621" i="51"/>
  <c r="P621" i="51"/>
  <c r="O621" i="51"/>
  <c r="W620" i="51"/>
  <c r="V620" i="51"/>
  <c r="T620" i="51"/>
  <c r="P620" i="51"/>
  <c r="O620" i="51"/>
  <c r="W619" i="51"/>
  <c r="V619" i="51"/>
  <c r="T619" i="51"/>
  <c r="P619" i="51"/>
  <c r="O619" i="51"/>
  <c r="W618" i="51"/>
  <c r="V618" i="51"/>
  <c r="T618" i="51"/>
  <c r="P618" i="51"/>
  <c r="O618" i="51"/>
  <c r="W617" i="51"/>
  <c r="V617" i="51"/>
  <c r="T617" i="51"/>
  <c r="P617" i="51"/>
  <c r="O617" i="51"/>
  <c r="W616" i="51"/>
  <c r="V616" i="51"/>
  <c r="T616" i="51"/>
  <c r="P616" i="51"/>
  <c r="O616" i="51"/>
  <c r="W615" i="51"/>
  <c r="V615" i="51"/>
  <c r="T615" i="51"/>
  <c r="P615" i="51"/>
  <c r="O615" i="51"/>
  <c r="W614" i="51"/>
  <c r="V614" i="51"/>
  <c r="T614" i="51"/>
  <c r="P614" i="51"/>
  <c r="O614" i="51"/>
  <c r="W613" i="51"/>
  <c r="V613" i="51"/>
  <c r="T613" i="51"/>
  <c r="P613" i="51"/>
  <c r="O613" i="51"/>
  <c r="W612" i="51"/>
  <c r="V612" i="51"/>
  <c r="T612" i="51"/>
  <c r="P612" i="51"/>
  <c r="O612" i="51"/>
  <c r="W611" i="51"/>
  <c r="V611" i="51"/>
  <c r="T611" i="51"/>
  <c r="P611" i="51"/>
  <c r="O611" i="51"/>
  <c r="W610" i="51"/>
  <c r="V610" i="51"/>
  <c r="T610" i="51"/>
  <c r="P610" i="51"/>
  <c r="O610" i="51"/>
  <c r="W609" i="51"/>
  <c r="V609" i="51"/>
  <c r="T609" i="51"/>
  <c r="P609" i="51"/>
  <c r="O609" i="51"/>
  <c r="W608" i="51"/>
  <c r="V608" i="51"/>
  <c r="T608" i="51"/>
  <c r="P608" i="51"/>
  <c r="O608" i="51"/>
  <c r="W607" i="51"/>
  <c r="V607" i="51"/>
  <c r="T607" i="51"/>
  <c r="P607" i="51"/>
  <c r="O607" i="51"/>
  <c r="W606" i="51"/>
  <c r="V606" i="51"/>
  <c r="T606" i="51"/>
  <c r="P606" i="51"/>
  <c r="O606" i="51"/>
  <c r="W605" i="51"/>
  <c r="V605" i="51"/>
  <c r="T605" i="51"/>
  <c r="P605" i="51"/>
  <c r="O605" i="51"/>
  <c r="W604" i="51"/>
  <c r="V604" i="51"/>
  <c r="T604" i="51"/>
  <c r="P604" i="51"/>
  <c r="O604" i="51"/>
  <c r="W603" i="51"/>
  <c r="V603" i="51"/>
  <c r="T603" i="51"/>
  <c r="P603" i="51"/>
  <c r="O603" i="51"/>
  <c r="W602" i="51"/>
  <c r="V602" i="51"/>
  <c r="T602" i="51"/>
  <c r="P602" i="51"/>
  <c r="O602" i="51"/>
  <c r="W601" i="51"/>
  <c r="V601" i="51"/>
  <c r="T601" i="51"/>
  <c r="P601" i="51"/>
  <c r="O601" i="51"/>
  <c r="W600" i="51"/>
  <c r="V600" i="51"/>
  <c r="T600" i="51"/>
  <c r="P600" i="51"/>
  <c r="O600" i="51"/>
  <c r="W599" i="51"/>
  <c r="V599" i="51"/>
  <c r="T599" i="51"/>
  <c r="P599" i="51"/>
  <c r="O599" i="51"/>
  <c r="T598" i="51"/>
  <c r="P598" i="51"/>
  <c r="O598" i="51"/>
  <c r="W597" i="51"/>
  <c r="V597" i="51"/>
  <c r="T597" i="51"/>
  <c r="P597" i="51"/>
  <c r="O597" i="51"/>
  <c r="W596" i="51"/>
  <c r="V596" i="51"/>
  <c r="T596" i="51"/>
  <c r="P596" i="51"/>
  <c r="W595" i="51"/>
  <c r="V595" i="51"/>
  <c r="T595" i="51"/>
  <c r="P595" i="51"/>
  <c r="O595" i="51"/>
  <c r="W594" i="51"/>
  <c r="V594" i="51"/>
  <c r="T594" i="51"/>
  <c r="P594" i="51"/>
  <c r="O594" i="51"/>
  <c r="W593" i="51"/>
  <c r="V593" i="51"/>
  <c r="T593" i="51"/>
  <c r="P593" i="51"/>
  <c r="O593" i="51"/>
  <c r="W592" i="51"/>
  <c r="V592" i="51"/>
  <c r="T592" i="51"/>
  <c r="P592" i="51"/>
  <c r="O592" i="51"/>
  <c r="W591" i="51"/>
  <c r="V591" i="51"/>
  <c r="T591" i="51"/>
  <c r="P591" i="51"/>
  <c r="O591" i="51"/>
  <c r="W590" i="51"/>
  <c r="V590" i="51"/>
  <c r="T590" i="51"/>
  <c r="P590" i="51"/>
  <c r="O590" i="51"/>
  <c r="W589" i="51"/>
  <c r="V589" i="51"/>
  <c r="T589" i="51"/>
  <c r="P589" i="51"/>
  <c r="O589" i="51"/>
  <c r="W588" i="51"/>
  <c r="V588" i="51"/>
  <c r="T588" i="51"/>
  <c r="P588" i="51"/>
  <c r="O588" i="51"/>
  <c r="W587" i="51"/>
  <c r="V587" i="51"/>
  <c r="T587" i="51"/>
  <c r="P587" i="51"/>
  <c r="O587" i="51"/>
  <c r="W586" i="51"/>
  <c r="V586" i="51"/>
  <c r="T586" i="51"/>
  <c r="P586" i="51"/>
  <c r="O586" i="51"/>
  <c r="W585" i="51"/>
  <c r="V585" i="51"/>
  <c r="T585" i="51"/>
  <c r="P585" i="51"/>
  <c r="O585" i="51"/>
  <c r="W584" i="51"/>
  <c r="V584" i="51"/>
  <c r="T584" i="51"/>
  <c r="P584" i="51"/>
  <c r="O584" i="51"/>
  <c r="W583" i="51"/>
  <c r="V583" i="51"/>
  <c r="T583" i="51"/>
  <c r="P583" i="51"/>
  <c r="O583" i="51"/>
  <c r="W582" i="51"/>
  <c r="V582" i="51"/>
  <c r="T582" i="51"/>
  <c r="P582" i="51"/>
  <c r="O582" i="51"/>
  <c r="W581" i="51"/>
  <c r="V581" i="51"/>
  <c r="T581" i="51"/>
  <c r="P581" i="51"/>
  <c r="O581" i="51"/>
  <c r="W580" i="51"/>
  <c r="V580" i="51"/>
  <c r="T580" i="51"/>
  <c r="P580" i="51"/>
  <c r="O580" i="51"/>
  <c r="W579" i="51"/>
  <c r="V579" i="51"/>
  <c r="T579" i="51"/>
  <c r="P579" i="51"/>
  <c r="O579" i="51"/>
  <c r="W578" i="51"/>
  <c r="V578" i="51"/>
  <c r="T578" i="51"/>
  <c r="P578" i="51"/>
  <c r="O578" i="51"/>
  <c r="W577" i="51"/>
  <c r="V577" i="51"/>
  <c r="T577" i="51"/>
  <c r="P577" i="51"/>
  <c r="O577" i="51"/>
  <c r="W576" i="51"/>
  <c r="V576" i="51"/>
  <c r="T576" i="51"/>
  <c r="P576" i="51"/>
  <c r="O576" i="51"/>
  <c r="W575" i="51"/>
  <c r="V575" i="51"/>
  <c r="T575" i="51"/>
  <c r="P575" i="51"/>
  <c r="O575" i="51"/>
  <c r="W574" i="51"/>
  <c r="V574" i="51"/>
  <c r="T574" i="51"/>
  <c r="P574" i="51"/>
  <c r="O574" i="51"/>
  <c r="W573" i="51"/>
  <c r="V573" i="51"/>
  <c r="T573" i="51"/>
  <c r="P573" i="51"/>
  <c r="O573" i="51"/>
  <c r="W572" i="51"/>
  <c r="V572" i="51"/>
  <c r="T572" i="51"/>
  <c r="P572" i="51"/>
  <c r="O572" i="51"/>
  <c r="W571" i="51"/>
  <c r="V571" i="51"/>
  <c r="T571" i="51"/>
  <c r="P571" i="51"/>
  <c r="O571" i="51"/>
  <c r="W570" i="51"/>
  <c r="V570" i="51"/>
  <c r="T570" i="51"/>
  <c r="P570" i="51"/>
  <c r="O570" i="51"/>
  <c r="W569" i="51"/>
  <c r="V569" i="51"/>
  <c r="T569" i="51"/>
  <c r="P569" i="51"/>
  <c r="O569" i="51"/>
  <c r="W568" i="51"/>
  <c r="V568" i="51"/>
  <c r="T568" i="51"/>
  <c r="P568" i="51"/>
  <c r="O568" i="51"/>
  <c r="W567" i="51"/>
  <c r="V567" i="51"/>
  <c r="T567" i="51"/>
  <c r="P567" i="51"/>
  <c r="O567" i="51"/>
  <c r="W566" i="51"/>
  <c r="V566" i="51"/>
  <c r="T566" i="51"/>
  <c r="P566" i="51"/>
  <c r="O566" i="51"/>
  <c r="W565" i="51"/>
  <c r="V565" i="51"/>
  <c r="T565" i="51"/>
  <c r="P565" i="51"/>
  <c r="O565" i="51"/>
  <c r="W564" i="51"/>
  <c r="V564" i="51"/>
  <c r="T564" i="51"/>
  <c r="P564" i="51"/>
  <c r="O564" i="51"/>
  <c r="W563" i="51"/>
  <c r="V563" i="51"/>
  <c r="T563" i="51"/>
  <c r="P563" i="51"/>
  <c r="O563" i="51"/>
  <c r="W562" i="51"/>
  <c r="V562" i="51"/>
  <c r="T562" i="51"/>
  <c r="P562" i="51"/>
  <c r="O562" i="51"/>
  <c r="W561" i="51"/>
  <c r="V561" i="51"/>
  <c r="T561" i="51"/>
  <c r="P561" i="51"/>
  <c r="O561" i="51"/>
  <c r="W560" i="51"/>
  <c r="V560" i="51"/>
  <c r="T560" i="51"/>
  <c r="P560" i="51"/>
  <c r="O560" i="51"/>
  <c r="W559" i="51"/>
  <c r="V559" i="51"/>
  <c r="T559" i="51"/>
  <c r="P559" i="51"/>
  <c r="O559" i="51"/>
  <c r="W558" i="51"/>
  <c r="V558" i="51"/>
  <c r="T558" i="51"/>
  <c r="P558" i="51"/>
  <c r="O558" i="51"/>
  <c r="W557" i="51"/>
  <c r="V557" i="51"/>
  <c r="T557" i="51"/>
  <c r="P557" i="51"/>
  <c r="O557" i="51"/>
  <c r="W556" i="51"/>
  <c r="V556" i="51"/>
  <c r="T556" i="51"/>
  <c r="P556" i="51"/>
  <c r="O556" i="51"/>
  <c r="W555" i="51"/>
  <c r="V555" i="51"/>
  <c r="T555" i="51"/>
  <c r="P555" i="51"/>
  <c r="O555" i="51"/>
  <c r="W554" i="51"/>
  <c r="V554" i="51"/>
  <c r="T554" i="51"/>
  <c r="P554" i="51"/>
  <c r="O554" i="51"/>
  <c r="W553" i="51"/>
  <c r="V553" i="51"/>
  <c r="T553" i="51"/>
  <c r="P553" i="51"/>
  <c r="O553" i="51"/>
  <c r="W552" i="51"/>
  <c r="V552" i="51"/>
  <c r="T552" i="51"/>
  <c r="P552" i="51"/>
  <c r="O552" i="51"/>
  <c r="W551" i="51"/>
  <c r="V551" i="51"/>
  <c r="T551" i="51"/>
  <c r="P551" i="51"/>
  <c r="O551" i="51"/>
  <c r="W550" i="51"/>
  <c r="V550" i="51"/>
  <c r="T550" i="51"/>
  <c r="P550" i="51"/>
  <c r="O550" i="51"/>
  <c r="W549" i="51"/>
  <c r="V549" i="51"/>
  <c r="T549" i="51"/>
  <c r="P549" i="51"/>
  <c r="O549" i="51"/>
  <c r="W548" i="51"/>
  <c r="V548" i="51"/>
  <c r="T548" i="51"/>
  <c r="P548" i="51"/>
  <c r="O548" i="51"/>
  <c r="W547" i="51"/>
  <c r="V547" i="51"/>
  <c r="T547" i="51"/>
  <c r="P547" i="51"/>
  <c r="O547" i="51"/>
  <c r="W546" i="51"/>
  <c r="V546" i="51"/>
  <c r="T546" i="51"/>
  <c r="P546" i="51"/>
  <c r="O546" i="51"/>
  <c r="W545" i="51"/>
  <c r="V545" i="51"/>
  <c r="P545" i="51"/>
  <c r="O545" i="51"/>
  <c r="W544" i="51"/>
  <c r="V544" i="51"/>
  <c r="P544" i="51"/>
  <c r="O544" i="51"/>
  <c r="W543" i="51"/>
  <c r="V543" i="51"/>
  <c r="P543" i="51"/>
  <c r="O543" i="51"/>
  <c r="W542" i="51"/>
  <c r="V542" i="51"/>
  <c r="P542" i="51"/>
  <c r="O542" i="51"/>
  <c r="W541" i="51"/>
  <c r="V541" i="51"/>
  <c r="P541" i="51"/>
  <c r="O541" i="51"/>
  <c r="W540" i="51"/>
  <c r="V540" i="51"/>
  <c r="P540" i="51"/>
  <c r="O540" i="51"/>
  <c r="W539" i="51"/>
  <c r="V539" i="51"/>
  <c r="P539" i="51"/>
  <c r="O539" i="51"/>
  <c r="W538" i="51"/>
  <c r="V538" i="51"/>
  <c r="P538" i="51"/>
  <c r="O538" i="51"/>
  <c r="W537" i="51"/>
  <c r="V537" i="51"/>
  <c r="P537" i="51"/>
  <c r="O537" i="51"/>
  <c r="W536" i="51"/>
  <c r="V536" i="51"/>
  <c r="P536" i="51"/>
  <c r="O536" i="51"/>
  <c r="W535" i="51"/>
  <c r="V535" i="51"/>
  <c r="P535" i="51"/>
  <c r="O535" i="51"/>
  <c r="W534" i="51"/>
  <c r="V534" i="51"/>
  <c r="P534" i="51"/>
  <c r="O534" i="51"/>
  <c r="W533" i="51"/>
  <c r="V533" i="51"/>
  <c r="P533" i="51"/>
  <c r="O533" i="51"/>
  <c r="W532" i="51"/>
  <c r="V532" i="51"/>
  <c r="P532" i="51"/>
  <c r="O532" i="51"/>
  <c r="W531" i="51"/>
  <c r="V531" i="51"/>
  <c r="P531" i="51"/>
  <c r="O531" i="51"/>
  <c r="W530" i="51"/>
  <c r="V530" i="51"/>
  <c r="P530" i="51"/>
  <c r="O530" i="51"/>
  <c r="W529" i="51"/>
  <c r="V529" i="51"/>
  <c r="P529" i="51"/>
  <c r="O529" i="51"/>
  <c r="W528" i="51"/>
  <c r="V528" i="51"/>
  <c r="P528" i="51"/>
  <c r="O528" i="51"/>
  <c r="W527" i="51"/>
  <c r="V527" i="51"/>
  <c r="P527" i="51"/>
  <c r="O527" i="51"/>
  <c r="W526" i="51"/>
  <c r="V526" i="51"/>
  <c r="P526" i="51"/>
  <c r="O526" i="51"/>
  <c r="W525" i="51"/>
  <c r="V525" i="51"/>
  <c r="P525" i="51"/>
  <c r="O525" i="51"/>
  <c r="W524" i="51"/>
  <c r="V524" i="51"/>
  <c r="P524" i="51"/>
  <c r="O524" i="51"/>
  <c r="W523" i="51"/>
  <c r="V523" i="51"/>
  <c r="P523" i="51"/>
  <c r="O523" i="51"/>
  <c r="W522" i="51"/>
  <c r="V522" i="51"/>
  <c r="P522" i="51"/>
  <c r="O522" i="51"/>
  <c r="W521" i="51"/>
  <c r="V521" i="51"/>
  <c r="P521" i="51"/>
  <c r="O521" i="51"/>
  <c r="W520" i="51"/>
  <c r="V520" i="51"/>
  <c r="P520" i="51"/>
  <c r="O520" i="51"/>
  <c r="W519" i="51"/>
  <c r="V519" i="51"/>
  <c r="P519" i="51"/>
  <c r="O519" i="51"/>
  <c r="W518" i="51"/>
  <c r="V518" i="51"/>
  <c r="P518" i="51"/>
  <c r="O518" i="51"/>
  <c r="W517" i="51"/>
  <c r="V517" i="51"/>
  <c r="P517" i="51"/>
  <c r="O517" i="51"/>
  <c r="W516" i="51"/>
  <c r="V516" i="51"/>
  <c r="P516" i="51"/>
  <c r="O516" i="51"/>
  <c r="W515" i="51"/>
  <c r="V515" i="51"/>
  <c r="P515" i="51"/>
  <c r="O515" i="51"/>
  <c r="W514" i="51"/>
  <c r="V514" i="51"/>
  <c r="P514" i="51"/>
  <c r="O514" i="51"/>
  <c r="W513" i="51"/>
  <c r="V513" i="51"/>
  <c r="P513" i="51"/>
  <c r="O513" i="51"/>
  <c r="W512" i="51"/>
  <c r="V512" i="51"/>
  <c r="P512" i="51"/>
  <c r="O512" i="51"/>
  <c r="W511" i="51"/>
  <c r="V511" i="51"/>
  <c r="P511" i="51"/>
  <c r="O511" i="51"/>
  <c r="W510" i="51"/>
  <c r="V510" i="51"/>
  <c r="P510" i="51"/>
  <c r="O510" i="51"/>
  <c r="W509" i="51"/>
  <c r="V509" i="51"/>
  <c r="P509" i="51"/>
  <c r="O509" i="51"/>
  <c r="W508" i="51"/>
  <c r="V508" i="51"/>
  <c r="P508" i="51"/>
  <c r="O508" i="51"/>
  <c r="W507" i="51"/>
  <c r="V507" i="51"/>
  <c r="P507" i="51"/>
  <c r="O507" i="51"/>
  <c r="W506" i="51"/>
  <c r="V506" i="51"/>
  <c r="P506" i="51"/>
  <c r="O506" i="51"/>
  <c r="W505" i="51"/>
  <c r="V505" i="51"/>
  <c r="P505" i="51"/>
  <c r="O505" i="51"/>
  <c r="W504" i="51"/>
  <c r="V504" i="51"/>
  <c r="P504" i="51"/>
  <c r="O504" i="51"/>
  <c r="W503" i="51"/>
  <c r="V503" i="51"/>
  <c r="P503" i="51"/>
  <c r="O503" i="51"/>
  <c r="W448" i="51"/>
  <c r="V448" i="51"/>
  <c r="T448" i="51"/>
  <c r="P448" i="51"/>
  <c r="O448" i="51"/>
  <c r="W369" i="51"/>
  <c r="V369" i="51"/>
  <c r="T369" i="51"/>
  <c r="P369" i="51"/>
  <c r="O369" i="51"/>
  <c r="W368" i="51"/>
  <c r="V368" i="51"/>
  <c r="T368" i="51"/>
  <c r="P368" i="51"/>
  <c r="O368" i="51"/>
  <c r="W367" i="51"/>
  <c r="V367" i="51"/>
  <c r="T367" i="51"/>
  <c r="P367" i="51"/>
  <c r="O367" i="51"/>
  <c r="T366" i="51"/>
  <c r="P366" i="51"/>
  <c r="O366" i="51"/>
  <c r="W365" i="51"/>
  <c r="V365" i="51"/>
  <c r="T365" i="51"/>
  <c r="P365" i="51"/>
  <c r="O365" i="51"/>
  <c r="W364" i="51"/>
  <c r="V364" i="51"/>
  <c r="T364" i="51"/>
  <c r="P364" i="51"/>
  <c r="O364" i="51"/>
  <c r="W363" i="51"/>
  <c r="V363" i="51"/>
  <c r="T363" i="51"/>
  <c r="P363" i="51"/>
  <c r="O363" i="51"/>
  <c r="F363" i="51"/>
  <c r="W362" i="51"/>
  <c r="V362" i="51"/>
  <c r="T362" i="51"/>
  <c r="P362" i="51"/>
  <c r="O362" i="51"/>
  <c r="W361" i="51"/>
  <c r="V361" i="51"/>
  <c r="T361" i="51"/>
  <c r="P361" i="51"/>
  <c r="O361" i="51"/>
  <c r="W360" i="51"/>
  <c r="V360" i="51"/>
  <c r="T360" i="51"/>
  <c r="P360" i="51"/>
  <c r="O360" i="51"/>
  <c r="W359" i="51"/>
  <c r="V359" i="51"/>
  <c r="T359" i="51"/>
  <c r="P359" i="51"/>
  <c r="O359" i="51"/>
  <c r="W358" i="51"/>
  <c r="V358" i="51"/>
  <c r="T358" i="51"/>
  <c r="P358" i="51"/>
  <c r="O358" i="51"/>
  <c r="W447" i="51"/>
  <c r="V447" i="51"/>
  <c r="T447" i="51"/>
  <c r="P447" i="51"/>
  <c r="O447" i="51"/>
  <c r="W446" i="51"/>
  <c r="V446" i="51"/>
  <c r="T446" i="51"/>
  <c r="P446" i="51"/>
  <c r="O446" i="51"/>
  <c r="W445" i="51"/>
  <c r="V445" i="51"/>
  <c r="T445" i="51"/>
  <c r="P445" i="51"/>
  <c r="O445" i="51"/>
  <c r="W444" i="51"/>
  <c r="V444" i="51"/>
  <c r="T444" i="51"/>
  <c r="P444" i="51"/>
  <c r="O444" i="51"/>
  <c r="F444" i="51"/>
  <c r="W443" i="51"/>
  <c r="V443" i="51"/>
  <c r="T443" i="51"/>
  <c r="P443" i="51"/>
  <c r="O443" i="51"/>
  <c r="F443" i="51"/>
  <c r="W442" i="51"/>
  <c r="T442" i="51"/>
  <c r="P442" i="51"/>
  <c r="O442" i="51"/>
  <c r="W441" i="51"/>
  <c r="V441" i="51"/>
  <c r="T441" i="51"/>
  <c r="P441" i="51"/>
  <c r="O441" i="51"/>
  <c r="W440" i="51"/>
  <c r="V440" i="51"/>
  <c r="T440" i="51"/>
  <c r="P440" i="51"/>
  <c r="O440" i="51"/>
  <c r="E440" i="51"/>
  <c r="Q440" i="51" s="1"/>
  <c r="W439" i="51"/>
  <c r="V439" i="51"/>
  <c r="T439" i="51"/>
  <c r="P439" i="51"/>
  <c r="O439" i="51"/>
  <c r="E439" i="51"/>
  <c r="Q439" i="51" s="1"/>
  <c r="W438" i="51"/>
  <c r="V438" i="51"/>
  <c r="T438" i="51"/>
  <c r="P438" i="51"/>
  <c r="O438" i="51"/>
  <c r="E438" i="51"/>
  <c r="Q438" i="51" s="1"/>
  <c r="W437" i="51"/>
  <c r="V437" i="51"/>
  <c r="T437" i="51"/>
  <c r="P437" i="51"/>
  <c r="O437" i="51"/>
  <c r="W436" i="51"/>
  <c r="V436" i="51"/>
  <c r="T436" i="51"/>
  <c r="P436" i="51"/>
  <c r="O436" i="51"/>
  <c r="W435" i="51"/>
  <c r="V435" i="51"/>
  <c r="T435" i="51"/>
  <c r="P435" i="51"/>
  <c r="O435" i="51"/>
  <c r="W434" i="51"/>
  <c r="V434" i="51"/>
  <c r="T434" i="51"/>
  <c r="P434" i="51"/>
  <c r="O434" i="51"/>
  <c r="W433" i="51"/>
  <c r="V433" i="51"/>
  <c r="T433" i="51"/>
  <c r="P433" i="51"/>
  <c r="O433" i="51"/>
  <c r="W432" i="51"/>
  <c r="V432" i="51"/>
  <c r="T432" i="51"/>
  <c r="P432" i="51"/>
  <c r="O432" i="51"/>
  <c r="W431" i="51"/>
  <c r="V431" i="51"/>
  <c r="T431" i="51"/>
  <c r="P431" i="51"/>
  <c r="O431" i="51"/>
  <c r="W430" i="51"/>
  <c r="V430" i="51"/>
  <c r="T430" i="51"/>
  <c r="P430" i="51"/>
  <c r="O430" i="51"/>
  <c r="W429" i="51"/>
  <c r="V429" i="51"/>
  <c r="T429" i="51"/>
  <c r="P429" i="51"/>
  <c r="O429" i="51"/>
  <c r="F429" i="51"/>
  <c r="W428" i="51"/>
  <c r="V428" i="51"/>
  <c r="T428" i="51"/>
  <c r="P428" i="51"/>
  <c r="O428" i="51"/>
  <c r="W427" i="51"/>
  <c r="V427" i="51"/>
  <c r="T427" i="51"/>
  <c r="P427" i="51"/>
  <c r="O427" i="51"/>
  <c r="W426" i="51"/>
  <c r="V426" i="51"/>
  <c r="T426" i="51"/>
  <c r="P426" i="51"/>
  <c r="O426" i="51"/>
  <c r="T425" i="51"/>
  <c r="P425" i="51"/>
  <c r="O425" i="51"/>
  <c r="F425" i="51"/>
  <c r="T424" i="51"/>
  <c r="P424" i="51"/>
  <c r="O424" i="51"/>
  <c r="F424" i="51"/>
  <c r="W423" i="51"/>
  <c r="V423" i="51"/>
  <c r="T423" i="51"/>
  <c r="P423" i="51"/>
  <c r="O423" i="51"/>
  <c r="W422" i="51"/>
  <c r="V422" i="51"/>
  <c r="T422" i="51"/>
  <c r="P422" i="51"/>
  <c r="O422" i="51"/>
  <c r="W421" i="51"/>
  <c r="V421" i="51"/>
  <c r="T421" i="51"/>
  <c r="P421" i="51"/>
  <c r="O421" i="51"/>
  <c r="W420" i="51"/>
  <c r="V420" i="51"/>
  <c r="T420" i="51"/>
  <c r="P420" i="51"/>
  <c r="O420" i="51"/>
  <c r="W419" i="51"/>
  <c r="V419" i="51"/>
  <c r="T419" i="51"/>
  <c r="P419" i="51"/>
  <c r="O419" i="51"/>
  <c r="W418" i="51"/>
  <c r="V418" i="51"/>
  <c r="T418" i="51"/>
  <c r="P418" i="51"/>
  <c r="O418" i="51"/>
  <c r="W417" i="51"/>
  <c r="V417" i="51"/>
  <c r="T417" i="51"/>
  <c r="P417" i="51"/>
  <c r="O417" i="51"/>
  <c r="W416" i="51"/>
  <c r="V416" i="51"/>
  <c r="T416" i="51"/>
  <c r="P416" i="51"/>
  <c r="O416" i="51"/>
  <c r="W415" i="51"/>
  <c r="V415" i="51"/>
  <c r="T415" i="51"/>
  <c r="P415" i="51"/>
  <c r="O415" i="51"/>
  <c r="W414" i="51"/>
  <c r="V414" i="51"/>
  <c r="T414" i="51"/>
  <c r="P414" i="51"/>
  <c r="O414" i="51"/>
  <c r="W413" i="51"/>
  <c r="V413" i="51"/>
  <c r="T413" i="51"/>
  <c r="P413" i="51"/>
  <c r="O413" i="51"/>
  <c r="W412" i="51"/>
  <c r="V412" i="51"/>
  <c r="T412" i="51"/>
  <c r="P412" i="51"/>
  <c r="O412" i="51"/>
  <c r="W411" i="51"/>
  <c r="V411" i="51"/>
  <c r="T411" i="51"/>
  <c r="P411" i="51"/>
  <c r="O411" i="51"/>
  <c r="W410" i="51"/>
  <c r="V410" i="51"/>
  <c r="T410" i="51"/>
  <c r="P410" i="51"/>
  <c r="O410" i="51"/>
  <c r="W409" i="51"/>
  <c r="V409" i="51"/>
  <c r="T409" i="51"/>
  <c r="P409" i="51"/>
  <c r="O409" i="51"/>
  <c r="F409" i="51"/>
  <c r="W408" i="51"/>
  <c r="V408" i="51"/>
  <c r="T408" i="51"/>
  <c r="P408" i="51"/>
  <c r="O408" i="51"/>
  <c r="W407" i="51"/>
  <c r="V407" i="51"/>
  <c r="T407" i="51"/>
  <c r="P407" i="51"/>
  <c r="O407" i="51"/>
  <c r="W406" i="51"/>
  <c r="V406" i="51"/>
  <c r="T406" i="51"/>
  <c r="P406" i="51"/>
  <c r="O406" i="51"/>
  <c r="W405" i="51"/>
  <c r="V405" i="51"/>
  <c r="T405" i="51"/>
  <c r="P405" i="51"/>
  <c r="O405" i="51"/>
  <c r="W404" i="51"/>
  <c r="V404" i="51"/>
  <c r="T404" i="51"/>
  <c r="P404" i="51"/>
  <c r="O404" i="51"/>
  <c r="W403" i="51"/>
  <c r="V403" i="51"/>
  <c r="T403" i="51"/>
  <c r="P403" i="51"/>
  <c r="O403" i="51"/>
  <c r="W402" i="51"/>
  <c r="V402" i="51"/>
  <c r="T402" i="51"/>
  <c r="P402" i="51"/>
  <c r="O402" i="51"/>
  <c r="W401" i="51"/>
  <c r="V401" i="51"/>
  <c r="T401" i="51"/>
  <c r="P401" i="51"/>
  <c r="O401" i="51"/>
  <c r="W400" i="51"/>
  <c r="V400" i="51"/>
  <c r="T400" i="51"/>
  <c r="P400" i="51"/>
  <c r="O400" i="51"/>
  <c r="W399" i="51"/>
  <c r="V399" i="51"/>
  <c r="T399" i="51"/>
  <c r="P399" i="51"/>
  <c r="O399" i="51"/>
  <c r="W398" i="51"/>
  <c r="V398" i="51"/>
  <c r="T398" i="51"/>
  <c r="P398" i="51"/>
  <c r="O398" i="51"/>
  <c r="W397" i="51"/>
  <c r="V397" i="51"/>
  <c r="T397" i="51"/>
  <c r="P397" i="51"/>
  <c r="O397" i="51"/>
  <c r="W396" i="51"/>
  <c r="V396" i="51"/>
  <c r="T396" i="51"/>
  <c r="P396" i="51"/>
  <c r="O396" i="51"/>
  <c r="W357" i="51"/>
  <c r="V357" i="51"/>
  <c r="T357" i="51"/>
  <c r="P357" i="51"/>
  <c r="O357" i="51"/>
  <c r="W356" i="51"/>
  <c r="V356" i="51"/>
  <c r="T356" i="51"/>
  <c r="P356" i="51"/>
  <c r="O356" i="51"/>
  <c r="W355" i="51"/>
  <c r="V355" i="51"/>
  <c r="T355" i="51"/>
  <c r="P355" i="51"/>
  <c r="O355" i="51"/>
  <c r="W354" i="51"/>
  <c r="V354" i="51"/>
  <c r="T354" i="51"/>
  <c r="P354" i="51"/>
  <c r="O354" i="51"/>
  <c r="W353" i="51"/>
  <c r="V353" i="51"/>
  <c r="T353" i="51"/>
  <c r="P353" i="51"/>
  <c r="O353" i="51"/>
  <c r="W352" i="51"/>
  <c r="V352" i="51"/>
  <c r="T352" i="51"/>
  <c r="P352" i="51"/>
  <c r="O352" i="51"/>
  <c r="W351" i="51"/>
  <c r="V351" i="51"/>
  <c r="T351" i="51"/>
  <c r="P351" i="51"/>
  <c r="O351" i="51"/>
  <c r="W350" i="51"/>
  <c r="V350" i="51"/>
  <c r="T350" i="51"/>
  <c r="P350" i="51"/>
  <c r="O350" i="51"/>
  <c r="W349" i="51"/>
  <c r="V349" i="51"/>
  <c r="T349" i="51"/>
  <c r="P349" i="51"/>
  <c r="O349" i="51"/>
  <c r="W348" i="51"/>
  <c r="V348" i="51"/>
  <c r="T348" i="51"/>
  <c r="P348" i="51"/>
  <c r="O348" i="51"/>
  <c r="W347" i="51"/>
  <c r="V347" i="51"/>
  <c r="T347" i="51"/>
  <c r="P347" i="51"/>
  <c r="O347" i="51"/>
  <c r="W346" i="51"/>
  <c r="V346" i="51"/>
  <c r="T346" i="51"/>
  <c r="P346" i="51"/>
  <c r="O346" i="51"/>
  <c r="W345" i="51"/>
  <c r="V345" i="51"/>
  <c r="T345" i="51"/>
  <c r="P345" i="51"/>
  <c r="O345" i="51"/>
  <c r="W344" i="51"/>
  <c r="V344" i="51"/>
  <c r="T344" i="51"/>
  <c r="P344" i="51"/>
  <c r="O344" i="51"/>
  <c r="W343" i="51"/>
  <c r="V343" i="51"/>
  <c r="T343" i="51"/>
  <c r="P343" i="51"/>
  <c r="O343" i="51"/>
  <c r="W342" i="51"/>
  <c r="V342" i="51"/>
  <c r="T342" i="51"/>
  <c r="P342" i="51"/>
  <c r="O342" i="51"/>
  <c r="W341" i="51"/>
  <c r="V341" i="51"/>
  <c r="T341" i="51"/>
  <c r="P341" i="51"/>
  <c r="O341" i="51"/>
  <c r="W340" i="51"/>
  <c r="V340" i="51"/>
  <c r="T340" i="51"/>
  <c r="P340" i="51"/>
  <c r="W339" i="51"/>
  <c r="V339" i="51"/>
  <c r="T339" i="51"/>
  <c r="P339" i="51"/>
  <c r="O339" i="51"/>
  <c r="W338" i="51"/>
  <c r="V338" i="51"/>
  <c r="T338" i="51"/>
  <c r="P338" i="51"/>
  <c r="W337" i="51"/>
  <c r="V337" i="51"/>
  <c r="T337" i="51"/>
  <c r="P337" i="51"/>
  <c r="O337" i="51"/>
  <c r="W336" i="51"/>
  <c r="V336" i="51"/>
  <c r="T336" i="51"/>
  <c r="P336" i="51"/>
  <c r="O336" i="51"/>
  <c r="W335" i="51"/>
  <c r="V335" i="51"/>
  <c r="T335" i="51"/>
  <c r="P335" i="51"/>
  <c r="O335" i="51"/>
  <c r="W334" i="51"/>
  <c r="V334" i="51"/>
  <c r="T334" i="51"/>
  <c r="P334" i="51"/>
  <c r="O334" i="51"/>
  <c r="W331" i="51"/>
  <c r="V331" i="51"/>
  <c r="T331" i="51"/>
  <c r="P331" i="51"/>
  <c r="O331" i="51"/>
  <c r="W330" i="51"/>
  <c r="V330" i="51"/>
  <c r="T330" i="51"/>
  <c r="P330" i="51"/>
  <c r="W329" i="51"/>
  <c r="V329" i="51"/>
  <c r="T329" i="51"/>
  <c r="P329" i="51"/>
  <c r="O329" i="51"/>
  <c r="W328" i="51"/>
  <c r="V328" i="51"/>
  <c r="T328" i="51"/>
  <c r="P328" i="51"/>
  <c r="W327" i="51"/>
  <c r="V327" i="51"/>
  <c r="T327" i="51"/>
  <c r="P327" i="51"/>
  <c r="O327" i="51"/>
  <c r="W326" i="51"/>
  <c r="V326" i="51"/>
  <c r="T326" i="51"/>
  <c r="P326" i="51"/>
  <c r="O326" i="51"/>
  <c r="W325" i="51"/>
  <c r="V325" i="51"/>
  <c r="T325" i="51"/>
  <c r="P325" i="51"/>
  <c r="W324" i="51"/>
  <c r="V324" i="51"/>
  <c r="T324" i="51"/>
  <c r="P324" i="51"/>
  <c r="O324" i="51"/>
  <c r="W323" i="51"/>
  <c r="V323" i="51"/>
  <c r="T323" i="51"/>
  <c r="P323" i="51"/>
  <c r="O323" i="51"/>
  <c r="F323" i="51"/>
  <c r="W322" i="51"/>
  <c r="V322" i="51"/>
  <c r="T322" i="51"/>
  <c r="P322" i="51"/>
  <c r="O322" i="51"/>
  <c r="W321" i="51"/>
  <c r="V321" i="51"/>
  <c r="T321" i="51"/>
  <c r="P321" i="51"/>
  <c r="O321" i="51"/>
  <c r="W320" i="51"/>
  <c r="V320" i="51"/>
  <c r="T320" i="51"/>
  <c r="P320" i="51"/>
  <c r="O320" i="51"/>
  <c r="W319" i="51"/>
  <c r="V319" i="51"/>
  <c r="T319" i="51"/>
  <c r="P319" i="51"/>
  <c r="O319" i="51"/>
  <c r="W318" i="51"/>
  <c r="V318" i="51"/>
  <c r="T318" i="51"/>
  <c r="P318" i="51"/>
  <c r="O318" i="51"/>
  <c r="W317" i="51"/>
  <c r="V317" i="51"/>
  <c r="T317" i="51"/>
  <c r="P317" i="51"/>
  <c r="O317" i="51"/>
  <c r="W316" i="51"/>
  <c r="V316" i="51"/>
  <c r="T316" i="51"/>
  <c r="P316" i="51"/>
  <c r="O316" i="51"/>
  <c r="W315" i="51"/>
  <c r="V315" i="51"/>
  <c r="T315" i="51"/>
  <c r="P315" i="51"/>
  <c r="W314" i="51"/>
  <c r="V314" i="51"/>
  <c r="T314" i="51"/>
  <c r="P314" i="51"/>
  <c r="O314" i="51"/>
  <c r="W313" i="51"/>
  <c r="V313" i="51"/>
  <c r="T313" i="51"/>
  <c r="P313" i="51"/>
  <c r="O313" i="51"/>
  <c r="W312" i="51"/>
  <c r="V312" i="51"/>
  <c r="O312" i="51"/>
  <c r="W311" i="51"/>
  <c r="V311" i="51"/>
  <c r="O311" i="51"/>
  <c r="W310" i="51"/>
  <c r="V310" i="51"/>
  <c r="O310" i="51"/>
  <c r="W309" i="51"/>
  <c r="V309" i="51"/>
  <c r="O309" i="51"/>
  <c r="W308" i="51"/>
  <c r="V308" i="51"/>
  <c r="O308" i="51"/>
  <c r="W307" i="51"/>
  <c r="V307" i="51"/>
  <c r="O307" i="51"/>
  <c r="W306" i="51"/>
  <c r="V306" i="51"/>
  <c r="O306" i="51"/>
  <c r="W305" i="51"/>
  <c r="V305" i="51"/>
  <c r="O305" i="51"/>
  <c r="W304" i="51"/>
  <c r="V304" i="51"/>
  <c r="O304" i="51"/>
  <c r="W303" i="51"/>
  <c r="V303" i="51"/>
  <c r="O303" i="51"/>
  <c r="W302" i="51"/>
  <c r="V302" i="51"/>
  <c r="O302" i="51"/>
  <c r="W301" i="51"/>
  <c r="V301" i="51"/>
  <c r="O301" i="51"/>
  <c r="W300" i="51"/>
  <c r="V300" i="51"/>
  <c r="O300" i="51"/>
  <c r="W299" i="51"/>
  <c r="V299" i="51"/>
  <c r="O299" i="51"/>
  <c r="W298" i="51"/>
  <c r="V298" i="51"/>
  <c r="O298" i="51"/>
  <c r="W297" i="51"/>
  <c r="V297" i="51"/>
  <c r="W296" i="51"/>
  <c r="V296" i="51"/>
  <c r="O296" i="51"/>
  <c r="W295" i="51"/>
  <c r="V295" i="51"/>
  <c r="W294" i="51"/>
  <c r="V294" i="51"/>
  <c r="W293" i="51"/>
  <c r="V293" i="51"/>
  <c r="W292" i="51"/>
  <c r="V292" i="51"/>
  <c r="O292" i="51"/>
  <c r="W291" i="51"/>
  <c r="V291" i="51"/>
  <c r="O291" i="51"/>
  <c r="W290" i="51"/>
  <c r="V290" i="51"/>
  <c r="W289" i="51"/>
  <c r="V289" i="51"/>
  <c r="T289" i="51"/>
  <c r="P289" i="51"/>
  <c r="O289" i="51"/>
  <c r="W288" i="51"/>
  <c r="V288" i="51"/>
  <c r="O288" i="51"/>
  <c r="W287" i="51"/>
  <c r="V287" i="51"/>
  <c r="O287" i="51"/>
  <c r="W286" i="51"/>
  <c r="V286" i="51"/>
  <c r="O286" i="51"/>
  <c r="W285" i="51"/>
  <c r="V285" i="51"/>
  <c r="W284" i="51"/>
  <c r="V284" i="51"/>
  <c r="W283" i="51"/>
  <c r="V283" i="51"/>
  <c r="O283" i="51"/>
  <c r="W282" i="51"/>
  <c r="V282" i="51"/>
  <c r="O282" i="51"/>
  <c r="W281" i="51"/>
  <c r="V281" i="51"/>
  <c r="O281" i="51"/>
  <c r="W280" i="51"/>
  <c r="V280" i="51"/>
  <c r="W279" i="51"/>
  <c r="V279" i="51"/>
  <c r="T279" i="51"/>
  <c r="P279" i="51"/>
  <c r="O279" i="51"/>
  <c r="W278" i="51"/>
  <c r="V278" i="51"/>
  <c r="O278" i="51"/>
  <c r="W277" i="51"/>
  <c r="V277" i="51"/>
  <c r="O277" i="51"/>
  <c r="W276" i="51"/>
  <c r="V276" i="51"/>
  <c r="O276" i="51"/>
  <c r="W275" i="51"/>
  <c r="V275" i="51"/>
  <c r="O275" i="51"/>
  <c r="W274" i="51"/>
  <c r="V274" i="51"/>
  <c r="W273" i="51"/>
  <c r="V273" i="51"/>
  <c r="T273" i="51"/>
  <c r="P273" i="51"/>
  <c r="O273" i="51"/>
  <c r="W272" i="51"/>
  <c r="V272" i="51"/>
  <c r="O272" i="51"/>
  <c r="W271" i="51"/>
  <c r="V271" i="51"/>
  <c r="O271" i="51"/>
  <c r="W270" i="51"/>
  <c r="V270" i="51"/>
  <c r="O270" i="51"/>
  <c r="W269" i="51"/>
  <c r="V269" i="51"/>
  <c r="O269" i="51"/>
  <c r="W268" i="51"/>
  <c r="V268" i="51"/>
  <c r="W267" i="51"/>
  <c r="V267" i="51"/>
  <c r="T267" i="51"/>
  <c r="P267" i="51"/>
  <c r="O267" i="51"/>
  <c r="W266" i="51"/>
  <c r="V266" i="51"/>
  <c r="O266" i="51"/>
  <c r="W265" i="51"/>
  <c r="V265" i="51"/>
  <c r="O265" i="51"/>
  <c r="W264" i="51"/>
  <c r="V264" i="51"/>
  <c r="O264" i="51"/>
  <c r="W263" i="51"/>
  <c r="V263" i="51"/>
  <c r="O263" i="51"/>
  <c r="W262" i="51"/>
  <c r="V262" i="51"/>
  <c r="W261" i="51"/>
  <c r="V261" i="51"/>
  <c r="T261" i="51"/>
  <c r="P261" i="51"/>
  <c r="O261" i="51"/>
  <c r="W260" i="51"/>
  <c r="V260" i="51"/>
  <c r="O260" i="51"/>
  <c r="W259" i="51"/>
  <c r="V259" i="51"/>
  <c r="O259" i="51"/>
  <c r="W258" i="51"/>
  <c r="V258" i="51"/>
  <c r="O258" i="51"/>
  <c r="W257" i="51"/>
  <c r="V257" i="51"/>
  <c r="O257" i="51"/>
  <c r="W256" i="51"/>
  <c r="V256" i="51"/>
  <c r="O256" i="51"/>
  <c r="W255" i="51"/>
  <c r="V255" i="51"/>
  <c r="O255" i="51"/>
  <c r="W254" i="51"/>
  <c r="V254" i="51"/>
  <c r="W253" i="51"/>
  <c r="V253" i="51"/>
  <c r="W252" i="51"/>
  <c r="V252" i="51"/>
  <c r="O252" i="51"/>
  <c r="W251" i="51"/>
  <c r="V251" i="51"/>
  <c r="O251" i="51"/>
  <c r="W250" i="51"/>
  <c r="V250" i="51"/>
  <c r="O250" i="51"/>
  <c r="W249" i="51"/>
  <c r="V249" i="51"/>
  <c r="W248" i="51"/>
  <c r="V248" i="51"/>
  <c r="T248" i="51"/>
  <c r="P248" i="51"/>
  <c r="O248" i="51"/>
  <c r="W247" i="51"/>
  <c r="V247" i="51"/>
  <c r="O247" i="51"/>
  <c r="W246" i="51"/>
  <c r="V246" i="51"/>
  <c r="W245" i="51"/>
  <c r="V245" i="51"/>
  <c r="T245" i="51"/>
  <c r="P245" i="51"/>
  <c r="O245" i="51"/>
  <c r="W244" i="51"/>
  <c r="V244" i="51"/>
  <c r="O244" i="51"/>
  <c r="W243" i="51"/>
  <c r="V243" i="51"/>
  <c r="O243" i="51"/>
  <c r="W242" i="51"/>
  <c r="V242" i="51"/>
  <c r="O242" i="51"/>
  <c r="W241" i="51"/>
  <c r="V241" i="51"/>
  <c r="O241" i="51"/>
  <c r="W240" i="51"/>
  <c r="V240" i="51"/>
  <c r="O240" i="51"/>
  <c r="W239" i="51"/>
  <c r="V239" i="51"/>
  <c r="W238" i="51"/>
  <c r="V238" i="51"/>
  <c r="T238" i="51"/>
  <c r="P238" i="51"/>
  <c r="O238" i="51"/>
  <c r="W237" i="51"/>
  <c r="V237" i="51"/>
  <c r="O237" i="51"/>
  <c r="W236" i="51"/>
  <c r="V236" i="51"/>
  <c r="O236" i="51"/>
  <c r="W235" i="51"/>
  <c r="V235" i="51"/>
  <c r="W234" i="51"/>
  <c r="V234" i="51"/>
  <c r="T234" i="51"/>
  <c r="P234" i="51"/>
  <c r="O234" i="51"/>
  <c r="W233" i="51"/>
  <c r="V233" i="51"/>
  <c r="T233" i="51"/>
  <c r="P233" i="51"/>
  <c r="O233" i="51"/>
  <c r="W232" i="51"/>
  <c r="V232" i="51"/>
  <c r="O232" i="51"/>
  <c r="W231" i="51"/>
  <c r="V231" i="51"/>
  <c r="W230" i="51"/>
  <c r="V230" i="51"/>
  <c r="O230" i="51"/>
  <c r="W229" i="51"/>
  <c r="V229" i="51"/>
  <c r="O229" i="51"/>
  <c r="W228" i="51"/>
  <c r="V228" i="51"/>
  <c r="W227" i="51"/>
  <c r="V227" i="51"/>
  <c r="T227" i="51"/>
  <c r="P227" i="51"/>
  <c r="O227" i="51"/>
  <c r="W226" i="51"/>
  <c r="V226" i="51"/>
  <c r="O226" i="51"/>
  <c r="W225" i="51"/>
  <c r="V225" i="51"/>
  <c r="W224" i="51"/>
  <c r="V224" i="51"/>
  <c r="O224" i="51"/>
  <c r="W223" i="51"/>
  <c r="V223" i="51"/>
  <c r="T223" i="51"/>
  <c r="P223" i="51"/>
  <c r="O223" i="51"/>
  <c r="W222" i="51"/>
  <c r="V222" i="51"/>
  <c r="T222" i="51"/>
  <c r="P222" i="51"/>
  <c r="O222" i="51"/>
  <c r="W221" i="51"/>
  <c r="V221" i="51"/>
  <c r="T221" i="51"/>
  <c r="P221" i="51"/>
  <c r="O221" i="51"/>
  <c r="W220" i="51"/>
  <c r="V220" i="51"/>
  <c r="T220" i="51"/>
  <c r="P220" i="51"/>
  <c r="O220" i="51"/>
  <c r="W219" i="51"/>
  <c r="V219" i="51"/>
  <c r="T219" i="51"/>
  <c r="P219" i="51"/>
  <c r="O219" i="51"/>
  <c r="W218" i="51"/>
  <c r="V218" i="51"/>
  <c r="T218" i="51"/>
  <c r="P218" i="51"/>
  <c r="O218" i="51"/>
  <c r="W217" i="51"/>
  <c r="V217" i="51"/>
  <c r="T217" i="51"/>
  <c r="P217" i="51"/>
  <c r="O217" i="51"/>
  <c r="W216" i="51"/>
  <c r="V216" i="51"/>
  <c r="T216" i="51"/>
  <c r="P216" i="51"/>
  <c r="O216" i="51"/>
  <c r="W215" i="51"/>
  <c r="V215" i="51"/>
  <c r="T215" i="51"/>
  <c r="P215" i="51"/>
  <c r="O215" i="51"/>
  <c r="W214" i="51"/>
  <c r="V214" i="51"/>
  <c r="T214" i="51"/>
  <c r="P214" i="51"/>
  <c r="O214" i="51"/>
  <c r="W213" i="51"/>
  <c r="V213" i="51"/>
  <c r="T213" i="51"/>
  <c r="P213" i="51"/>
  <c r="O213" i="51"/>
  <c r="W212" i="51"/>
  <c r="V212" i="51"/>
  <c r="T212" i="51"/>
  <c r="P212" i="51"/>
  <c r="O212" i="51"/>
  <c r="W211" i="51"/>
  <c r="V211" i="51"/>
  <c r="T211" i="51"/>
  <c r="P211" i="51"/>
  <c r="O211" i="51"/>
  <c r="W210" i="51"/>
  <c r="V210" i="51"/>
  <c r="T210" i="51"/>
  <c r="P210" i="51"/>
  <c r="O210" i="51"/>
  <c r="W209" i="51"/>
  <c r="V209" i="51"/>
  <c r="T209" i="51"/>
  <c r="P209" i="51"/>
  <c r="O209" i="51"/>
  <c r="W208" i="51"/>
  <c r="V208" i="51"/>
  <c r="T208" i="51"/>
  <c r="P208" i="51"/>
  <c r="O208" i="51"/>
  <c r="W207" i="51"/>
  <c r="V207" i="51"/>
  <c r="T207" i="51"/>
  <c r="P207" i="51"/>
  <c r="O207" i="51"/>
  <c r="W206" i="51"/>
  <c r="V206" i="51"/>
  <c r="T206" i="51"/>
  <c r="P206" i="51"/>
  <c r="O206" i="51"/>
  <c r="W205" i="51"/>
  <c r="V205" i="51"/>
  <c r="T205" i="51"/>
  <c r="P205" i="51"/>
  <c r="O205" i="51"/>
  <c r="W204" i="51"/>
  <c r="V204" i="51"/>
  <c r="T204" i="51"/>
  <c r="P204" i="51"/>
  <c r="O204" i="51"/>
  <c r="W203" i="51"/>
  <c r="V203" i="51"/>
  <c r="T203" i="51"/>
  <c r="P203" i="51"/>
  <c r="O203" i="51"/>
  <c r="W202" i="51"/>
  <c r="V202" i="51"/>
  <c r="T202" i="51"/>
  <c r="P202" i="51"/>
  <c r="O202" i="51"/>
  <c r="W201" i="51"/>
  <c r="V201" i="51"/>
  <c r="T201" i="51"/>
  <c r="P201" i="51"/>
  <c r="O201" i="51"/>
  <c r="W200" i="51"/>
  <c r="V200" i="51"/>
  <c r="T200" i="51"/>
  <c r="P200" i="51"/>
  <c r="O200" i="51"/>
  <c r="F200" i="51"/>
  <c r="W199" i="51"/>
  <c r="V199" i="51"/>
  <c r="T199" i="51"/>
  <c r="P199" i="51"/>
  <c r="O199" i="51"/>
  <c r="W198" i="51"/>
  <c r="V198" i="51"/>
  <c r="T198" i="51"/>
  <c r="P198" i="51"/>
  <c r="O198" i="51"/>
  <c r="W197" i="51"/>
  <c r="V197" i="51"/>
  <c r="T197" i="51"/>
  <c r="P197" i="51"/>
  <c r="O197" i="51"/>
  <c r="W196" i="51"/>
  <c r="V196" i="51"/>
  <c r="T196" i="51"/>
  <c r="P196" i="51"/>
  <c r="O196" i="51"/>
  <c r="W195" i="51"/>
  <c r="V195" i="51"/>
  <c r="T195" i="51"/>
  <c r="P195" i="51"/>
  <c r="O195" i="51"/>
  <c r="W194" i="51"/>
  <c r="V194" i="51"/>
  <c r="T194" i="51"/>
  <c r="P194" i="51"/>
  <c r="W193" i="51"/>
  <c r="V193" i="51"/>
  <c r="T193" i="51"/>
  <c r="P193" i="51"/>
  <c r="O193" i="51"/>
  <c r="W192" i="51"/>
  <c r="V192" i="51"/>
  <c r="T192" i="51"/>
  <c r="P192" i="51"/>
  <c r="O192" i="51"/>
  <c r="W191" i="51"/>
  <c r="V191" i="51"/>
  <c r="T191" i="51"/>
  <c r="P191" i="51"/>
  <c r="O191" i="51"/>
  <c r="W190" i="51"/>
  <c r="V190" i="51"/>
  <c r="T190" i="51"/>
  <c r="P190" i="51"/>
  <c r="O190" i="51"/>
  <c r="W189" i="51"/>
  <c r="V189" i="51"/>
  <c r="T189" i="51"/>
  <c r="P189" i="51"/>
  <c r="O189" i="51"/>
  <c r="W188" i="51"/>
  <c r="V188" i="51"/>
  <c r="T188" i="51"/>
  <c r="P188" i="51"/>
  <c r="O188" i="51"/>
  <c r="W187" i="51"/>
  <c r="V187" i="51"/>
  <c r="T187" i="51"/>
  <c r="P187" i="51"/>
  <c r="O187" i="51"/>
  <c r="W186" i="51"/>
  <c r="V186" i="51"/>
  <c r="T186" i="51"/>
  <c r="P186" i="51"/>
  <c r="O186" i="51"/>
  <c r="W185" i="51"/>
  <c r="V185" i="51"/>
  <c r="T185" i="51"/>
  <c r="P185" i="51"/>
  <c r="O185" i="51"/>
  <c r="W184" i="51"/>
  <c r="V184" i="51"/>
  <c r="T184" i="51"/>
  <c r="P184" i="51"/>
  <c r="O184" i="51"/>
  <c r="W183" i="51"/>
  <c r="V183" i="51"/>
  <c r="T183" i="51"/>
  <c r="P183" i="51"/>
  <c r="O183" i="51"/>
  <c r="W182" i="51"/>
  <c r="V182" i="51"/>
  <c r="T182" i="51"/>
  <c r="P182" i="51"/>
  <c r="O182" i="51"/>
  <c r="W181" i="51"/>
  <c r="V181" i="51"/>
  <c r="T181" i="51"/>
  <c r="P181" i="51"/>
  <c r="O181" i="51"/>
  <c r="W180" i="51"/>
  <c r="V180" i="51"/>
  <c r="T180" i="51"/>
  <c r="P180" i="51"/>
  <c r="O180" i="51"/>
  <c r="W179" i="51"/>
  <c r="V179" i="51"/>
  <c r="T179" i="51"/>
  <c r="P179" i="51"/>
  <c r="O179" i="51"/>
  <c r="W178" i="51"/>
  <c r="V178" i="51"/>
  <c r="T178" i="51"/>
  <c r="P178" i="51"/>
  <c r="O178" i="51"/>
  <c r="W177" i="51"/>
  <c r="V177" i="51"/>
  <c r="T177" i="51"/>
  <c r="P177" i="51"/>
  <c r="O177" i="51"/>
  <c r="W176" i="51"/>
  <c r="V176" i="51"/>
  <c r="T176" i="51"/>
  <c r="P176" i="51"/>
  <c r="O176" i="51"/>
  <c r="W175" i="51"/>
  <c r="V175" i="51"/>
  <c r="T175" i="51"/>
  <c r="P175" i="51"/>
  <c r="O175" i="51"/>
  <c r="W174" i="51"/>
  <c r="V174" i="51"/>
  <c r="T174" i="51"/>
  <c r="P174" i="51"/>
  <c r="O174" i="51"/>
  <c r="W173" i="51"/>
  <c r="V173" i="51"/>
  <c r="T173" i="51"/>
  <c r="P173" i="51"/>
  <c r="O173" i="51"/>
  <c r="W172" i="51"/>
  <c r="V172" i="51"/>
  <c r="T172" i="51"/>
  <c r="P172" i="51"/>
  <c r="O172" i="51"/>
  <c r="W171" i="51"/>
  <c r="V171" i="51"/>
  <c r="T171" i="51"/>
  <c r="P171" i="51"/>
  <c r="O171" i="51"/>
  <c r="W170" i="51"/>
  <c r="V170" i="51"/>
  <c r="T170" i="51"/>
  <c r="P170" i="51"/>
  <c r="O170" i="51"/>
  <c r="W169" i="51"/>
  <c r="V169" i="51"/>
  <c r="T169" i="51"/>
  <c r="P169" i="51"/>
  <c r="O169" i="51"/>
  <c r="W168" i="51"/>
  <c r="V168" i="51"/>
  <c r="T168" i="51"/>
  <c r="P168" i="51"/>
  <c r="O168" i="51"/>
  <c r="W167" i="51"/>
  <c r="V167" i="51"/>
  <c r="T167" i="51"/>
  <c r="P167" i="51"/>
  <c r="O167" i="51"/>
  <c r="W166" i="51"/>
  <c r="V166" i="51"/>
  <c r="T166" i="51"/>
  <c r="P166" i="51"/>
  <c r="O166" i="51"/>
  <c r="W165" i="51"/>
  <c r="V165" i="51"/>
  <c r="T165" i="51"/>
  <c r="P165" i="51"/>
  <c r="O165" i="51"/>
  <c r="W164" i="51"/>
  <c r="V164" i="51"/>
  <c r="T164" i="51"/>
  <c r="P164" i="51"/>
  <c r="O164" i="51"/>
  <c r="W163" i="51"/>
  <c r="V163" i="51"/>
  <c r="T163" i="51"/>
  <c r="P163" i="51"/>
  <c r="O163" i="51"/>
  <c r="W162" i="51"/>
  <c r="V162" i="51"/>
  <c r="T162" i="51"/>
  <c r="P162" i="51"/>
  <c r="O162" i="51"/>
  <c r="W161" i="51"/>
  <c r="V161" i="51"/>
  <c r="T161" i="51"/>
  <c r="P161" i="51"/>
  <c r="O161" i="51"/>
  <c r="W160" i="51"/>
  <c r="V160" i="51"/>
  <c r="T160" i="51"/>
  <c r="P160" i="51"/>
  <c r="O160" i="51"/>
  <c r="W159" i="51"/>
  <c r="V159" i="51"/>
  <c r="T159" i="51"/>
  <c r="P159" i="51"/>
  <c r="O159" i="51"/>
  <c r="W158" i="51"/>
  <c r="V158" i="51"/>
  <c r="T158" i="51"/>
  <c r="P158" i="51"/>
  <c r="O158" i="51"/>
  <c r="W157" i="51"/>
  <c r="V157" i="51"/>
  <c r="T157" i="51"/>
  <c r="P157" i="51"/>
  <c r="O157" i="51"/>
  <c r="W156" i="51"/>
  <c r="V156" i="51"/>
  <c r="T156" i="51"/>
  <c r="P156" i="51"/>
  <c r="O156" i="51"/>
  <c r="B156" i="51"/>
  <c r="B157" i="51" s="1"/>
  <c r="B158" i="51" s="1"/>
  <c r="B159" i="51" s="1"/>
  <c r="B160" i="51" s="1"/>
  <c r="B161" i="51" s="1"/>
  <c r="B162" i="51" s="1"/>
  <c r="B163" i="51" s="1"/>
  <c r="B164" i="51" s="1"/>
  <c r="B165" i="51" s="1"/>
  <c r="B166" i="51" s="1"/>
  <c r="B167" i="51" s="1"/>
  <c r="B168" i="51" s="1"/>
  <c r="B169" i="51" s="1"/>
  <c r="B170" i="51" s="1"/>
  <c r="B171" i="51" s="1"/>
  <c r="B172" i="51" s="1"/>
  <c r="B173" i="51" s="1"/>
  <c r="B174" i="51" s="1"/>
  <c r="B175" i="51" s="1"/>
  <c r="B176" i="51" s="1"/>
  <c r="B177" i="51" s="1"/>
  <c r="B178" i="51" s="1"/>
  <c r="B179" i="51" s="1"/>
  <c r="B180" i="51" s="1"/>
  <c r="B181" i="51" s="1"/>
  <c r="B182" i="51" s="1"/>
  <c r="B183" i="51" s="1"/>
  <c r="B184" i="51" s="1"/>
  <c r="B185" i="51" s="1"/>
  <c r="B186" i="51" s="1"/>
  <c r="B187" i="51" s="1"/>
  <c r="B188" i="51" s="1"/>
  <c r="B189" i="51" s="1"/>
  <c r="B190" i="51" s="1"/>
  <c r="B191" i="51" s="1"/>
  <c r="B192" i="51" s="1"/>
  <c r="B193" i="51" s="1"/>
  <c r="B194" i="51" s="1"/>
  <c r="B195" i="51" s="1"/>
  <c r="B196" i="51" s="1"/>
  <c r="B197" i="51" s="1"/>
  <c r="B198" i="51" s="1"/>
  <c r="B199" i="51" s="1"/>
  <c r="B200" i="51" s="1"/>
  <c r="B201" i="51" s="1"/>
  <c r="B202" i="51" s="1"/>
  <c r="B203" i="51" s="1"/>
  <c r="B204" i="51" s="1"/>
  <c r="B205" i="51" s="1"/>
  <c r="B206" i="51" s="1"/>
  <c r="B207" i="51" s="1"/>
  <c r="B208" i="51" s="1"/>
  <c r="B209" i="51" s="1"/>
  <c r="B210" i="51" s="1"/>
  <c r="B211" i="51" s="1"/>
  <c r="B212" i="51" s="1"/>
  <c r="B213" i="51" s="1"/>
  <c r="B214" i="51" s="1"/>
  <c r="B215" i="51" s="1"/>
  <c r="B216" i="51" s="1"/>
  <c r="B217" i="51" s="1"/>
  <c r="B218" i="51" s="1"/>
  <c r="B219" i="51" s="1"/>
  <c r="B220" i="51" s="1"/>
  <c r="B221" i="51" s="1"/>
  <c r="B222" i="51" s="1"/>
  <c r="W155" i="51"/>
  <c r="V155" i="51"/>
  <c r="T155" i="51"/>
  <c r="P155" i="51"/>
  <c r="O155" i="51"/>
  <c r="W154" i="51"/>
  <c r="V154" i="51"/>
  <c r="T154" i="51"/>
  <c r="P154" i="51"/>
  <c r="O154" i="51"/>
  <c r="W153" i="51"/>
  <c r="V153" i="51"/>
  <c r="T153" i="51"/>
  <c r="P153" i="51"/>
  <c r="O153" i="51"/>
  <c r="W151" i="51"/>
  <c r="V151" i="51"/>
  <c r="T151" i="51"/>
  <c r="P151" i="51"/>
  <c r="O151" i="51"/>
  <c r="F151" i="51"/>
  <c r="W150" i="51"/>
  <c r="V150" i="51"/>
  <c r="T150" i="51"/>
  <c r="P150" i="51"/>
  <c r="O150" i="51"/>
  <c r="W149" i="51"/>
  <c r="V149" i="51"/>
  <c r="T149" i="51"/>
  <c r="P149" i="51"/>
  <c r="O149" i="51"/>
  <c r="W148" i="51"/>
  <c r="V148" i="51"/>
  <c r="T148" i="51"/>
  <c r="P148" i="51"/>
  <c r="O148" i="51"/>
  <c r="W147" i="51"/>
  <c r="V147" i="51"/>
  <c r="T147" i="51"/>
  <c r="P147" i="51"/>
  <c r="O147" i="51"/>
  <c r="W146" i="51"/>
  <c r="V146" i="51"/>
  <c r="T146" i="51"/>
  <c r="P146" i="51"/>
  <c r="O146" i="51"/>
  <c r="W145" i="51"/>
  <c r="V145" i="51"/>
  <c r="T145" i="51"/>
  <c r="P145" i="51"/>
  <c r="O145" i="51"/>
  <c r="F145" i="51"/>
  <c r="W144" i="51"/>
  <c r="V144" i="51"/>
  <c r="T144" i="51"/>
  <c r="P144" i="51"/>
  <c r="O144" i="51"/>
  <c r="W143" i="51"/>
  <c r="V143" i="51"/>
  <c r="T143" i="51"/>
  <c r="P143" i="51"/>
  <c r="O143" i="51"/>
  <c r="W142" i="51"/>
  <c r="V142" i="51"/>
  <c r="T142" i="51"/>
  <c r="P142" i="51"/>
  <c r="O142" i="51"/>
  <c r="W141" i="51"/>
  <c r="V141" i="51"/>
  <c r="T141" i="51"/>
  <c r="P141" i="51"/>
  <c r="O141" i="51"/>
  <c r="W140" i="51"/>
  <c r="V140" i="51"/>
  <c r="T140" i="51"/>
  <c r="P140" i="51"/>
  <c r="O140" i="51"/>
  <c r="F140" i="51"/>
  <c r="W139" i="51"/>
  <c r="V139" i="51"/>
  <c r="T139" i="51"/>
  <c r="P139" i="51"/>
  <c r="O139" i="51"/>
  <c r="W138" i="51"/>
  <c r="V138" i="51"/>
  <c r="T138" i="51"/>
  <c r="P138" i="51"/>
  <c r="O138" i="51"/>
  <c r="F138" i="51"/>
  <c r="W137" i="51"/>
  <c r="V137" i="51"/>
  <c r="T137" i="51"/>
  <c r="P137" i="51"/>
  <c r="O137" i="51"/>
  <c r="W136" i="51"/>
  <c r="V136" i="51"/>
  <c r="T136" i="51"/>
  <c r="P136" i="51"/>
  <c r="W135" i="51"/>
  <c r="V135" i="51"/>
  <c r="T135" i="51"/>
  <c r="P135" i="51"/>
  <c r="O135" i="51"/>
  <c r="W134" i="51"/>
  <c r="V134" i="51"/>
  <c r="T134" i="51"/>
  <c r="P134" i="51"/>
  <c r="O134" i="51"/>
  <c r="W133" i="51"/>
  <c r="V133" i="51"/>
  <c r="T133" i="51"/>
  <c r="P133" i="51"/>
  <c r="O133" i="51"/>
  <c r="W132" i="51"/>
  <c r="V132" i="51"/>
  <c r="T132" i="51"/>
  <c r="P132" i="51"/>
  <c r="O132" i="51"/>
  <c r="W131" i="51"/>
  <c r="V131" i="51"/>
  <c r="T131" i="51"/>
  <c r="P131" i="51"/>
  <c r="O131" i="51"/>
  <c r="W130" i="51"/>
  <c r="V130" i="51"/>
  <c r="T130" i="51"/>
  <c r="P130" i="51"/>
  <c r="O130" i="51"/>
  <c r="W129" i="51"/>
  <c r="V129" i="51"/>
  <c r="T129" i="51"/>
  <c r="P129" i="51"/>
  <c r="O129" i="51"/>
  <c r="W128" i="51"/>
  <c r="V128" i="51"/>
  <c r="T128" i="51"/>
  <c r="P128" i="51"/>
  <c r="O128" i="51"/>
  <c r="W127" i="51"/>
  <c r="V127" i="51"/>
  <c r="T127" i="51"/>
  <c r="P127" i="51"/>
  <c r="O127" i="51"/>
  <c r="W126" i="51"/>
  <c r="V126" i="51"/>
  <c r="T126" i="51"/>
  <c r="P126" i="51"/>
  <c r="O126" i="51"/>
  <c r="W125" i="51"/>
  <c r="V125" i="51"/>
  <c r="T125" i="51"/>
  <c r="P125" i="51"/>
  <c r="O125" i="51"/>
  <c r="W124" i="51"/>
  <c r="V124" i="51"/>
  <c r="T124" i="51"/>
  <c r="P124" i="51"/>
  <c r="O124" i="51"/>
  <c r="W123" i="51"/>
  <c r="V123" i="51"/>
  <c r="T123" i="51"/>
  <c r="P123" i="51"/>
  <c r="O123" i="51"/>
  <c r="W122" i="51"/>
  <c r="V122" i="51"/>
  <c r="T122" i="51"/>
  <c r="P122" i="51"/>
  <c r="O122" i="51"/>
  <c r="W121" i="51"/>
  <c r="V121" i="51"/>
  <c r="T121" i="51"/>
  <c r="P121" i="51"/>
  <c r="O121" i="51"/>
  <c r="F121" i="51"/>
  <c r="W120" i="51"/>
  <c r="V120" i="51"/>
  <c r="T120" i="51"/>
  <c r="P120" i="51"/>
  <c r="O120" i="51"/>
  <c r="W119" i="51"/>
  <c r="V119" i="51"/>
  <c r="T119" i="51"/>
  <c r="P119" i="51"/>
  <c r="O119" i="51"/>
  <c r="W118" i="51"/>
  <c r="V118" i="51"/>
  <c r="T118" i="51"/>
  <c r="P118" i="51"/>
  <c r="O118" i="51"/>
  <c r="W117" i="51"/>
  <c r="V117" i="51"/>
  <c r="T117" i="51"/>
  <c r="P117" i="51"/>
  <c r="O117" i="51"/>
  <c r="W116" i="51"/>
  <c r="V116" i="51"/>
  <c r="T116" i="51"/>
  <c r="P116" i="51"/>
  <c r="W115" i="51"/>
  <c r="V115" i="51"/>
  <c r="T115" i="51"/>
  <c r="P115" i="51"/>
  <c r="O115" i="51"/>
  <c r="W114" i="51"/>
  <c r="V114" i="51"/>
  <c r="T114" i="51"/>
  <c r="P114" i="51"/>
  <c r="O114" i="51"/>
  <c r="W113" i="51"/>
  <c r="V113" i="51"/>
  <c r="T113" i="51"/>
  <c r="P113" i="51"/>
  <c r="O113" i="51"/>
  <c r="W112" i="51"/>
  <c r="V112" i="51"/>
  <c r="T112" i="51"/>
  <c r="P112" i="51"/>
  <c r="O112" i="51"/>
  <c r="W111" i="51"/>
  <c r="V111" i="51"/>
  <c r="T111" i="51"/>
  <c r="P111" i="51"/>
  <c r="O111" i="51"/>
  <c r="W110" i="51"/>
  <c r="V110" i="51"/>
  <c r="T110" i="51"/>
  <c r="P110" i="51"/>
  <c r="O110" i="51"/>
  <c r="W109" i="51"/>
  <c r="V109" i="51"/>
  <c r="T109" i="51"/>
  <c r="P109" i="51"/>
  <c r="O109" i="51"/>
  <c r="W108" i="51"/>
  <c r="V108" i="51"/>
  <c r="T108" i="51"/>
  <c r="P108" i="51"/>
  <c r="O108" i="51"/>
  <c r="W107" i="51"/>
  <c r="V107" i="51"/>
  <c r="T107" i="51"/>
  <c r="P107" i="51"/>
  <c r="O107" i="51"/>
  <c r="W106" i="51"/>
  <c r="V106" i="51"/>
  <c r="T106" i="51"/>
  <c r="P106" i="51"/>
  <c r="O106" i="51"/>
  <c r="W105" i="51"/>
  <c r="V105" i="51"/>
  <c r="T105" i="51"/>
  <c r="P105" i="51"/>
  <c r="O105" i="51"/>
  <c r="W104" i="51"/>
  <c r="V104" i="51"/>
  <c r="T104" i="51"/>
  <c r="P104" i="51"/>
  <c r="W103" i="51"/>
  <c r="V103" i="51"/>
  <c r="T103" i="51"/>
  <c r="P103" i="51"/>
  <c r="O103" i="51"/>
  <c r="W102" i="51"/>
  <c r="V102" i="51"/>
  <c r="T102" i="51"/>
  <c r="P102" i="51"/>
  <c r="O102" i="51"/>
  <c r="W101" i="51"/>
  <c r="V101" i="51"/>
  <c r="T101" i="51"/>
  <c r="P101" i="51"/>
  <c r="O101" i="51"/>
  <c r="W100" i="51"/>
  <c r="V100" i="51"/>
  <c r="T100" i="51"/>
  <c r="P100" i="51"/>
  <c r="O100" i="51"/>
  <c r="W99" i="51"/>
  <c r="V99" i="51"/>
  <c r="T99" i="51"/>
  <c r="P99" i="51"/>
  <c r="O99" i="51"/>
  <c r="W98" i="51"/>
  <c r="V98" i="51"/>
  <c r="T98" i="51"/>
  <c r="P98" i="51"/>
  <c r="O98" i="51"/>
  <c r="W97" i="51"/>
  <c r="V97" i="51"/>
  <c r="T97" i="51"/>
  <c r="P97" i="51"/>
  <c r="O97" i="51"/>
  <c r="W96" i="51"/>
  <c r="V96" i="51"/>
  <c r="T96" i="51"/>
  <c r="P96" i="51"/>
  <c r="O96" i="51"/>
  <c r="Q429" i="51" l="1"/>
  <c r="R429" i="51"/>
  <c r="R121" i="51"/>
  <c r="Q121" i="51"/>
  <c r="R145" i="51"/>
  <c r="Q145" i="51"/>
  <c r="R409" i="51"/>
  <c r="Q409" i="51"/>
  <c r="R425" i="51"/>
  <c r="Q425" i="51"/>
  <c r="R443" i="51"/>
  <c r="Q443" i="51"/>
  <c r="Q363" i="51"/>
  <c r="R363" i="51"/>
  <c r="Q151" i="51"/>
  <c r="R151" i="51"/>
  <c r="R323" i="51"/>
  <c r="Q323" i="51"/>
  <c r="Q138" i="51"/>
  <c r="R138" i="51"/>
  <c r="Q148" i="51"/>
  <c r="R148" i="51"/>
  <c r="R424" i="51"/>
  <c r="Q424" i="51"/>
  <c r="R444" i="51"/>
  <c r="Q444" i="51"/>
  <c r="R200" i="51"/>
  <c r="Q200" i="51"/>
  <c r="R140" i="51"/>
  <c r="Q140" i="51"/>
  <c r="O95" i="51"/>
  <c r="W94" i="51"/>
  <c r="V94" i="51"/>
  <c r="T94" i="51"/>
  <c r="P94" i="51"/>
  <c r="O94" i="51"/>
  <c r="W93" i="51"/>
  <c r="V93" i="51"/>
  <c r="T93" i="51"/>
  <c r="P93" i="51"/>
  <c r="O93" i="51"/>
  <c r="W92" i="51"/>
  <c r="V92" i="51"/>
  <c r="T92" i="51"/>
  <c r="P92" i="51"/>
  <c r="O92" i="51"/>
  <c r="W91" i="51"/>
  <c r="V91" i="51"/>
  <c r="T91" i="51"/>
  <c r="P91" i="51"/>
  <c r="O91" i="51"/>
  <c r="W90" i="51"/>
  <c r="V90" i="51"/>
  <c r="T90" i="51"/>
  <c r="P90" i="51"/>
  <c r="O90" i="51"/>
  <c r="W89" i="51"/>
  <c r="V89" i="51"/>
  <c r="T89" i="51"/>
  <c r="P89" i="51"/>
  <c r="O89" i="51"/>
  <c r="W88" i="51"/>
  <c r="V88" i="51"/>
  <c r="T88" i="51"/>
  <c r="P88" i="51"/>
  <c r="O88" i="51"/>
  <c r="W87" i="51"/>
  <c r="V87" i="51"/>
  <c r="T87" i="51"/>
  <c r="P87" i="51"/>
  <c r="W86" i="51"/>
  <c r="V86" i="51"/>
  <c r="T86" i="51"/>
  <c r="P86" i="51"/>
  <c r="O86" i="51"/>
  <c r="F86" i="51"/>
  <c r="W85" i="51"/>
  <c r="V85" i="51"/>
  <c r="T85" i="51"/>
  <c r="P85" i="51"/>
  <c r="O85" i="51"/>
  <c r="W84" i="51"/>
  <c r="V84" i="51"/>
  <c r="T84" i="51"/>
  <c r="P84" i="51"/>
  <c r="O84" i="51"/>
  <c r="W83" i="51"/>
  <c r="V83" i="51"/>
  <c r="T83" i="51"/>
  <c r="P83" i="51"/>
  <c r="O83" i="51"/>
  <c r="W82" i="51"/>
  <c r="V82" i="51"/>
  <c r="T82" i="51"/>
  <c r="P82" i="51"/>
  <c r="O82" i="51"/>
  <c r="W81" i="51"/>
  <c r="V81" i="51"/>
  <c r="T81" i="51"/>
  <c r="P81" i="51"/>
  <c r="O81" i="51"/>
  <c r="W80" i="51"/>
  <c r="V80" i="51"/>
  <c r="T80" i="51"/>
  <c r="P80" i="51"/>
  <c r="O80" i="51"/>
  <c r="W79" i="51"/>
  <c r="V79" i="51"/>
  <c r="T79" i="51"/>
  <c r="P79" i="51"/>
  <c r="O79" i="51"/>
  <c r="W78" i="51"/>
  <c r="V78" i="51"/>
  <c r="T78" i="51"/>
  <c r="P78" i="51"/>
  <c r="O78" i="51"/>
  <c r="W77" i="51"/>
  <c r="V77" i="51"/>
  <c r="T77" i="51"/>
  <c r="P77" i="51"/>
  <c r="O77" i="51"/>
  <c r="W76" i="51"/>
  <c r="V76" i="51"/>
  <c r="T76" i="51"/>
  <c r="P76" i="51"/>
  <c r="O76" i="51"/>
  <c r="W75" i="51"/>
  <c r="V75" i="51"/>
  <c r="T75" i="51"/>
  <c r="P75" i="51"/>
  <c r="O75" i="51"/>
  <c r="W74" i="51"/>
  <c r="V74" i="51"/>
  <c r="T74" i="51"/>
  <c r="P74" i="51"/>
  <c r="O74" i="51"/>
  <c r="W73" i="51"/>
  <c r="V73" i="51"/>
  <c r="T73" i="51"/>
  <c r="P73" i="51"/>
  <c r="O73" i="51"/>
  <c r="W72" i="51"/>
  <c r="V72" i="51"/>
  <c r="T72" i="51"/>
  <c r="P72" i="51"/>
  <c r="O72" i="51"/>
  <c r="W71" i="51"/>
  <c r="V71" i="51"/>
  <c r="T71" i="51"/>
  <c r="P71" i="51"/>
  <c r="O71" i="51"/>
  <c r="W70" i="51"/>
  <c r="V70" i="51"/>
  <c r="T70" i="51"/>
  <c r="P70" i="51"/>
  <c r="O70" i="51"/>
  <c r="W69" i="51"/>
  <c r="V69" i="51"/>
  <c r="T69" i="51"/>
  <c r="P69" i="51"/>
  <c r="O69" i="51"/>
  <c r="W68" i="51"/>
  <c r="V68" i="51"/>
  <c r="T68" i="51"/>
  <c r="P68" i="51"/>
  <c r="O68" i="51"/>
  <c r="W67" i="51"/>
  <c r="V67" i="51"/>
  <c r="T67" i="51"/>
  <c r="P67" i="51"/>
  <c r="O67" i="51"/>
  <c r="W66" i="51"/>
  <c r="V66" i="51"/>
  <c r="T66" i="51"/>
  <c r="P66" i="51"/>
  <c r="O66" i="51"/>
  <c r="W65" i="51"/>
  <c r="V65" i="51"/>
  <c r="T65" i="51"/>
  <c r="P65" i="51"/>
  <c r="O65" i="51"/>
  <c r="W64" i="51"/>
  <c r="V64" i="51"/>
  <c r="T64" i="51"/>
  <c r="P64" i="51"/>
  <c r="O64" i="51"/>
  <c r="W63" i="51"/>
  <c r="V63" i="51"/>
  <c r="T63" i="51"/>
  <c r="P63" i="51"/>
  <c r="O63" i="51"/>
  <c r="W62" i="51"/>
  <c r="V62" i="51"/>
  <c r="T62" i="51"/>
  <c r="P62" i="51"/>
  <c r="O62" i="51"/>
  <c r="W61" i="51"/>
  <c r="V61" i="51"/>
  <c r="T61" i="51"/>
  <c r="P61" i="51"/>
  <c r="O61" i="51"/>
  <c r="F61" i="51"/>
  <c r="W60" i="51"/>
  <c r="V60" i="51"/>
  <c r="T60" i="51"/>
  <c r="P60" i="51"/>
  <c r="O60" i="51"/>
  <c r="W59" i="51"/>
  <c r="V59" i="51"/>
  <c r="T59" i="51"/>
  <c r="P59" i="51"/>
  <c r="O59" i="51"/>
  <c r="W58" i="51"/>
  <c r="V58" i="51"/>
  <c r="T58" i="51"/>
  <c r="P58" i="51"/>
  <c r="O58" i="51"/>
  <c r="W57" i="51"/>
  <c r="V57" i="51"/>
  <c r="T57" i="51"/>
  <c r="P57" i="51"/>
  <c r="O57" i="51"/>
  <c r="W56" i="51"/>
  <c r="V56" i="51"/>
  <c r="T56" i="51"/>
  <c r="P56" i="51"/>
  <c r="O56" i="51"/>
  <c r="W55" i="51"/>
  <c r="V55" i="51"/>
  <c r="T55" i="51"/>
  <c r="P55" i="51"/>
  <c r="O55" i="51"/>
  <c r="W54" i="51"/>
  <c r="V54" i="51"/>
  <c r="T54" i="51"/>
  <c r="P54" i="51"/>
  <c r="W53" i="51"/>
  <c r="V53" i="51"/>
  <c r="T53" i="51"/>
  <c r="P53" i="51"/>
  <c r="O53" i="51"/>
  <c r="W52" i="51"/>
  <c r="V52" i="51"/>
  <c r="T52" i="51"/>
  <c r="P52" i="51"/>
  <c r="O52" i="51"/>
  <c r="W51" i="51"/>
  <c r="V51" i="51"/>
  <c r="T51" i="51"/>
  <c r="P51" i="51"/>
  <c r="O51" i="51"/>
  <c r="W45" i="51"/>
  <c r="V45" i="51"/>
  <c r="T45" i="51"/>
  <c r="P45" i="51"/>
  <c r="O45" i="51"/>
  <c r="W44" i="51"/>
  <c r="V44" i="51"/>
  <c r="U44" i="51"/>
  <c r="T44" i="51"/>
  <c r="P44" i="51"/>
  <c r="O44" i="51"/>
  <c r="W43" i="51"/>
  <c r="V43" i="51"/>
  <c r="T43" i="51"/>
  <c r="P43" i="51"/>
  <c r="O43" i="51"/>
  <c r="W42" i="51"/>
  <c r="V42" i="51"/>
  <c r="T42" i="51"/>
  <c r="P42" i="51"/>
  <c r="O42" i="51"/>
  <c r="W41" i="51"/>
  <c r="V41" i="51"/>
  <c r="T41" i="51"/>
  <c r="P41" i="51"/>
  <c r="W40" i="51"/>
  <c r="V40" i="51"/>
  <c r="T40" i="51"/>
  <c r="P40" i="51"/>
  <c r="O40" i="51"/>
  <c r="W39" i="51"/>
  <c r="V39" i="51"/>
  <c r="T39" i="51"/>
  <c r="P39" i="51"/>
  <c r="O39" i="51"/>
  <c r="W38" i="51"/>
  <c r="V38" i="51"/>
  <c r="T38" i="51"/>
  <c r="P38" i="51"/>
  <c r="O38" i="51"/>
  <c r="E38" i="51"/>
  <c r="Q38" i="51" s="1"/>
  <c r="W37" i="51"/>
  <c r="V37" i="51"/>
  <c r="T37" i="51"/>
  <c r="P37" i="51"/>
  <c r="W36" i="51"/>
  <c r="V36" i="51"/>
  <c r="T36" i="51"/>
  <c r="P36" i="51"/>
  <c r="O36" i="51"/>
  <c r="W35" i="51"/>
  <c r="V35" i="51"/>
  <c r="T35" i="51"/>
  <c r="P35" i="51"/>
  <c r="O35" i="51"/>
  <c r="W34" i="51"/>
  <c r="V34" i="51"/>
  <c r="T34" i="51"/>
  <c r="P34" i="51"/>
  <c r="O34" i="51"/>
  <c r="W33" i="51"/>
  <c r="V33" i="51"/>
  <c r="T33" i="51"/>
  <c r="P33" i="51"/>
  <c r="O33" i="51"/>
  <c r="W32" i="51"/>
  <c r="V32" i="51"/>
  <c r="T32" i="51"/>
  <c r="P32" i="51"/>
  <c r="O32" i="51"/>
  <c r="W31" i="51"/>
  <c r="V31" i="51"/>
  <c r="T31" i="51"/>
  <c r="P31" i="51"/>
  <c r="O31" i="51"/>
  <c r="W30" i="51"/>
  <c r="V30" i="51"/>
  <c r="T30" i="51"/>
  <c r="P30" i="51"/>
  <c r="O30" i="51"/>
  <c r="W29" i="51"/>
  <c r="V29" i="51"/>
  <c r="T29" i="51"/>
  <c r="P29" i="51"/>
  <c r="O29" i="51"/>
  <c r="W28" i="51"/>
  <c r="V28" i="51"/>
  <c r="T28" i="51"/>
  <c r="P28" i="51"/>
  <c r="O28" i="51"/>
  <c r="W27" i="51"/>
  <c r="V27" i="51"/>
  <c r="T27" i="51"/>
  <c r="P27" i="51"/>
  <c r="O27" i="51"/>
  <c r="W26" i="51"/>
  <c r="V26" i="51"/>
  <c r="T26" i="51"/>
  <c r="P26" i="51"/>
  <c r="O26" i="51"/>
  <c r="W25" i="51"/>
  <c r="V25" i="51"/>
  <c r="T25" i="51"/>
  <c r="P25" i="51"/>
  <c r="O25" i="51"/>
  <c r="W24" i="51"/>
  <c r="V24" i="51"/>
  <c r="T24" i="51"/>
  <c r="P24" i="51"/>
  <c r="O24" i="51"/>
  <c r="W22" i="51"/>
  <c r="V22" i="51"/>
  <c r="T22" i="51"/>
  <c r="P22" i="51"/>
  <c r="O22" i="51"/>
  <c r="W21" i="51"/>
  <c r="V21" i="51"/>
  <c r="T21" i="51"/>
  <c r="P21" i="51"/>
  <c r="O21" i="51"/>
  <c r="W20" i="51"/>
  <c r="V20" i="51"/>
  <c r="T20" i="51"/>
  <c r="P20" i="51"/>
  <c r="O20" i="51"/>
  <c r="W19" i="51"/>
  <c r="V19" i="51"/>
  <c r="T19" i="51"/>
  <c r="P19" i="51"/>
  <c r="O19" i="51"/>
  <c r="W18" i="51"/>
  <c r="V18" i="51"/>
  <c r="T18" i="51"/>
  <c r="P18" i="51"/>
  <c r="O18" i="51"/>
  <c r="W17" i="51"/>
  <c r="V17" i="51"/>
  <c r="T17" i="51"/>
  <c r="P17" i="51"/>
  <c r="O17" i="51"/>
  <c r="W15" i="51"/>
  <c r="V15" i="51"/>
  <c r="T15" i="51"/>
  <c r="P15" i="51"/>
  <c r="O15" i="51"/>
  <c r="W14" i="51"/>
  <c r="V14" i="51"/>
  <c r="T14" i="51"/>
  <c r="P14" i="51"/>
  <c r="O14" i="51"/>
  <c r="W13" i="51"/>
  <c r="V13" i="51"/>
  <c r="T13" i="51"/>
  <c r="P13" i="51"/>
  <c r="O13" i="51"/>
  <c r="W12" i="51"/>
  <c r="V12" i="51"/>
  <c r="T12" i="51"/>
  <c r="P12" i="51"/>
  <c r="O12" i="51"/>
  <c r="W11" i="51"/>
  <c r="V11" i="51"/>
  <c r="T11" i="51"/>
  <c r="P11" i="51"/>
  <c r="O11" i="51"/>
  <c r="W10" i="51"/>
  <c r="V10" i="51"/>
  <c r="T10" i="51"/>
  <c r="P10" i="51"/>
  <c r="O10" i="51"/>
  <c r="W9" i="51"/>
  <c r="V9" i="51"/>
  <c r="T9" i="51"/>
  <c r="P9" i="51"/>
  <c r="O9" i="51"/>
  <c r="W8" i="51"/>
  <c r="V8" i="51"/>
  <c r="T8" i="51"/>
  <c r="P8" i="51"/>
  <c r="O8" i="51"/>
  <c r="W7" i="51"/>
  <c r="V7" i="51"/>
  <c r="T7" i="51"/>
  <c r="P7" i="51"/>
  <c r="O7" i="51"/>
  <c r="M7" i="51"/>
  <c r="R86" i="51" l="1"/>
  <c r="Q86" i="51"/>
  <c r="R61" i="51"/>
  <c r="Q61" i="51"/>
  <c r="V8" i="50"/>
  <c r="Q8" i="50"/>
  <c r="P8" i="50"/>
  <c r="N8" i="50"/>
  <c r="F9" i="50"/>
  <c r="D9" i="50"/>
  <c r="E9" i="50"/>
</calcChain>
</file>

<file path=xl/sharedStrings.xml><?xml version="1.0" encoding="utf-8"?>
<sst xmlns="http://schemas.openxmlformats.org/spreadsheetml/2006/main" count="6196" uniqueCount="871">
  <si>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</si>
  <si>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</si>
  <si>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</si>
  <si>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</si>
  <si>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</si>
  <si>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</si>
  <si>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</si>
  <si>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</si>
  <si>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</si>
  <si>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</si>
  <si>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</si>
  <si>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</si>
  <si>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</si>
  <si>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</si>
  <si>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</si>
  <si>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</si>
  <si>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</si>
  <si>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Límite de contratación menor cuantía</t>
  </si>
  <si>
    <t>Fecha de última actualización del PAA</t>
  </si>
  <si>
    <t>AREA</t>
  </si>
  <si>
    <t>No.</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</si>
  <si>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</si>
  <si>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</si>
  <si>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</si>
  <si>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</si>
  <si>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</si>
  <si>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</si>
  <si>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¿Se requieren vigencias futuras?</t>
  </si>
  <si>
    <t>Estado de solicitud de vigencias futuras</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</si>
  <si>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</si>
  <si>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</si>
  <si>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</si>
  <si>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</si>
  <si>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</si>
  <si>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</si>
  <si>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Contratación de Servicios Profesionales, Asistenciales y Técnicos como apoyo a la gestión del Ministerio del Interior.</t>
  </si>
  <si>
    <t>CCE-05</t>
  </si>
  <si>
    <t>SUBDIRECCION DE GESTION CONTRACTUAL</t>
  </si>
  <si>
    <t>Distrito Capital de Bogotá</t>
  </si>
  <si>
    <t>CO-DC</t>
  </si>
  <si>
    <t xml:space="preserve">Álvaro Echeverry </t>
  </si>
  <si>
    <t>alvaro.echeverry@mininterior.gov.co</t>
  </si>
  <si>
    <t>78111502;90121502</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</si>
  <si>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</si>
  <si>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</si>
  <si>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</si>
  <si>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NO APLICA</t>
  </si>
  <si>
    <t>A-02-01-01-004-005</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</si>
  <si>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</si>
  <si>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</si>
  <si>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</si>
  <si>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</si>
  <si>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A-02-02-01-003-003</t>
  </si>
  <si>
    <t>CCE-99</t>
  </si>
  <si>
    <t>Seléccion abreviada - acuerdo marco</t>
  </si>
  <si>
    <t>A-02-02-02-006-003</t>
  </si>
  <si>
    <t>A-02-02-02-007-001</t>
  </si>
  <si>
    <t>A-02-02-02-007-002</t>
  </si>
  <si>
    <t>A-02-02-02-008-003</t>
  </si>
  <si>
    <t>A-02-02-02-008-004</t>
  </si>
  <si>
    <t>A-02-02-02-008-005</t>
  </si>
  <si>
    <t>CCE-11||01</t>
  </si>
  <si>
    <t>81112200;81111508;81112210;43231505</t>
  </si>
  <si>
    <t>A-02-02-02-008-007</t>
  </si>
  <si>
    <t>A-02-02-02-009-003</t>
  </si>
  <si>
    <t>A-02-02-02-006-004</t>
  </si>
  <si>
    <t>93141706;93141700;93141702</t>
  </si>
  <si>
    <t>DAIRM</t>
  </si>
  <si>
    <t>94131805;93141706</t>
  </si>
  <si>
    <t>German Bernardo Carlosama Lopez</t>
  </si>
  <si>
    <t>german.carlosama@mininterior.gov.co</t>
  </si>
  <si>
    <t xml:space="preserve">A-03-06-01-013 </t>
  </si>
  <si>
    <t>94131805;93141706;80101600</t>
  </si>
  <si>
    <t>Esperanza Moreno Arevalo</t>
  </si>
  <si>
    <t>esperanza.moreno@mininterior.gov.co</t>
  </si>
  <si>
    <t>diana.vivas@mininterior.gov.co</t>
  </si>
  <si>
    <t>Generar espacios de diálogo y concertación de acuerdo a usos y costumbres de los Pueblos indígenas , previa solicitud de intervención.</t>
  </si>
  <si>
    <t>Jorge Armando Serrano</t>
  </si>
  <si>
    <t>jarmando.serrano@mininterior.gov.co</t>
  </si>
  <si>
    <t>C-3701-1000-32</t>
  </si>
  <si>
    <t>81112006;
43211501;
43201835;
43201803</t>
  </si>
  <si>
    <t>A-02-02-02-008-003-01-9</t>
  </si>
  <si>
    <t xml:space="preserve">Kevin Fernando Henao </t>
  </si>
  <si>
    <t>kevin.henao@mininterior.gov.co</t>
  </si>
  <si>
    <t>DDH</t>
  </si>
  <si>
    <t xml:space="preserve">Fortalecer el  Programa de protección a personas que se encuentran en situación de riesgo contra su vida, integridad, seguridad o libertad, por causas relacionadas con la violencia en Colombia </t>
  </si>
  <si>
    <t>A-03-03-01-009</t>
  </si>
  <si>
    <t>franklin.castaneda@mininterior.gov.co</t>
  </si>
  <si>
    <t>A-03-04-01-012</t>
  </si>
  <si>
    <t>C-3701-1000-30</t>
  </si>
  <si>
    <t xml:space="preserve">Apoyar al avance del auto 373 a través del seguimiento a la implementación de la ruta de protección colectiva en el marco de las garantías de los Derechos Humanos. </t>
  </si>
  <si>
    <t>Fortalecer la política pública de prevención de violaciones a los Derechos a la vida, integridad, libertad y seguridad de personas, grupos y comunidades.</t>
  </si>
  <si>
    <t>94131503;94131504;93121607;80101600;93141900;94132000;94131805;93141706</t>
  </si>
  <si>
    <t>14111500;82101800;82121500;82121800</t>
  </si>
  <si>
    <t>sandra.contreras@mininterior.gov.co</t>
  </si>
  <si>
    <t>Bogotá</t>
  </si>
  <si>
    <t>DAR</t>
  </si>
  <si>
    <t>A-03-11-08-001</t>
  </si>
  <si>
    <t>amelia.cotes@mininterior.gov.co</t>
  </si>
  <si>
    <t>DDPCAC</t>
  </si>
  <si>
    <t>A-03-03-04-035</t>
  </si>
  <si>
    <t>93121607;
7710164;
80101500;
8010164;
80141902;
80101600;
86141501;
93140000
93141501;
93141506;
9314190;
9413185</t>
  </si>
  <si>
    <t>A-03-03-01-065</t>
  </si>
  <si>
    <t>78111500;78111503</t>
  </si>
  <si>
    <t>C-3704-1000-6</t>
  </si>
  <si>
    <t>83121701;82101601;82111902</t>
  </si>
  <si>
    <t>Alejandro Ramírez Roa</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</si>
  <si>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</si>
  <si>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</si>
  <si>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C-3703-1000-3</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</si>
  <si>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</si>
  <si>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Mejorar la capacidad institucional de las alcaldías focalizadas a través de la implementación de Proyectos de Fortalecimiento Institucional</t>
  </si>
  <si>
    <t>OAP</t>
  </si>
  <si>
    <t>Sergio Mauricio Arciniegas Roman</t>
  </si>
  <si>
    <t>sergio.arciniegas@mininterior.gov.co</t>
  </si>
  <si>
    <t>Fortalecimiento de competencias y capacidades en programación y gestión presupuestal de las dependencias del Ministerio del Interior y entidades del sector.</t>
  </si>
  <si>
    <t>astrid.sandoval@mininterior.gov.co</t>
  </si>
  <si>
    <t>OIP</t>
  </si>
  <si>
    <t>Gestionar los recursos tecnológicos del Ministerio para el soporte de los procesos, garantizando la integridad, disponibilidad y confidencialidad de la Información de la entidad.</t>
  </si>
  <si>
    <t>43233200;43222500;43222600</t>
  </si>
  <si>
    <t>43222825;43221501;81161707;81161708;81161709</t>
  </si>
  <si>
    <t>43231513;43232201;43232312;43233701</t>
  </si>
  <si>
    <t>81111801;81112100</t>
  </si>
  <si>
    <t xml:space="preserve">A-02-02-01-003-005 </t>
  </si>
  <si>
    <t>82111903;82111901;82111902</t>
  </si>
  <si>
    <t>A-02-02-01-004-007</t>
  </si>
  <si>
    <t>SAF</t>
  </si>
  <si>
    <t>C-3799-1000-12</t>
  </si>
  <si>
    <t>sandra.galeano@mininterior.gov.co</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</si>
  <si>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</si>
  <si>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</si>
  <si>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manuel.segura@mininterior.gov.co</t>
  </si>
  <si>
    <t>15101500;15101505;15101506</t>
  </si>
  <si>
    <t>A-02-02-01-003-005</t>
  </si>
  <si>
    <t>46191601;72101509</t>
  </si>
  <si>
    <t>A-02-02-01-004-003</t>
  </si>
  <si>
    <t>A-02-02-01-001-005</t>
  </si>
  <si>
    <t>31162800;39121700</t>
  </si>
  <si>
    <t>A-02-02-01-003-006</t>
  </si>
  <si>
    <t>A-02-02-01-003-007</t>
  </si>
  <si>
    <t>A-02-02-01-004-002</t>
  </si>
  <si>
    <t>A-02-02-01-004-006</t>
  </si>
  <si>
    <t>A-02-02-02-006-008</t>
  </si>
  <si>
    <t>carmen.lancheros@mininterior.gov.co</t>
  </si>
  <si>
    <t>A-02-02-02-007-003</t>
  </si>
  <si>
    <t>helmut.hernandez@mininterior.gov.co</t>
  </si>
  <si>
    <t>A-03-03-01-53</t>
  </si>
  <si>
    <t>N/A</t>
  </si>
  <si>
    <t>CCE-11||03</t>
  </si>
  <si>
    <t>SGGT</t>
  </si>
  <si>
    <t>93141501;93141506;93141600;94132000;93131501;93131502</t>
  </si>
  <si>
    <t>Sonia Shirley Bernal Sánchez</t>
  </si>
  <si>
    <t>sonia.bernal@mininterior.gov.co</t>
  </si>
  <si>
    <t xml:space="preserve">A-03-03-01-039 </t>
  </si>
  <si>
    <t>Consolidar instrumentos de la Política Pública de Lucha Contra la Trata de Personas, para una vida libre de violencia.</t>
  </si>
  <si>
    <t>Consolidar la gobernanza y la gestión territorial como instrumentos para la paz total.</t>
  </si>
  <si>
    <t>Fortalecer el ordenamiento y la gobernanza territorial a través de la asociatividad para la paz.</t>
  </si>
  <si>
    <t>Diseñar e implementar una estrategia para el ordenamiento territorial diferencial para la convergencia regional.</t>
  </si>
  <si>
    <t>SPSCC</t>
  </si>
  <si>
    <t>A-03-03-01-032</t>
  </si>
  <si>
    <t>edgar.gonzalez@mininterior.gov.co</t>
  </si>
  <si>
    <t>C-3702-1000-8</t>
  </si>
  <si>
    <t>SGH</t>
  </si>
  <si>
    <t>Dar cumplimiento oportuno a la entrega de dotación de vestuario y calzado de labor.</t>
  </si>
  <si>
    <t>A-02-02-01-002-08</t>
  </si>
  <si>
    <t>Implementar las acciones generadas para la ejecución del 100% de los planes y programas de gestión humana en el marco de MIPG</t>
  </si>
  <si>
    <t>A-02-02-02-009-002</t>
  </si>
  <si>
    <t>A-02-02-02-009-006</t>
  </si>
  <si>
    <t>carolina.prada@mininterior.gov.co</t>
  </si>
  <si>
    <t>DSCCG</t>
  </si>
  <si>
    <t>Yuly Paola Manosalva Caro</t>
  </si>
  <si>
    <t>yuly.manosalva@mininterior.gov.co</t>
  </si>
  <si>
    <t>Atender y hacer seguimiento al 100% de las alertas emitidas por la defensoría del pueblo y mejorar el proceso.</t>
  </si>
  <si>
    <t>A-03-03-04-062</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</si>
  <si>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</si>
  <si>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</si>
  <si>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DACNARP</t>
  </si>
  <si>
    <t>Victor Hugo Moreno Mina</t>
  </si>
  <si>
    <t>victor.moreno@mininterior.gov.co</t>
  </si>
  <si>
    <t>A-03-06-01-012</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</si>
  <si>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</si>
  <si>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</si>
  <si>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</si>
  <si>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</si>
  <si>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</si>
  <si>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</si>
  <si>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</si>
  <si>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</si>
  <si>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</si>
  <si>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</si>
  <si>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</si>
  <si>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</si>
  <si>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</si>
  <si>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</si>
  <si>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</si>
  <si>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</si>
  <si>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</si>
  <si>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</si>
  <si>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</si>
  <si>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</si>
  <si>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</si>
  <si>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</si>
  <si>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</si>
  <si>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</si>
  <si>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</si>
  <si>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</si>
  <si>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</si>
  <si>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</si>
  <si>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</si>
  <si>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</si>
  <si>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</si>
  <si>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</si>
  <si>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</si>
  <si>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</si>
  <si>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</si>
  <si>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</si>
  <si>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</si>
  <si>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PLAN ANUAL DE ADQUISICIONES 2024</t>
  </si>
  <si>
    <t>Cupo de VF aprobadas 2023, comprometidas 2023</t>
  </si>
  <si>
    <t>Vigencia 2024</t>
  </si>
  <si>
    <t>Cupo de VF aprobadas 2024, por comprometer 2025</t>
  </si>
  <si>
    <t>FIJO</t>
  </si>
  <si>
    <t>CP-Contratación de Servicios Profesionales, Asistenciales y Técnicos como apoyo a la gestión del Ministerio del Interior.</t>
  </si>
  <si>
    <t>0</t>
  </si>
  <si>
    <t>80101509;81111503;81111504</t>
  </si>
  <si>
    <t>CP-Aunar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</si>
  <si>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1</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</si>
  <si>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</si>
  <si>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CP-Contratar los servicios técnicos y administrativos para el desarrollo del plan de trabajo para pueblos indígenas Arhuaco, Kogui, Wiwa y Kankuamo de la Sierra Nevada de Santa Marta en el marco del cumplimiento de la sentencia SU-121 de 2022"</t>
  </si>
  <si>
    <t>86111500;86132000;93131503;94131805;93141706;93141700;93141702</t>
  </si>
  <si>
    <t>CP-Contratar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</si>
  <si>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CP-Contratar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</si>
  <si>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CP-Contratar los servicios técnicos y administrativos para garantizar el diálogo genuino de la nueva política de drogas con enfoque de género diferencial y territorial para las comunidades Rrom en el marco del proceso de consulta previa.</t>
  </si>
  <si>
    <t>CP-Contratar los servicios técnicos y administrativos para garantizar el diálogo genuino de la nueva política de drogas con enfoque de género diferencial y territorial para las comunidades indigenas Yukpa en el marco del proceso de consulta previa.</t>
  </si>
  <si>
    <t>CCE-02</t>
  </si>
  <si>
    <t>Diseñar, implementar y evaluar la estrategia de fomento y sensibilización en materia de Consulta Previa.</t>
  </si>
  <si>
    <t>86111500;86132000;93131503;94131805;93141706</t>
  </si>
  <si>
    <t>CP-Contratar los servicios técnicos y administrativos para estructurar e implementar programas de formación y capacitación en materia de consulta previa, dirigidos a los miembros de los grupos étnicos</t>
  </si>
  <si>
    <t xml:space="preserve">CP-Contratar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t>
  </si>
  <si>
    <t>Articular y consolidar la gestión operacional de la Dirección de la Autoridad Nacional de Consulta Previa.</t>
  </si>
  <si>
    <t>81112006;43211501;43201835;43201803</t>
  </si>
  <si>
    <t>CP-Adquisición de infraestructura tecnológica para el ministerio del interior</t>
  </si>
  <si>
    <t>81111503;81111504</t>
  </si>
  <si>
    <t xml:space="preserve">CP-Desarrollo, mantenimiento, sostenibilidad y actualización del sistema de información que soporte los procedimientos misionales de la Dirección de la Autoridad Nacional de Consulta Previa </t>
  </si>
  <si>
    <t>43212110;44103100;44103125;43211507</t>
  </si>
  <si>
    <t>CP-Adquisición se impresoras, computadores y consumibles de impresión para el Ministerio del Interior</t>
  </si>
  <si>
    <t>CP-Compra de Útiles de Escritorio y derivados del cartón para todas las Dependencias del Ministerio del Interior.</t>
  </si>
  <si>
    <t>CP-Suministro de combustible (gasolina corriente, gasolina extra y ACPM/Diésel) para los diferentes vehículos que conforman el parque automotor activo del Ministerio del Interior y los que le sean asignados por necesidades del servicio.</t>
  </si>
  <si>
    <t>84131500;84131600;84131503;84131506;84131512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</si>
  <si>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</si>
  <si>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43233501;81112102</t>
  </si>
  <si>
    <t>76111501;90101700</t>
  </si>
  <si>
    <t>78181600;25171700;25171900;25172000</t>
  </si>
  <si>
    <t>CP-Realización de Exámenes Médicos Ocupacionales Periódicos, Exámenes Médicos de Ingreso y Exámenes Médicos de Retiro, para los funcionarios del Ministerio del Interior para el año 2024, de acuerdo al profesiograma de la entidad</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</si>
  <si>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</si>
  <si>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DACNARP Contratación de Servicios Profesionales, Asistenciales y Técnicos como apoyo a la gestión del Ministerio del Interior.</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</si>
  <si>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</si>
  <si>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DACNARP Aunar esfuerzos técnicos, administrativos y financieros con el fin de desarrollar las actividades y/o proyectos para la elaboraciòn de los documentos " planes de caracterizaciòn" de los territorios colectivos y ancestrales de las Comunidades &lt;negras, Afrocolombianas, Raizales y Palenqueras, en el marco de la Sentencias T-025 de 2004 y la orden 4 del auto 005 de 2019 de la Corte Constitucional.</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</si>
  <si>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</si>
  <si>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DACNARP Desarrollar actividades encaminadas a la creacion del marco normativo y propuestas legislstivas que promuevan los derechos de las Comunidades Negras, Afrocolombianas, Raizales y Pâlenqueras</t>
  </si>
  <si>
    <t>DACNARP Desarrollar actividades encaminadas a la implementaciòn del acuerdo final, a travès de asistencia tènica en relaciòn con las leyes y normas que afecten a los pueblos ètnicos que participan de manera real y efectiva en la construcciòn y ajustes normativos.</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</si>
  <si>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</si>
  <si>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</si>
  <si>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DACNARP Aunar esfuerzos tècnicos, administrativos y financieros con el fin de desarrollar las actividades y/oproyectos orientados a dar cumplimiento al capìtulo ètrnico del acuerdo de paz y el desarrollo del fortalecimiento de la poblacion LGTBIQ*, mujere, adulto mayor y jòvenes de las Comunidades Negras, Afrocolombianas, Raizales y Palenqueras</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</si>
  <si>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</si>
  <si>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Aunar esfuerzos, tècnicos, Administrativos y financieros con las organizaciones de base del archipielago de San Andrès, Providencia y Santa Catalina, y el Raizal Council, con el fin de esarrollar actividades encaminadas al cumplimiento de la consulta previa del Estatuto Raizal y curul raizal en el marco del decreto 1211 de 2018.</t>
  </si>
  <si>
    <t xml:space="preserve">DACNARP Aunar esfuerzos, tècnicos, Administrativos y financieros para la realizaciòn de un diplomado dirigido a lìderes de consejos comunitarios y organizaciones de base en resoluciòn de conflictos, paz, derechos humanos y cultura democràtica </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</si>
  <si>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</si>
  <si>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</si>
  <si>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DACNARP Aunar esfuerzos técnicos, operativos, administrativos y financieros orientados al seguimiento y monitoreo de la ejecución de los proyectos priorizados para el fortalecimiento organizativo, y la garantía de derechos de las comunidades Negras, Afrodescendientes, Raizales y Palenqueras, y la gestión de las inversiones que apoyan la paz en Colombia.</t>
  </si>
  <si>
    <t xml:space="preserve">DACNARP Contratar la automatización de los procesos relacionados con el registro Público ünico de Comunidades Negras, Afrocolombianas, Raizales y Palenqueras, </t>
  </si>
  <si>
    <t>DACNARP Aunar esfuerzos, tècnicos, Administrativos y financieros con las organizaciones de base del archipielago de San Andrès, Providencia y Santa Catalina, y el Raizal Council, con el fin de desarrollar actividades encaminadas al cumplimiento de la consulta previa del Estatuto Raizal y curul raizal en el marco del decreto 1211 de 2018.</t>
  </si>
  <si>
    <t>DACNARP Desarrollar actividades con el fin de dar cumplimiento a lo estipulado en la sentencia T - 622 de 2018</t>
  </si>
  <si>
    <t>DACNARP Adelantar actividades encaminadas al diseño e implentaciòn del protocolo de anàlisis de riesgo individual de las Comunidades Negras en articulaciòn con la UNP y comisiòn VI y I del ENCP</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</si>
  <si>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</si>
  <si>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</si>
  <si>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</si>
  <si>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Compra de Utiles de Escritorio y derivados del carton para todas las Dependencias del Ministerio del Interior.</t>
  </si>
  <si>
    <t>DACNARP Adquisición de un sistema de infraestructura hiperconvergente (HCI), en cumplimiento de las especificaciones técnicas determinadas en el anexo dispuesto por la Entidad</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</si>
  <si>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</si>
  <si>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43212110;44103100;44103103;44103125;44103105;44103116</t>
  </si>
  <si>
    <t>DACNARP Adquisición de consumibles de impresión para el Ministerio del Interior</t>
  </si>
  <si>
    <t>jarmandoserrano@mininterior.gov.co</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</si>
  <si>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</si>
  <si>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El Ministerio del Interior en el marco de la sentencia T-025 y los autos de seguimiento, brindará atención integral a la población desplazada.</t>
  </si>
  <si>
    <t xml:space="preserve">Contratación directa (con ofertas) </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</si>
  <si>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</si>
  <si>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</si>
  <si>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</si>
  <si>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</si>
  <si>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</si>
  <si>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</si>
  <si>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</si>
  <si>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Contratación directa.</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</si>
  <si>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</si>
  <si>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</si>
  <si>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</si>
  <si>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</si>
  <si>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</si>
  <si>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</si>
  <si>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</si>
  <si>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</si>
  <si>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</si>
  <si>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</si>
  <si>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Garantizar el cumplimiento, desarrollo y seguimiento de los acuerdos adquiridos por el Gobierno Nacional con el Consejo Regional Indígena del Cauca (CRIC) en el marco del Decreto No. 1811 de 2017.</t>
  </si>
  <si>
    <t>El Ministerio del Interior garantizará el desarrollo Integral de los Pueblos Pastos y Quillacingas.</t>
  </si>
  <si>
    <t>DAIRM - Suscribir los diferentes convenios con las Organizaciones,  Asociaciones y/o Resguardos Indígenas, para el desarrollo de los Programas que tengan por objeto dar Cumplimiento a autos emitidos por la H. Corte Constitucional entorno al cumplimiento de la Sentencia T-025 de 2004.</t>
  </si>
  <si>
    <t>DAIRM - Suscribir los diferentes convenios con las Organizaciones,  Asociaciones y/o Resguardos Indígenas, para el desarrollo de los Programas y Proyectos que tengan por objeto Fortalecer el diálogo político y social con los Grupos étnicos y minorías del país, Promover la gestión a los casos de violación individual y colectiva de los Derechos Humanos que se radiquen en esta Dirección para la población indígena, Rom, en el Marco del cumplimiento de los acuerdos del PND con la MPC, MRA y Comisión Nacional de Dialogo con el Pueblo Rom.</t>
  </si>
  <si>
    <t>DAIRM - Contratación de servicios profesionales, asistenciales y técnicos como apoyo a la gestión del ministerio del interior.</t>
  </si>
  <si>
    <t>DAIRM - Suscribir un Convenio, para la Formulación e implementación de proyectos productivos para el  pueblo Nukak Maku.</t>
  </si>
  <si>
    <t>C-3701-1000-35</t>
  </si>
  <si>
    <t>C-3701-1000-36</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</si>
  <si>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</si>
  <si>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DAIRM - Suscribir un Convenio, para el cumplimiento de los acuerdos con el Consejo Regional Indigenas del Cauca - CRIC</t>
  </si>
  <si>
    <t>C-3701-1000-37</t>
  </si>
  <si>
    <t>DAIRM - Suscribir un Convenio, para el cumplimiento de los acuerdos con el Pueblo de Pastos y Quillasingas</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</si>
  <si>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</si>
  <si>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</si>
  <si>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</si>
  <si>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</si>
  <si>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</si>
  <si>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</si>
  <si>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82101800;82121500;82121800</t>
  </si>
  <si>
    <t>DAL Contratar la prestación de los servicios al Ministerio del Interior para la producción, impresión y distribución en sitio a nivel nacional del periódico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</si>
  <si>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</si>
  <si>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</si>
  <si>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</si>
  <si>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</si>
  <si>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</si>
  <si>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CCE-06</t>
  </si>
  <si>
    <t xml:space="preserve">43201800;43211500;43211600 </t>
  </si>
  <si>
    <t>DAL Compra de equipos de cómputo y periféricos para el fortalecimiento de las áreas asistenciales y administrativas de la Dirección de Asuntos Legislativos del Ministerio del Interior.</t>
  </si>
  <si>
    <t>Sandra Patricia Contreras Soto</t>
  </si>
  <si>
    <t>Sandra.Contreras@mininterior.gov.co</t>
  </si>
  <si>
    <t>56101500;56112104;56101719</t>
  </si>
  <si>
    <t>DAL Adecuación, adquisición e instalacion de mobiliario para la restructuración de la oficina de la Dirección de Asuntos Legislativos del Ministerio del interior.</t>
  </si>
  <si>
    <t>DAL Adquisición de un sistema de infraestructura hiperconvergente (HCI), en cumplimiento de las especificaciones técnicas determinadas en el anexo dispuesto por la Entidad</t>
  </si>
  <si>
    <t xml:space="preserve">Fortalecimiento del Ministerio del Interior en lo relacionado con el derecho de libertad religiosa y de cultos de manera integral (Fortalecimiento institucional Actualización de formatos y protocolos en asuntos religiosos </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</si>
  <si>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</si>
  <si>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</si>
  <si>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</si>
  <si>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</si>
  <si>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</si>
  <si>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</si>
  <si>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 94131504;94131805;94132000</t>
  </si>
  <si>
    <t>DAR Aunar esfuerzos técnicos y administrativos para Apoyar económicamente iniciativas sociales interreligiosas, que contengan proyectos de impacto social, ambiental , humanitario y de emprendimiento.</t>
  </si>
  <si>
    <t>DAR Aunar esfuerzos técnicos y administrativos para la Identificación de los programas y proyectos de las entidades religiosas y sus organizaciones en el alcance de los Objetivos de Desarrollo Sostenible. BIIR</t>
  </si>
  <si>
    <t xml:space="preserve">Divulgación y promoción del conocimiento de la normatividad el hecho y la cultura religiosa en Colombia </t>
  </si>
  <si>
    <t>DAR Aunar esfuerzos técnicos y administrativos para Construir los instrumentos de transmisión y profundización de Conocimiento en las entidades nacionales, territoriales y religiosas en materia de asuntos religiosos</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</si>
  <si>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</si>
  <si>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</si>
  <si>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un sistema de infraestructura hiperconvergente (HCI), en cumplimiento de las especificaciones técnicas determinadas en el anexo dispuesto por la Entidad</t>
  </si>
  <si>
    <t>DAR Compra de Utiles de Escritorio y derivados del carton para todas las Dependencias del Ministerio del Interior.</t>
  </si>
  <si>
    <t>DAR Aunar esfuerzos técnicos y administrativos para Fortalecer los procesos de coordinación, articulación y seguimiento interinstitucional , intersectorial y nación -territorio en los planes, instrumentos y procesos para la implementación la política de libertad religiosa y de cultos.</t>
  </si>
  <si>
    <t>DDH - 
Contratación de Servicios Profesionales, Asistenciales y Técnicos como apoyo a la gestión del Ministerio del Interior.</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</si>
  <si>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</si>
  <si>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</si>
  <si>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</si>
  <si>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</si>
  <si>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Diana Vitalia Vivas Perez</t>
  </si>
  <si>
    <t>93121700;93131503</t>
  </si>
  <si>
    <t>DDH - 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</si>
  <si>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DDH - 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</si>
  <si>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DDH - Suscripcion de contrato o convenio interadministrativo para implementación de iniciativas en materia de derechos humanos</t>
  </si>
  <si>
    <t>DDH - Contratar los servicios de central de publicaciones para el desarrollo de acciones, iniciativas y políticas de la Dirección de Derechos Humanos del Ministerio del Interior</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</si>
  <si>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</si>
  <si>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</si>
  <si>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</si>
  <si>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</si>
  <si>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</si>
  <si>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</si>
  <si>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</si>
  <si>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</si>
  <si>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</si>
  <si>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</si>
  <si>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</si>
  <si>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</si>
  <si>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Impulsar el mejoramiento de las capacidades de las entidades territoriales para transversalizar el enfoque de género en la gestión de la convivencia y la seguridad humana a nivel nacional.</t>
  </si>
  <si>
    <t>C-3702-1000-14</t>
  </si>
  <si>
    <t>DDH - Adquisición de un sistema de infraestructura hiperconvergente (HCI), en cumplimiento de las especificaciones técnicas determinadas en el anexo dispuesto por la Entidad</t>
  </si>
  <si>
    <t>Propender por la transparencia electoral por medio de la herramienta URIEL</t>
  </si>
  <si>
    <t>DDPCAC Contratación de Servicios Profesionales, Asistenciales y Técnicos como apoyo a la gestión del Ministerio del Interior.</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</si>
  <si>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</si>
  <si>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</si>
  <si>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81111504;81111509;43232300</t>
  </si>
  <si>
    <t>DDPCAC Contratar la actualización de la APP URIEL,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</si>
  <si>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</si>
  <si>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</si>
  <si>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</si>
  <si>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86101705;82101802;82100000;82101600;82101802;93141500</t>
  </si>
  <si>
    <t>DDPCAC Aunar esfuerzos administrativos, técnicos y financieros para la realización de una estrategia de divulgación y difusión de la normativa electoral que incluya material pedagógico, encuentros con la ciudadanía y foros.</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</si>
  <si>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</si>
  <si>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</si>
  <si>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</si>
  <si>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</si>
  <si>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93141906;93141512;93121608;93141501</t>
  </si>
  <si>
    <t>DDPCAC Aunar esfuerzos administrativos, técnicos y financieros para el fortalecimiento y promoción de la participación de las organizaciones y demás población objeto de la Dirección para la Democracia, la Participación Ciudadana y la Acción Comunal.</t>
  </si>
  <si>
    <t>Implementar estrategias de sensibilización en materia de derechos humanos, de promoción de la no discriminación y de equiparación de oportunidades.</t>
  </si>
  <si>
    <t>Desarrollar acciones que promuevan la implementacion de la Ley de Participación ciudadana</t>
  </si>
  <si>
    <t>DDPCAC Contratar los servicios de preproducción, producción, postproducción y emisión de los productos audiovisuales que requiera la Dirección para la Democracia, la Participación Ciudadana y la Acción Comunal del Ministerio del Interior, para llevar a cabo los “Premios Colombia Participa 2023” en cumplimiento del artículo 101 de la Ley 1757 de 2015</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</si>
  <si>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</si>
  <si>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</si>
  <si>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DDPCAC Aunar esfuerzos técnicos, administrativos y financieros para apoyar a la Dirección para la Democracia, la Participación Ciudadana y la Acción Comunal en la consolidación de información, perfeccionamiento y difusión para la actualización de la normativa para la promoción de la participación ciudadana.</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</si>
  <si>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</si>
  <si>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</si>
  <si>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</si>
  <si>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</si>
  <si>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</si>
  <si>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Realizar fortalecimiento y reconocimiento del campesinado y sus organizaciones como sujetos de derechos. </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</si>
  <si>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</si>
  <si>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</si>
  <si>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 xml:space="preserve">Fortalecer a las organizaciones de Acción Comunal del territorio nacional  en su capacidad administrativa, juridica, técnica y sistematizacion de procesos. </t>
  </si>
  <si>
    <t>DDPCAC Adquirir una solución de HIPERCONVERGENCIA para el Ministerio del Interior, de acuerdo con las especificaciones técnicas del anexo</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</si>
  <si>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</si>
  <si>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Contratar el desarrollo de las fases 1 -Análisis, diseño conceptual, levantamiento de requerimiento; fase 2 -Definición de la arquitectura e infraestructura tecnológica para la implementación; fase 3- Desarrollo e implementación, parametrización e implementación de módulos y la fase 4-Mejoras e implementación, parametrización e implementación de módulos del Sistema de Información del Grupo de Acción Comunal, con el propósito de satisfacer las necesidades informativas y de gestión, garantizando el acceso y disponibilidad pública de la información.</t>
  </si>
  <si>
    <t xml:space="preserve">DDPCAC Contratar el desarrollo de actividades  enfocadas al fortalecimiento de organismos de acción comunal en el marco de la Ley 2166 y  el decreto reglamentario 1501 de 2023.  </t>
  </si>
  <si>
    <t>DDPCAC Contratar los servicios de preproducción, producción, postproducción, emisión  y transmisión de los productos audiovisuales que requiera la Dirección para la Democracia, la Participación Ciudadana y la Acción Comunal del Ministerio del Interior, que permitan exaltar  y resaltar la gestrión adelantada por parte de los organismos de acción comunal</t>
  </si>
  <si>
    <t>Fortalecer las capacidades de los organismos de acción comunal para el desarrollo de sus propósitos y atención de sus necesidades en el marco de la ley 2166 de 2021 a partir del ejercicio de la democracia participativa a nivel Nacional.</t>
  </si>
  <si>
    <t>86141501;86111602;86132000;86111500</t>
  </si>
  <si>
    <t>DDPCAC Convenio de Cooperación Internacional para la   implementación, desarrollo y puesta en marcha  de la estrategia formador  de formadores y socialización de la Política Pública de Acción Comunal  con el fin de fortalecer las capacidades de gestión, formación  comunal integral , desarrollo social, político y productivo de los organismo de acción comunal a nivel nacional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</si>
  <si>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lay 2166 de 2021.</t>
  </si>
  <si>
    <t>86101708;86111500;86111501;86111600;86111600;86111600</t>
  </si>
  <si>
    <t>DDPCAC Aunar esfuerzos técnicos, administrativos y financieros  para que los jóvenes, mujeres y dignatarios de las 
Organizaciones de Acción Comunal accedan a programas de Educación Superior.</t>
  </si>
  <si>
    <t>DDPCAC Aunar esfuerzos técnicos, administrativos y financieros para promover el liderazgo social  y fortalecimiento integral de mujeres y jóves ntegrantes de los organismos de acción comunal a nivel nacional en la vigencia 2024.</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</si>
  <si>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</si>
  <si>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</si>
  <si>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Mejorar la participación del campesinado en la formulación de políticas, programas y proyectos en el territorio nacional.</t>
  </si>
  <si>
    <t>Pendiente Proyecto Innversión Campesinos</t>
  </si>
  <si>
    <t xml:space="preserve">DDPCAC Aunar esfuerzos técnicos, administrativos y financieros para el desarrollo de estrategias de investigación y gestión del conocimiento de las realidades territoriales de las comunidades campesinas que oriente la formulación e implementación de políticas públicas para su fortalecimiento.  </t>
  </si>
  <si>
    <t xml:space="preserve">FORMULACIÓN E IMPLEMENTACIÓN DE LA POLÍTICA PÚBLICA DE CONVIVENCIA Y SEGURIDAD PARA LA VIDA </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</si>
  <si>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</si>
  <si>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</si>
  <si>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</si>
  <si>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</si>
  <si>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DSCCG Convenio para fortalecimiento de los instrumentos de política normativos y técnicos que permitan la articulación de la gestión para la convivencia y seguridad en el territorio Nacional.</t>
  </si>
  <si>
    <t>DSCCG Adquisición de un sistema de infraestructura hiperconvergente (HCI), en cumplimiento de las especificaciones técnicas determinadas en el anexo dispuesto por la Entidad</t>
  </si>
  <si>
    <t>DSCCG Compra de Utiles de Escritorio y derivados del carton para todas las Dependencias del Ministerio del Interior.</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</si>
  <si>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</si>
  <si>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</si>
  <si>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</si>
  <si>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</si>
  <si>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14121503;14111506;44122003</t>
  </si>
  <si>
    <t>DSCCG Adquisición de consumibles de impresión para el Ministerio</t>
  </si>
  <si>
    <t>GAPV Asistir a los subcomités técnicos nacionales del SNARIV y a las sesiones del equipo técnico interinstitucional de asistencia técnica</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</si>
  <si>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</si>
  <si>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</si>
  <si>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</si>
  <si>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</si>
  <si>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GAPV Compra de Utiles de Escritorio y derivados del carton para todas las Dependencias del Ministerio del Interior.</t>
  </si>
  <si>
    <t>GAPV Adquisición de un sistema de infraestructura hiperconvergente (HCI), en cumplimiento de las especificaciones técnicas determinadas en el anexo dispuesto por la Entidad</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</si>
  <si>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</si>
  <si>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</si>
  <si>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</si>
  <si>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</si>
  <si>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</si>
  <si>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</si>
  <si>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</si>
  <si>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</si>
  <si>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</si>
  <si>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</si>
  <si>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</si>
  <si>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</si>
  <si>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</si>
  <si>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</si>
  <si>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</si>
  <si>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</si>
  <si>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</si>
  <si>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</si>
  <si>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</si>
  <si>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</si>
  <si>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OIP. Adquisición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</si>
  <si>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</si>
  <si>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</si>
  <si>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81111500;81111700;81111800</t>
  </si>
  <si>
    <t>OIP. Contratación de servicios para el diseño, desarrollo y puesta en marcha de una nueva sede electrónica  en cumplimiento al anexo técnico dispuesto por la entidad.</t>
  </si>
  <si>
    <t>OIP. Adquisición licenciamiento suite adobe en cumplimiento al anexo técnico dispuesto por la entidad.</t>
  </si>
  <si>
    <t>43201834;43201835;43212201</t>
  </si>
  <si>
    <t>OIP. Adquirir librería de Backup para el Ministerio de Interior en cumplimiento al anexo técnico dispuesto por la entidad.</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</si>
  <si>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</si>
  <si>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</si>
  <si>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</si>
  <si>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</si>
  <si>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OIP. Prestar servicios para el desarrollo de buenas prácticas de desarrollo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</si>
  <si>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</si>
  <si>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</si>
  <si>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</si>
  <si>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81111811;81112200</t>
  </si>
  <si>
    <t>OIP. Prestar servicios para el monitoreo de noticias y actividad a  través redes sociales de los diferentes medios de comunicación nacional, regional y local (radio, prensa, televisión, revistas, redes sociales y portales de internet) reportando y emitiendo alertas en tiempo real sobre la información de noticias y eventos relacionados con la misionalidad y funciones del Ministerio del Interior. </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</si>
  <si>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</si>
  <si>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</si>
  <si>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</si>
  <si>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Prestación de servicios para la operación y soporte de un sistema telefónico eficiente destinado a atender consultas ciudadanas, asegurando la confidencialidad de la información para el Grupo de Atención al Ciudadano (GAC) del Ministerio del Interior.</t>
  </si>
  <si>
    <t>OIP. Renovación del servicio de actualización de versiones y soporte técnico denominado SOFTWARE UPDATE LICENCE &amp; SUPPORT", para los productos ORACLE ya licenciados por el Ministerio del Interior.</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</si>
  <si>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</si>
  <si>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</si>
  <si>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</si>
  <si>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 xml:space="preserve">SAF: Contratación de Servicios Profesionales, Asistenciales y Técnicos como apoyo a la gestión del Grupo de Conservación Documental. </t>
  </si>
  <si>
    <t>Sandra Marcela Galeano Cajica</t>
  </si>
  <si>
    <t>SAF: Adquisición e instalación de estantería metálica rodante y escritorios modulares para el Archivo central y correspondencia del ministerio del interior.</t>
  </si>
  <si>
    <t>SAF: Prestar los servicios de soporte, actualización, mantenimiento y desarrollo, según solicitud de la entidad, para la solución del Sistema de Gestión de Documentos Electrónicos de Archivo (SGDEA) Control Doc.</t>
  </si>
  <si>
    <t>C-3799-1000-16</t>
  </si>
  <si>
    <t xml:space="preserve">SAF: Contratar la adquisiciòn de equipos de computo que contribuyan a la implementaciòn  de la solución del Sistema de Gestión de Documentos Electrónicos de Archivo (SGDEA) </t>
  </si>
  <si>
    <t>SAF: Prestar los servicios archivísticos en la organización técnica de archivo y limpieza del Ministerio del Interior conforme a la normatividad vigente.</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</si>
  <si>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</si>
  <si>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Manuel Guillermo Segura Sierra</t>
  </si>
  <si>
    <t>SAF: Compra de utiles de escritorio y derivados de carton para todas las dependencias del Ministerio del Interior</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</si>
  <si>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</si>
  <si>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</si>
  <si>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SAF: Suministro de vales de combustible para el abastecimiento de Gasolina y ACPM a los vehículos que conforman el parque automotor del Ministerio del Interior</t>
  </si>
  <si>
    <t>SAF: Contratar el servicio de mantenimiento preventivo, recarga de extintores y adquisición de extintores de propiedad del Ministerio del Interior, bajo el Acuerdo Marco de Precios  para la adquisición de Elementos para la Atención, Prevención y Mitigación del Riesgo y de Emergencias.</t>
  </si>
  <si>
    <t>SAF: Sistema para Capturar Identificador de Inventario Integrado con el Sistema PCT Enterprise</t>
  </si>
  <si>
    <t>SAF:  EN EJECUCION - Contrato Interadministrativo 465/2023  Servicio de admisión, curso y entrega de correspondencia en las modalidades de correo certificado y correo certificado internacional</t>
  </si>
  <si>
    <t>Carmen Lancheros</t>
  </si>
  <si>
    <t>SAF: Servicio de admisión, curso y entrega de correspondencia en las modalidades de correo certificado nacional y correo certificado internacional</t>
  </si>
  <si>
    <t xml:space="preserve">SAF: Seleccionar  un corredor de seguros, para que atienda todos los asuntos relacionados con el programa de seguros de la Entidad. </t>
  </si>
  <si>
    <t>Yury Heltmhur Garcia Torres</t>
  </si>
  <si>
    <t>yury.garcia@mininterior.gov.co</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</si>
  <si>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</si>
  <si>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SAF: Adquirir certificados digitales almacenados en token para el Ministerio del Interior</t>
  </si>
  <si>
    <t>Helmut Hernández</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</si>
  <si>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</si>
  <si>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</si>
  <si>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</si>
  <si>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</si>
  <si>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</si>
  <si>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</si>
  <si>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</si>
  <si>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</si>
  <si>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 xml:space="preserve">SAF: Sporte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</si>
  <si>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</si>
  <si>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</si>
  <si>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</si>
  <si>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</si>
  <si>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</si>
  <si>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</si>
  <si>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</si>
  <si>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</si>
  <si>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</si>
  <si>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</si>
  <si>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</si>
  <si>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</si>
  <si>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Servicio de outsourcing de fotocopiado y escaneo(digitalización) para las dependencias del Ministerio del Interior</t>
  </si>
  <si>
    <t>SAF: Adquisición de consumibles de impresión para el Ministerio del Interior</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</si>
  <si>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</si>
  <si>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</si>
  <si>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SAF: Realizar la separación, clasificación, recolección y entrega de los residuos sólidos aprovechables de carácter no peligroso, generados en las sedes donde funciona el Ministerio del Interior”.</t>
  </si>
  <si>
    <t xml:space="preserve">Afianzar la gestión institucional como motor del cambio para mejorar la eficacia organizacional en el marco del Modelo Integrado de Planeación y Gestión del Ministerio del Interior.
</t>
  </si>
  <si>
    <t>OAP Contratación de Servicios Profesionales, Asistenciales y Técnicos como apoyo a la gestión del Ministerio del Interior.</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</si>
  <si>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</si>
  <si>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</si>
  <si>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</si>
  <si>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</si>
  <si>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</si>
  <si>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</si>
  <si>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elementos accesorios, equipos tecnológicos y periféricos e impresos para el Ministerio del Interior</t>
  </si>
  <si>
    <t xml:space="preserve">OAP  Adquisición de mobiliario y muebles para la adecuación del espacio para el centro de innovación para la paz de la Oficina Asesora de Planeación. </t>
  </si>
  <si>
    <t>OAP Compra de Utiles de Escritorio y derivados del carton para todas las Dependencias del Ministerio del Interior.</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</si>
  <si>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</si>
  <si>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OAP Adquisición de un sistema de infraestructura hiperconvergente (HCI), en cumplimiento de las especificaciones técnicas determinadas en el anexo dispuesto por la Entidad</t>
  </si>
  <si>
    <t>SG Contratación de Servicios Profesionales, Asistenciales y Técnicos como apoyo a la gestión del Ministerio del Interior.</t>
  </si>
  <si>
    <t>yamel.ruiz@mininterior.gov.co</t>
  </si>
  <si>
    <t>Fortalecimiento de las capacidades de las entidades, cooperantes y ciudadanía en general para prevenir, proteger y asistir a las víctimas del delito de trata de personas.</t>
  </si>
  <si>
    <t>A-03-03-01-033</t>
  </si>
  <si>
    <t>A-03-03-01-039</t>
  </si>
  <si>
    <t>Fortalecer los mecanismos de prevención, protección y asistencia para la lucha contra la trata de personas, en el marco de la defensa de la dignidad humana.</t>
  </si>
  <si>
    <t>Mejorar las acciones de divulgación en prevención, protección y  asistencia en la lucha contra el delito de trata de personas a nivel nacional.</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</si>
  <si>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</si>
  <si>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</si>
  <si>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43211508;43211509</t>
  </si>
  <si>
    <t>Mejorar la articulación del ordenamiento territorial en competencias institucionales (orgánico) con enfoque alrededor del agua.</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</si>
  <si>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</si>
  <si>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</si>
  <si>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</si>
  <si>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SGH Adquirir dotación de vestuario de labor para los funcionarios del Ministerio del Interior, conforme a lo indicado en el acuerdo marco durante la vigencia 2024, en cumplimiento de la Ley 70 de 1988 y el Decreto 1978 de 1989.</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</si>
  <si>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</si>
  <si>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</si>
  <si>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</si>
  <si>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</si>
  <si>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</si>
  <si>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SGH Realizar la Intervención en el marco de los resultados obtenidos de la aplicación de la colaboradores del Ministerio del Interior, en Batería de Riesgo Psicosocial a todos los cumplimiento a la normativa vigente mediante evaluación de ambiente laboral y cultura de la innovación por medio de la metodologia Grace Place to Word</t>
  </si>
  <si>
    <t>SGH Adquirir elementos, insumos para la dotación de botiquines de las sedes del Ministerio</t>
  </si>
  <si>
    <t>SGH Adquirir elementos de oficina para confort ergonómico de los Contratistas del Ministerio del Interior, descansa pies, eleva pantallas y escaleras.</t>
  </si>
  <si>
    <t>SGH Realizar la Auditoria de mantenimiento de la certificación otorgada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</si>
  <si>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</si>
  <si>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2023 en cumplimiento de la normatividad vigente.</t>
  </si>
  <si>
    <t>SGH Ejecución Programa de Aprendizaje Individual</t>
  </si>
  <si>
    <t xml:space="preserve">SGH Suscribir contrato para la Ejecución de los Programas de Capacitación, dirigidos a los funcionarios del Ministerio del Interior </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</si>
  <si>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</si>
  <si>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</si>
  <si>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</si>
  <si>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</si>
  <si>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</si>
  <si>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</si>
  <si>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</si>
  <si>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</si>
  <si>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</si>
  <si>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</si>
  <si>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</si>
  <si>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</si>
  <si>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</si>
  <si>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</si>
  <si>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</si>
  <si>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</si>
  <si>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</si>
  <si>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</si>
  <si>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C-3702-1000-13</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</si>
  <si>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</si>
  <si>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</si>
  <si>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</si>
  <si>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</si>
  <si>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</si>
  <si>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</si>
  <si>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Implementar iniciativas comunitarias para el fortalecimiento Diálogo Social</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</si>
  <si>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</si>
  <si>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</si>
  <si>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VDG Impresiones litrograficas para socializar el Dialogo Social</t>
  </si>
  <si>
    <t>VDG Curso de Formación en Dialogo Social</t>
  </si>
  <si>
    <t xml:space="preserve">VDG Implementar una estrategia de comunicación </t>
  </si>
  <si>
    <t>VDG Transporte  para asistencia técnica a comunidades - equipo dialogo social</t>
  </si>
  <si>
    <t>Garantizar la conservación, archivo y disponibilidad de los documentos generados para evidenciar el cumplimiento de la gestión del Ministerio del Interior, fortaleciendo el sistema de gestión documental</t>
  </si>
  <si>
    <t>Implementar soluciones tecnológicas innovadoras que den respuesta a las necesidades de la misionalidad de la entidad, promoviendo la estrategia de transformación digital en el marco de la política de Gobierno Digital</t>
  </si>
  <si>
    <t>Formular, actualizar y realizar seguimiento al marco normativo y lineamientos en materia de gobernanza y ordenamiento territorial.</t>
  </si>
  <si>
    <t>Fortalecer las Entidades Territoriales con nuevas obras de infraestructura y movilidad ejecutadas para la convivencia y la seguridad ciudadana</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</si>
  <si>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</si>
  <si>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</si>
  <si>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</si>
  <si>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 Suministrar el transporte aéreo en vuelos Nacionales e Internacionales para los funcionarios, contratistas del Ministerio del Interior y funcionarios de la Policía Nacional que prestan sus servicios de protección y seguridad en 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</si>
  <si>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</si>
  <si>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</si>
  <si>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OIP Suministrar el transporte aéreo en vuelos Nacionales e Internacionales para los funcionarios, contratistas del Ministerio del Interior y funcionarios de la Policía Nacional que prestan sus servicios de protección y seguridad en el Ministerio del Interior.</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</si>
  <si>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</si>
  <si>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</si>
  <si>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</si>
  <si>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</si>
  <si>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</si>
  <si>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</si>
  <si>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</si>
  <si>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</si>
  <si>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</si>
  <si>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</si>
  <si>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Compra de Utiles de Escritorio y derivados del carton para todas las Dependencias del Ministerio del Interior.</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</si>
  <si>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</si>
  <si>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</si>
  <si>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</si>
  <si>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</si>
  <si>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CP-Prestar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</si>
  <si>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y soporte a distancia y bolsa de horas de consultoría del sistema de información de recursos humanos KACTUS-HCM- para el Ministerio del Interior en cumplimiento al anexo técnico dispuesto por la entidad.</t>
  </si>
  <si>
    <t>DDPCAC Adquisición de licenciamiento Microsoft Office 365, como plataforma de productividad y colaboración para el Ministerio del  en cumplimiento al anexo técnico dispuesto por la entidad.</t>
  </si>
  <si>
    <t>GAPV Adquisición de licenciamiento Microsoft Office 365, como plataforma de productividad y colaboración para el Ministerio del  en cumplimiento al anexo técnico dispuesto por la entidad.</t>
  </si>
  <si>
    <t>SGGT Adquisición de licenciamiento Microsoft Office 365, como Plataforma de Productividad y Colaboración para el Ministerio del Interior y la Dirección de la Autoridad Nacional de Consulta Previa</t>
  </si>
  <si>
    <t xml:space="preserve">82141504;82101801;82101601; 82101603;82101905 </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</si>
  <si>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</si>
  <si>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</si>
  <si>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SGGT Suministro de equipos tecnologicos para el fortalecimiento de la Subdirecion de Gobierno, Gestion Territorial y Lucha contra la Trata.</t>
  </si>
  <si>
    <t>SGGT Contratación de Servicios Profesionales, Asistenciales y Técnicos como apoyo a la gestión del Ministerio del Interior.</t>
  </si>
  <si>
    <t>SGGT Diseño e implementación de herramientas tecnológicas digitales para el fortalecimiento de la Subdirección de Gobierno, Gestión Territorial y Lucha contra la Trata.</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</si>
  <si>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</si>
  <si>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SGGT Aunar esfuerzos administrativos, técnicos y financieros para el diseño e implementación de acciones de prevención contra el delito de trata de personas bajo los lineamientos de la Estrategia Nacional para la Lucha Contra la Trata de Personas.</t>
  </si>
  <si>
    <t>SGGT Contratación de servicios profesionales, asistenciales y técnicos como apoyo a la gestión del Ministerio del Interior.</t>
  </si>
  <si>
    <t>SGGT Adquisición de un sistema de infraestructura hiperconvergente (HCI), en cumplimiento de las especificaciones técnicas determinadas en el anexo dispuesto por la Entidad</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</si>
  <si>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</si>
  <si>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Aunar esfuerzos técnicos, administrativos y financieros para la formulación y ejecución de proyectos comunales en articulación con los actores democráticos para el fortalecimiento del ordenamiento y gobernanza territorial.</t>
  </si>
  <si>
    <t xml:space="preserve">SGGT Desarrollar e implementar un programa de transferencia de conocimiento sobre el ordenamiento y gestión territorial mediante creación contenidos digitales que contribuyan al cierre de brechas y potencialice la gobernanza en Colombia.
</t>
  </si>
  <si>
    <t>SGGT Elaborar, actualizar y/o revisar la estructura administrativa, procesos e instrumentos de gestión de las Entidades Territoriales y corporaciones publicas de elección popular para contribuir en la modernización de la gestión publica.</t>
  </si>
  <si>
    <t>SGGTDiseño e implementación de herramientas tecnológicas digitales para el fortalecimiento de la Subdirección de Gobierno, Gestión Territorial y Lucha contra la Trata.</t>
  </si>
  <si>
    <t>SGGT Compra de Útiles de Escritorio y derivados del cartón para todas las Dependencias del Ministerio del Interior</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</si>
  <si>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</si>
  <si>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6</t>
  </si>
  <si>
    <t>CP Adquisición de un sistema de infraestructura hiperconvergente (HCI), en cumplimiento de las especificaciones técnicas determinadas en el anexo dispuesto por la Entidad</t>
  </si>
  <si>
    <t>VDG Adquisición de un sistema de infraestructura hiperconvergente (HCI), en cumplimiento de las especificaciones técnicas determinadas en el anexo dispuesto por la Entidad</t>
  </si>
  <si>
    <t>81112209;80111600</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</si>
  <si>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</si>
  <si>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Hasta: $1,105,000,000</t>
  </si>
  <si>
    <t>yeisson.cajamarca@mininterior.gov.co</t>
  </si>
  <si>
    <t>Amelia Rocio Cotes Cortes</t>
  </si>
  <si>
    <t>Astrid Elena Sandoval Perez</t>
  </si>
  <si>
    <t>Carolina del Pilar Prada Granados</t>
  </si>
  <si>
    <t>Franklin castañeda</t>
  </si>
  <si>
    <t>Yamel Ruiz</t>
  </si>
  <si>
    <t xml:space="preserve">Yeisson Cajamarca Zapata </t>
  </si>
  <si>
    <t>Hasta $ 110,500,00</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</si>
  <si>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</si>
  <si>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</si>
  <si>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</si>
  <si>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</si>
  <si>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</si>
  <si>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2 MODIF AL CONV 1628-21 AUNAR ESFUERZOS TÉCNICOS, ADTIVOS Y FINANCIEROS ENTRE LAS PARTES PARA PROMOVER LA CONV CIUDADANA, A TRAVÉS DE LA EJECUCIÓN DE UN PROYECTO SACUDETE AL PARQUE TIPO 1 EN EL MPIO DE CALAMAR - BOLÍVAR</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</si>
  <si>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</si>
  <si>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</si>
  <si>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</si>
  <si>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</si>
  <si>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</si>
  <si>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</si>
  <si>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Realizar seguimiento a proyectos de Sistemas Integrados de emergencia y seguridad - SIES</t>
  </si>
  <si>
    <t>SPSCC CTO 2665-23 FONSECON REALIZAR LA ASISTENCIA TÉCNICA, ADMINISTRATIVA Y OPERACIÓN LOGÍSTICA PARA LA EJECUCIÓN DE PROYECTOS FINANCIADOS POR EL FONDO FONSECON Y POR EL SISTEMA INTEGRADO DE EMERGENCIAS Y SEGURIDAD - SIES.</t>
  </si>
  <si>
    <t>SPSCC 1612-23 REALIZAR ACCIONES, ACTIVIDADES Y COMPROMISOS CONJUNTOS, TENDIENTES AL ESTUDIO, DISEÑO, IMPLEMENTACIÓN E INSTALACIÓN DEL CIRCUITO CERRADO DE TELEVISIÓN CCTV PARA SEGURIDAD Y CONVIVENCIA, POR PARTE DEL MPIO DE BOCHALEMA, DPTO DE NORTE</t>
  </si>
  <si>
    <t>SPSCC 1611-23 REALIZAR ACCIONES, ACTIVIDADES Y COMPROMISOS CONJUNTOS, TENDIENTES AL ESTUDIO, DISEÑO, IMPLEMENTACIÓN E INSTALACIÓN DEL CIRCUITO CERRADO DE TELEVISIÓN CCTV PARA SEGURIDAD Y CONVIVENCIA, POR PARTE DEL MPIO DE COVEÑAS, DPTO DE SUCRE, PARA LO CU</t>
  </si>
  <si>
    <t>SPSCC CONV 1607-23 REALIZAR ACCIONES, ACTIVIDADES Y COMPROMISOS CONJUNTOS, TENDIENTES AL ESTUDIO, DISEÑO, IMPLEMENTACIÓN E INSTALACIÓN DEL CIRCUITO CERRADO DE TELEVISIÓN CCTV PARA SEGURIDAD Y CONVIVENCIA, POR PARTE DEL MUNICIPIO DE PAIPA, DEPARTAMENTO DE B</t>
  </si>
  <si>
    <t>SPSCC 2326-22 ACTUALIZACIÓN DE ESTUDIOS Y DISENOS, Y AMPLIACIÓN DE LA INFRAESTRUCUTRA DE LASUBESTACIÓN DE POLICÍA LLORENTE - MUNICIPIO DE TUMACO NARIÑO</t>
  </si>
  <si>
    <t>SPSCC 2327-22 AUNAR ESFUERZOS TÉCNICOS, ADTIVOS Y FINANCIEROS ENTRE LAS PARTES PARA LLEVAR A CABO LOS ESTUDIOS, DISEÑOS Y CONSTRUCCION DEL DISTRITO I Y ESTACIÓN DE POLICIA UBATE, MUNICIPIO DE UBATE CUNDINAMARCA</t>
  </si>
  <si>
    <t>SPSCC 2328-22 AUNAR ESFUERZOS TÉCNICOS, ADTIVOS Y FINANCIEROS ENTRE LAS PARTES PARA LLEVAR A CABO LOS ESTUDIOS, DISEÑO Y CONSTRUCCION DEL DISTRITO I Y ESTACIÓN DE POLICIA MOCOA,DPTO DE PUTUMAYO</t>
  </si>
  <si>
    <t>SPSCC 1901-22 AUNAR ESFUERZOS TÉCNICOS, ADMINISTRATIVOS Y FINANCIEROS ENTRE LAS PARTES PARA LLEVAR A CABO LOS ESTUDIOS, DISEÑO Y CONSTRUCCIÓN ESTACIÓN DE POLICÍA EN EL MUNICIPIO DE ACACIAS - DEPARTAMENTO DE META.</t>
  </si>
  <si>
    <t>SPSCC 1916-22 AUNAR ESFUERZOS TÉCNICOS, ADMINISTRATIVOS Y FINANCIEROS ENTRE LAS PARTES PARA LLEVAR A CABO LOS ESTUDIOS, DISEÑOS Y CONSTRUCCION DE LA ESTACION DE POLICIA DEL MUNICIPIO DE ARBOLEDAS NORTE DE SANTANDER.</t>
  </si>
  <si>
    <t>SPSCC CONV 1908-22 AUNAR ESFUERZOS TÉCNICOS, ADMINISTRATIVOS Y FINANCIEROS ENTRE LAS PARTES PARA LLEVAR A CABO LOS ESTUDIOS, DISEÑO Y CONSTRUCCION DE ESTACIÓN DE POLICIA EN ZONA URBANA DEL MPIO DE FLANDES DEL DPTO DE TOLIMA</t>
  </si>
  <si>
    <t>SPSCC convenio 1918-22 AUNAR ESFUERZOS TÉCNICOS, ADMINISTRATIVOS Y FINANCIEROSENTRE LAS PARTES PARA LLEVAR A CABO LOS ESTUDIOS, DISEÑO Y CONSTRUCCION DE ESTACIÓNDE POLICIA EN EL MUNICIPIO DE IPIALES, DEPARTAMENTO DE NARIÑO</t>
  </si>
  <si>
    <t>SPSCC CONV 1912-22 AUNAR ESFUERZOS TÉCNICOS, ADMINISTRATIVOS Y FINANCIEROS ENTRE LAS PARTES PARA LLEVAR A CABO ESTUDIOS, DISEÑOS Y CONSTRUCCION DE INFRAESTRUCTURA FISICA PARA ESTACION DE POLICIA DEL MPIO DE PUEBLO NUEVO-DPTO DE CÓRDOBA</t>
  </si>
  <si>
    <t>SPSCC 1892-22 AUNAR ESFUERZOS TECNICOS, ADTIVOS Y FINANCIEROS ENTRE LAS PARTES PARA LLEVAR A CABO LOS ESTUDIOS DISEÑOS Y CONSTRUCCION DE LA FASE 1 DEL COMANDO DE POLICIA EN EL DPTO DE BOLIVAR</t>
  </si>
  <si>
    <t>SPSCC 1910-22 AUNAR ESFUERZOS TÉCNICOS, ADMINISTRATIVOS Y FINANCIEROS ENTRE LAS PARTES PARA LLEVAR A CABO LOS ESTUDIOS DISEÑOS Y CONSTRUCCION DE ESTACION DE POLICIA MARGEN IZQUIERDA DEL MUNICIPIO DE MONTERIA  DPTO  CORDOBA.</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</si>
  <si>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</si>
  <si>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CONV 1914-22 AUNAR ESFUERZOS TÉCNICOS, ADMINISTRATIVOS Y FINANCIEROS ENTRE LAS PARTES PARA LLEVAR A CABO LOS ESTUDIOS, DISEÑO Y CONSTRUCCION DE ESTACION BASE DE DISTRITO TIPO A EN EL MPIO DE COROZAL – DPTO DE SUCRE</t>
  </si>
  <si>
    <t>SPSCC 1917-22 AUNAR ESFUERZOS TÉCNICOS, ADTIVOS Y FINANCIEROS ENTRE LAS PARTES PARA LLEVAR A CABO LOS “ESTUDIOS, DISEÑOS, Y CONSTRUCCION DE SUBESTACION DE POLICIA EN LA VEREDA EL BONGO, MPIO DE LOS PALMITOS –SUCRE</t>
  </si>
  <si>
    <t>SPSCC 1921-22 AUNAR ESFUERZOS TÉCNICOS, ADTIVOS Y FINANCIEROS ENTRE LAS PARTES PARA LLEVAR A CABO LOS ESTUDIOS, DISEÑOS Y CONSTRUCCIÓN DE LA ESTACIÓN DE POLICÍA- PIE DE PATÓ - MPIO  DE ALTO BAUDÓ DEL DPTO  DE CHOCÓ</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</si>
  <si>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</si>
  <si>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</si>
  <si>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</si>
  <si>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</si>
  <si>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</si>
  <si>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</si>
  <si>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Contar con el personal y recursos para realizar la debida supervisión al seguimiento de la ejecución de proyectos FONSECON</t>
  </si>
  <si>
    <t>SPSCC 2 PRORRO Y 1 MODIF AL CONVENIO 2055-21 CUYO OBJETO ES AUNAR ESFUERZOS TÉCNICOS, ADTIVOS Y FINANCIEROS ENTRE LAS PARTES PARA PROMOVER LOS ESTUDIOS, DISEÑOS Y CONSTRUCCIÓN DEL NUEVO CENTRO ADTIVO MUNICIPAL (CAM) DE BANCO MAGDALENA</t>
  </si>
  <si>
    <t>SPSCC 3ª PROOR 2ª MOD CONV 1149-20 AUNAR ESFUERZOS TÉCNICOS, ADMINISTRATIVOS Y FINANCIEROS PARA REALIZAR LOS ESTUDIOS, DISEÑOS Y CONSTRUCCION DE ESTACION BASE DE DISTRITO TIPO B DE POLICIA EN EL MPIO DE MONTELIBANO, DPTO DE CORDOBA</t>
  </si>
  <si>
    <t>SPSCC CTO 1520A -20 CONSTRUCCIÓN DE FUERTE DE CARABINEROS DE OCCIDENTE DE LA POLICÍA NACIONALDEL MUNICIPIO DE MARIPÍ DEL DEPARTAMENTO DE BOYACÁ</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</si>
  <si>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</si>
  <si>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2057 AUNAR ESFUERZOS TÉCNICOS ADMINISTRATIVOS Y FINANCIEROSENTRE LAS PARTES PARA PROMOVER LOS ESTUDIOS, DISEÑOS Y CONSTRUCCIÓN(OBRA) DE LA SEDE ADMINISTRATIVA DE LA ALCALDÍA MUNICIPAL DE LÓPEZ DEMICAY- CAUCA</t>
  </si>
  <si>
    <t>SPSCC CTO 2050-21 AUNARESFUERZOS TÉCNICOS, ADMINISTRATIVOS Y FINANCIEROS ENTRE LAS PARTES PARAPROMOVER LOS ESTUDIOS, DISEÑOS Y CONSTRUCCIÓN DEL NUEVO CENTROADMINISTRATIVO MUNICIPAL (C.A.M) DE TUMACO-NARIÑO</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</si>
  <si>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</si>
  <si>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2747-23 SERV PROF EN LA SPSCC, APOYANDO LAS ACTIVIDADES DE PLANEACIÓN Y REVISIÓN DE LOS PROYECTOS FINANCIADOS Y/O COFINANCIADOS CON RECURSOS DEL FONDO NACIONAL DE SEGURIDAD Y CONVIVENCIA CIUDADANA - FONSECON PARA LA VIABILIDAD DE LOS MISMOS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</si>
  <si>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</si>
  <si>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1ª PRÓR Y ADIC CTO 1432 DE 2023 SERV PROF EN LA SPSCC, APOYANDO JURÍDICAMENTE EN LAS ETAPAS PRECONTRACTUAL, CONTRACTUAL Y POSTCONTRACTUAL DE LOS PROYECTOS FINANCIADOS Y/O COFINANCIADOS POR EL FONDO NACIONAL DE SEGURIDAD Y CONVIVENCIA CIUDADANA - FONS</t>
  </si>
  <si>
    <t>SPSCC 2710-23 ADQUISICIÓN CON DESTINO A LA ARMADA NACIONAL, BOTES DE COMBATE FLUVIAL Y COSTERO, CON CAPACIDAD DE PATRULLAJE, REACCIÓN Y APOYO ANTE EVENTOS DE EMERGENCIA PARA LA ATENCIÓN DE EVENTOS PARA SALVAGUARDAR LA VIDA HUMANA EN AFLUENTES FLUVIALES Y C</t>
  </si>
  <si>
    <t>SPSCC 4 PRORR Y MODIF AL CONVENIO 2034-21 CUYO OBJETO ES AUNAR ESFUERZOS TÉCNICOS, ADTIVOS Y FINANCIEROS ENTRE LAS PARTES PARA PROMOVER LA CONV CIUDADANA, A TRAVÉS DE LA EJECUCIÓN DE UN PROYECTO SACUDETE AL PARQUE TIPO 2 EN EL MPIO DE YAGUARA-HUILA</t>
  </si>
  <si>
    <t>SPSCC 3 PRORR Y MODIF AL CONVENIO 1546-20 CUYO OBJETO ES AUNAR ESFUERZOS TECNICOS ADTIVOS Y FINANCIEROS ENTRE LAS PARTES PARA REALIZAR ESTUDIO, DISEÑO Y CONSTRUCCIÓN DE ESTACIÓN BASE TIPO C EN EL MUNICIPIO DE VILLA DEL ROSARIO (LA PARADA) DPTO DE NORTE DE</t>
  </si>
  <si>
    <t>SPSCC 5ª PRORR 3ª MOD CTO 1895-21 AUNAR ESFUERZOS TECNICOS ADMINISTRATIVOS Y FINANCIEROS ENTRE LAS PARTES PARA PROMOVER LA CONVIVENCIA CIUDADANA A TRAVES DE LA EJECUCION DE UN PROYECTO SACUDETE AL PARQUE TIPO 1 EN EL MPIO DE SUAN - ATLÁNTICO</t>
  </si>
  <si>
    <t>SPSCC 4ª PRORR, ADIC Y 2ª MOD CTO 1619-21 AUNAR ESFUERZOS TÉCNICOS, ADMIN Y FINANCIEROS ENTRE LAS PARTES PARA PROMOVER LA CONVIVENCIA CIUDADANA, A TRAVÉS DE LA EJECUCIÓN DE UN PROYECTO SACUDETE AL PARQUE TIPO 1 EN EL M/PIO DE CRAVO NORTE – ARAUCA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</si>
  <si>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</si>
  <si>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</si>
  <si>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</si>
  <si>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</si>
  <si>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</si>
  <si>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</si>
  <si>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</si>
  <si>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</si>
  <si>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</si>
  <si>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</si>
  <si>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</si>
  <si>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</si>
  <si>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</si>
  <si>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</si>
  <si>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</si>
  <si>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</si>
  <si>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3 PRORR Y 3 MODIF AL COVENIO 2057-21 CUYO OBJETO ES AUNAR ESFUERZOS TÉCNICOS ADTIVOS Y FINANCIEROS ENTRE LAS PARTES PARA PROMOVER LOS ESTUDIOS, DISEÑOS Y CONSTRUCCIÓN (OBRA) DE LA SEDE ADMINISTRATIVA DE LA ALCALDÍA MUNICIPAL DE LÓPEZ DE MICAY</t>
  </si>
  <si>
    <t>SPSCC 4 PRORR 2 MODIF Y 1 ADICION AL CONV 1982-21 CUYO OBJETO ES AUNAR ESFUERZOS TÉCNICOS, ADTIVOS Y FINANCIEROS ENTRE LAS PARTES PARA PROMOVER LA CONV CIUDADANA, A TRAVÉS DE LA EJECUCIÓN DE UN PROYECTO SACUDETE AL PARQUE TIPO 1 EN EL MPIO DE SAN DIEGO – C</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</si>
  <si>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</si>
  <si>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</si>
  <si>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</si>
  <si>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</si>
  <si>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</si>
  <si>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</si>
  <si>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</si>
  <si>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</si>
  <si>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4 PRORR Y 2 MODIF AL CONV 945-21 CUYO OBJETO ES AUNAR ESFUERZOS TÉCNICOS, ADTIVOS Y FINANCIEROS ENTRE LAS PARTES PARA PROMOVER LA CONV CIUDADANA, A TRAVES DE LA EJECUCION DE UN PROYECTO SACUDETE AL PARQUE TIPO 2 EN EL MPIO DE IBAGUE – TOLIMA</t>
  </si>
  <si>
    <t>SPSCC 3 PRORR MODIF Y 1 ADICION AL CONV 1547-20 CUYO OBJETO ES AUNAR ESFUERZOS TÉCNICOS, ADTIVOS Y FINANCIEROS ENTRE LAS PARTES PARA PARA PROMOVER LOS ESTUDIOS DISEÑOS Y CONSTRUCCIÓN DEL CENTRO ADMINISTRATIVO MUNICIPAL DE SANTIAGO DE TOLÚ DPTO DE SUCRE</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</si>
  <si>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</si>
  <si>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</si>
  <si>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</si>
  <si>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</si>
  <si>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</si>
  <si>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</si>
  <si>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</si>
  <si>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</si>
  <si>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</si>
  <si>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</si>
  <si>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</si>
  <si>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</si>
  <si>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</si>
  <si>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</si>
  <si>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</si>
  <si>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</si>
  <si>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</si>
  <si>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</si>
  <si>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</si>
  <si>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</si>
  <si>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CONV-2013-21 FONSECON 2ª MODIFICACIÓN 4ª PRÓRROGA, AUNAR ESFUERZOS TÉCNICOS, ADMITIVOS Y FNCROS ENTRE LAS PARTES PARA PROMOVER LA CONVIVENCIA CIUDADANA, A TRAVÉS DE LA EJECUCIÓN DE UN PROYECTO SACÚDETE AL PARQUE TIPO 1 EN EL MUNICIPIO DE ESPINAL TOLI</t>
  </si>
  <si>
    <t>32101617;43233201</t>
  </si>
  <si>
    <t>43211507;43212105;43202205;43202215;27113203;39121440</t>
  </si>
  <si>
    <t>43211507;43211503;43211711;44101503</t>
  </si>
  <si>
    <t>43211701;43231509</t>
  </si>
  <si>
    <t>43222825;43221501;81161707;81161708;81161709;72103302</t>
  </si>
  <si>
    <t>56111501;52161505;56101703;56112104;56111513</t>
  </si>
  <si>
    <t>72154302;73152108</t>
  </si>
  <si>
    <t>56121005;56101701;24102004;56101713;56111701;56101703</t>
  </si>
  <si>
    <t>76111600;76122306;76122307;76122309;76122311</t>
  </si>
  <si>
    <t>78111500;78111800;90111500</t>
  </si>
  <si>
    <t>78131602;44111515;76111501;80161506</t>
  </si>
  <si>
    <t>95122304;95131500;81101513;80101600</t>
  </si>
  <si>
    <t>92121801;92121500</t>
  </si>
  <si>
    <t>86132000;86111500</t>
  </si>
  <si>
    <t>93121600;93141501;93141506;93141600;94132000;93131501;93131502</t>
  </si>
  <si>
    <t xml:space="preserve">81101513;80101600 </t>
  </si>
  <si>
    <t>82121504;82141501</t>
  </si>
  <si>
    <t>82101500;82101600;82101800;82101900</t>
  </si>
  <si>
    <t>80111623;80141607;80141902;80161502;80161507;81141601;81141604;81141606;90101601;90101603;90101604;90111601;90111602;90111603;90151802;93141701;93141702</t>
  </si>
  <si>
    <t>94131503;94131504;80101600;93141900;94132000;94131805;93141706;93141600</t>
  </si>
  <si>
    <t>80101600;80141902;86141501;93141500;93141501</t>
  </si>
  <si>
    <t>86101705;93121600</t>
  </si>
  <si>
    <t>GITEP</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</si>
  <si>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</si>
  <si>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</si>
  <si>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</si>
  <si>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</si>
  <si>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</si>
  <si>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</si>
  <si>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</si>
  <si>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C-3702-1000-15-600011-3702023-02</t>
  </si>
  <si>
    <t>C-3702-1000-15-600012-3702023-02</t>
  </si>
  <si>
    <t>C-3702-1000-15-600013-3702023-02</t>
  </si>
  <si>
    <t>C-3702-1000-15-600014-3702023-02</t>
  </si>
  <si>
    <t>C-3702-1000-15-600011-3702021-02</t>
  </si>
  <si>
    <t>C-3702-1000-15-600012-3702021-02</t>
  </si>
  <si>
    <t>C-3702-1000-15-600013-3702021-02</t>
  </si>
  <si>
    <t>C-3702-1000-15-600014-3702021-02</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</si>
  <si>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</si>
  <si>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</si>
  <si>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</si>
  <si>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</si>
  <si>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</si>
  <si>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</si>
  <si>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</si>
  <si>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</si>
  <si>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</si>
  <si>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</si>
  <si>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</si>
  <si>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</si>
  <si>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</si>
  <si>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</si>
  <si>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</si>
  <si>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</si>
  <si>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</si>
  <si>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</si>
  <si>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Desarrollar lineamientos de competencia del Ministerio del Interior en  construcción de Paz</t>
  </si>
  <si>
    <t>93121607;80101604;80141902;86101705;78111502;78111808</t>
  </si>
  <si>
    <t>Garantizar espacios físicos funcionales para la preservación de la seguridad y la promoción de la convivencia ciudadana.</t>
  </si>
  <si>
    <t xml:space="preserve">Generar una cultura de paz en la cotidianidad de poblaciones y territorios, con enfoque territorial, étnico y de género. </t>
  </si>
  <si>
    <t>Implementar y modernizar herramientas tecnológicas para la seguridad y convivencia ciudadana</t>
  </si>
  <si>
    <t>Gestionar la implementación  de iniciativas tendientes a la implementación de la Política de Paz Total.</t>
  </si>
  <si>
    <t>Articular con las  entidades del orden nacional y/o territorial e instancias de paz  para la  implementación de las acciones asociadas a la Política de Paz Total</t>
  </si>
  <si>
    <t>Apoyar la Implementación de los lineamientos étnicos y Planes de Acción Inmediata (PAI) relacionados con los procesos de paz.</t>
  </si>
  <si>
    <t>C-3702-1000-16</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</si>
  <si>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</si>
  <si>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</si>
  <si>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r>
      <t xml:space="preserve">SAF: </t>
    </r>
    <r>
      <rPr>
        <b/>
        <sz val="10"/>
        <color theme="1"/>
        <rFont val="Arial"/>
        <family val="2"/>
      </rPr>
      <t xml:space="preserve"> </t>
    </r>
    <r>
      <rPr>
        <sz val="10"/>
        <color theme="1"/>
        <rFont val="Arial"/>
        <family val="2"/>
      </rPr>
      <t>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r>
  </si>
  <si>
    <t>43232400;43191500;43231500</t>
  </si>
  <si>
    <t>93141500;93101500;93141600</t>
  </si>
  <si>
    <t>86141600;86101700;86101705</t>
  </si>
  <si>
    <t>80101600;93101500;93151500</t>
  </si>
  <si>
    <t>SPSCC Adquisición soporte y mantenimiento plataforma – BPM - Auraquantic en cumplimiento al anexo técnico dispuesto por la entidad.</t>
  </si>
  <si>
    <t>C-3702-1000-17</t>
  </si>
  <si>
    <t>C-3702-1000-18</t>
  </si>
  <si>
    <t>C-3704-1000-8</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</si>
  <si>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</si>
  <si>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C-3701-1000-33</t>
  </si>
  <si>
    <t>VDG Suministrar el transporte aéreo en vuelos Nacionales e Internacionales para los funcionarios, contratistas del Ministerio del Interior y funcionarios de la Policía Nacional que prestan sus servicios de protección y seguridad en el Ministerio del Interior.</t>
  </si>
  <si>
    <t>CP-Adquisición soporte y mantenimiento plataforma – BPM - Auraquantic en cumplimiento al anexo técnico dispuesto por la entidad.</t>
  </si>
  <si>
    <t>Fortalecimiento de capacidades y habilidades de los grupos étnicos, ejecutores e institucionalidad interviniente para la participación en los procesos de consulta previa</t>
  </si>
  <si>
    <t>C-3799-1000-01-53106a</t>
  </si>
  <si>
    <t>80111623;80141607;80141902;78111502;78111502;78111802;78111803;78111808;80141607; 80161502;80161507;81141601;81141604;81141606;80141902;90101601,90101602;90101603;90101604;90101501;90111501,90111502,90111503;90111504,90111601,90111602,90111603;90121502;90151802;90151803,93141701;93141702;93141706;93141707;93141709;93141710;</t>
  </si>
  <si>
    <t>CP-Contratar los servicios técnicos y administrativos para estructurar e implementar programas de formación y capacitación en el fortalecimiento de capacidades y habilidades de los grupos étnicos, ejecutores e institucionalidad interviniente para la participación en los procesos de consulta previa</t>
  </si>
  <si>
    <t>CP-Adquisición de equipos tecnológicos, elementos, accesorios y periféricos para el ministerio del interior - Dirección de la Autoridad Nacional de Consulta Previa</t>
  </si>
  <si>
    <t>43201827;43202205;32101602;43201803;55121502;52161512;52161512;43202215;27113203;47121602;32131023;43201554;39121440;42212004</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</si>
  <si>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</si>
  <si>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ADQUISICIÓN DE EQUIPOS DE COMUNICACIÓN MOTOROLA PARA EL FORTALECIMIENTO DE LA RED DE COMUNICACIONES DEL COMANDO GENERAL DE LAS FUERZAS MILITARES - COMANDO CONJUNTO DE OPERACIONES ESPECIALES - CCOES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</si>
</sst>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quot;$&quot;\ #,##0;[Red]&quot;$&quot;\ #,##0"/>
  </numFmts>
  <fonts count="40"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sz val="14"/>
      <color rgb="FFCC0000"/>
      <name val="Calibri"/>
      <family val="2"/>
      <charset val="1"/>
    </font>
    <font>
      <b/>
      <sz val="12"/>
      <color theme="0"/>
      <name val="Arial"/>
      <family val="2"/>
    </font>
    <font>
      <sz val="12"/>
      <color theme="0"/>
      <name val="Arial"/>
      <family val="2"/>
    </font>
    <font>
      <u/>
      <sz val="11"/>
      <color theme="1"/>
      <name val="Arial"/>
      <family val="2"/>
    </font>
    <font>
      <u/>
      <sz val="11"/>
      <color theme="1"/>
      <name val="Calibri"/>
      <family val="2"/>
      <scheme val="minor"/>
    </font>
    <font>
      <b/>
      <sz val="10"/>
      <color theme="1"/>
      <name val="Arial"/>
      <family val="2"/>
    </font>
    <font>
      <sz val="10"/>
      <color theme="1"/>
      <name val="Verdana"/>
      <family val="2"/>
    </font>
  </fonts>
  <fills count="13">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5" fillId="0" borderId="0"/>
    <xf numFmtId="0" fontId="26" fillId="0" borderId="0" applyNumberFormat="0" applyFill="0" applyBorder="0" applyAlignment="0" applyProtection="0"/>
    <xf numFmtId="43" fontId="21" fillId="0" borderId="0" applyFont="0" applyFill="0" applyBorder="0" applyAlignment="0" applyProtection="0"/>
    <xf numFmtId="0" fontId="1" fillId="0" borderId="0"/>
    <xf numFmtId="0" fontId="27" fillId="0" borderId="0" applyNumberFormat="0" applyFill="0" applyBorder="0" applyAlignment="0" applyProtection="0"/>
    <xf numFmtId="0" fontId="1" fillId="0" borderId="0"/>
    <xf numFmtId="0" fontId="21" fillId="0" borderId="0"/>
    <xf numFmtId="0" fontId="8" fillId="0" borderId="0"/>
    <xf numFmtId="0" fontId="8" fillId="0" borderId="0"/>
    <xf numFmtId="41" fontId="25" fillId="0" borderId="0" applyFont="0" applyFill="0" applyBorder="0" applyAlignment="0" applyProtection="0"/>
    <xf numFmtId="44" fontId="25" fillId="0" borderId="0" applyFont="0" applyFill="0" applyBorder="0" applyAlignment="0" applyProtection="0"/>
    <xf numFmtId="0" fontId="28" fillId="0" borderId="0"/>
    <xf numFmtId="41" fontId="28" fillId="0" borderId="0" applyFont="0" applyFill="0" applyBorder="0" applyAlignment="0" applyProtection="0"/>
    <xf numFmtId="0" fontId="21" fillId="0" borderId="0"/>
    <xf numFmtId="0" fontId="21" fillId="0" borderId="0"/>
    <xf numFmtId="0" fontId="1" fillId="0" borderId="0"/>
    <xf numFmtId="0" fontId="6" fillId="0" borderId="0" applyNumberFormat="0" applyFill="0" applyBorder="0" applyAlignment="0" applyProtection="0"/>
    <xf numFmtId="0" fontId="29" fillId="0" borderId="0" applyNumberFormat="0" applyFill="0" applyBorder="0" applyAlignment="0" applyProtection="0"/>
    <xf numFmtId="44" fontId="21" fillId="0" borderId="0" applyFont="0" applyFill="0" applyBorder="0" applyAlignment="0" applyProtection="0"/>
    <xf numFmtId="0" fontId="1" fillId="0" borderId="0"/>
    <xf numFmtId="0" fontId="21" fillId="0" borderId="0"/>
    <xf numFmtId="43" fontId="28" fillId="0" borderId="0" applyFont="0" applyFill="0" applyBorder="0" applyAlignment="0" applyProtection="0"/>
    <xf numFmtId="0" fontId="1" fillId="0" borderId="0"/>
    <xf numFmtId="0" fontId="6" fillId="0" borderId="0" applyNumberFormat="0" applyFill="0" applyBorder="0" applyAlignment="0" applyProtection="0"/>
  </cellStyleXfs>
  <cellXfs count="263">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18" fillId="0" borderId="0" xfId="0" applyFont="1" applyAlignment="1">
      <alignment wrapText="1"/>
    </xf>
    <xf numFmtId="0" fontId="20" fillId="0" borderId="0" xfId="0" applyFont="1"/>
    <xf numFmtId="0" fontId="8" fillId="0" borderId="0" xfId="0" applyFont="1"/>
    <xf numFmtId="0" fontId="10" fillId="0" borderId="0" xfId="0" applyFont="1" applyAlignment="1">
      <alignment vertical="center"/>
    </xf>
    <xf numFmtId="0" fontId="23" fillId="0" borderId="0" xfId="0" applyFont="1"/>
    <xf numFmtId="0" fontId="10" fillId="0" borderId="0" xfId="0" applyFont="1"/>
    <xf numFmtId="0" fontId="24" fillId="0" borderId="0" xfId="0" applyFont="1"/>
    <xf numFmtId="0" fontId="22" fillId="0" borderId="24" xfId="0" applyFont="1" applyBorder="1"/>
    <xf numFmtId="0" fontId="21"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28"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1" fillId="0" borderId="0" xfId="0" applyFont="1"/>
    <xf numFmtId="0" fontId="22" fillId="0" borderId="0" xfId="0" applyFont="1" applyAlignment="1">
      <alignment vertical="center" wrapText="1"/>
    </xf>
    <xf numFmtId="0" fontId="22" fillId="0" borderId="0" xfId="0" applyFont="1" applyAlignment="1">
      <alignment vertical="center"/>
    </xf>
    <xf numFmtId="0" fontId="22" fillId="0" borderId="0" xfId="0" applyFont="1"/>
    <xf numFmtId="0" fontId="22" fillId="0" borderId="0" xfId="0" applyFont="1" applyAlignment="1">
      <alignment horizontal="center" vertical="center"/>
    </xf>
    <xf numFmtId="0" fontId="22"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1" fillId="0" borderId="0" xfId="0" applyNumberFormat="1" applyFont="1"/>
    <xf numFmtId="0" fontId="4" fillId="0" borderId="25" xfId="0" applyFont="1" applyBorder="1" applyAlignment="1">
      <alignment wrapText="1"/>
    </xf>
    <xf numFmtId="0" fontId="4" fillId="0" borderId="25" xfId="0" applyFont="1" applyBorder="1"/>
    <xf numFmtId="0" fontId="20" fillId="0" borderId="25" xfId="0" applyFont="1" applyBorder="1"/>
    <xf numFmtId="0" fontId="21"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2" fillId="0" borderId="0" xfId="0" applyFont="1" applyAlignment="1">
      <alignment horizontal="center" vertical="center" wrapText="1"/>
    </xf>
    <xf numFmtId="0" fontId="21" fillId="0" borderId="0" xfId="0" applyFont="1" applyAlignment="1">
      <alignment horizontal="center" vertical="center"/>
    </xf>
    <xf numFmtId="0" fontId="22"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2"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8" fillId="0" borderId="31" xfId="0" applyFont="1" applyBorder="1" applyAlignment="1">
      <alignment vertical="top" wrapText="1"/>
    </xf>
    <xf numFmtId="0" fontId="5" fillId="0" borderId="32" xfId="0" applyFont="1" applyBorder="1" applyAlignment="1">
      <alignment wrapText="1"/>
    </xf>
    <xf numFmtId="0" fontId="18" fillId="0" borderId="31" xfId="0" applyFont="1" applyBorder="1" applyAlignment="1">
      <alignment vertical="center" wrapText="1"/>
    </xf>
    <xf numFmtId="14" fontId="18" fillId="0" borderId="34" xfId="0" applyNumberFormat="1" applyFont="1" applyBorder="1" applyAlignment="1">
      <alignment horizontal="left" vertical="center" wrapText="1"/>
    </xf>
    <xf numFmtId="0" fontId="19" fillId="0" borderId="29" xfId="5" applyFont="1" applyBorder="1" applyAlignment="1" applyProtection="1">
      <alignment vertical="center" wrapText="1"/>
    </xf>
    <xf numFmtId="0" fontId="0" fillId="0" borderId="0" xfId="0" applyAlignment="1">
      <alignment horizontal="center"/>
    </xf>
    <xf numFmtId="0" fontId="31" fillId="0" borderId="6" xfId="0" applyFont="1" applyBorder="1" applyAlignment="1">
      <alignment horizontal="center" vertical="center" wrapText="1"/>
    </xf>
    <xf numFmtId="0" fontId="31" fillId="0" borderId="7" xfId="0" applyFont="1" applyBorder="1" applyAlignment="1">
      <alignment wrapText="1"/>
    </xf>
    <xf numFmtId="0" fontId="31" fillId="0" borderId="30" xfId="0" applyFont="1" applyBorder="1" applyAlignment="1">
      <alignment horizontal="center" vertical="center" wrapText="1"/>
    </xf>
    <xf numFmtId="0" fontId="31" fillId="0" borderId="31" xfId="0" applyFont="1" applyBorder="1" applyAlignment="1">
      <alignment wrapText="1"/>
    </xf>
    <xf numFmtId="0" fontId="31" fillId="0" borderId="28" xfId="0" applyFont="1" applyBorder="1"/>
    <xf numFmtId="0" fontId="32" fillId="0" borderId="31" xfId="5" applyFont="1" applyBorder="1" applyAlignment="1" applyProtection="1">
      <alignment wrapText="1"/>
    </xf>
    <xf numFmtId="0" fontId="31" fillId="0" borderId="33" xfId="0" applyFont="1" applyBorder="1" applyAlignment="1">
      <alignment horizontal="center" vertical="center" wrapText="1"/>
    </xf>
    <xf numFmtId="0" fontId="33" fillId="0" borderId="0" xfId="0" applyFont="1" applyAlignment="1">
      <alignment horizontal="center" wrapText="1"/>
    </xf>
    <xf numFmtId="0" fontId="21" fillId="0" borderId="0" xfId="34" applyAlignment="1">
      <alignment horizontal="center"/>
    </xf>
    <xf numFmtId="0" fontId="14" fillId="0" borderId="16" xfId="34" applyFont="1" applyBorder="1" applyAlignment="1">
      <alignment horizontal="center" vertical="top"/>
    </xf>
    <xf numFmtId="0" fontId="14" fillId="0" borderId="16" xfId="34" applyFont="1" applyBorder="1" applyAlignment="1">
      <alignment horizontal="left" vertical="top"/>
    </xf>
    <xf numFmtId="0" fontId="14" fillId="0" borderId="16" xfId="34" applyFont="1" applyBorder="1" applyAlignment="1">
      <alignment vertical="top"/>
    </xf>
    <xf numFmtId="3" fontId="14" fillId="0" borderId="16" xfId="34" applyNumberFormat="1" applyFont="1" applyBorder="1" applyAlignment="1">
      <alignment horizontal="right" vertical="top"/>
    </xf>
    <xf numFmtId="1" fontId="14" fillId="0" borderId="16" xfId="34" applyNumberFormat="1" applyFont="1" applyBorder="1" applyAlignment="1">
      <alignment horizontal="left" vertical="top"/>
    </xf>
    <xf numFmtId="0" fontId="14" fillId="0" borderId="16" xfId="34" applyFont="1" applyBorder="1" applyAlignment="1">
      <alignment horizontal="left" vertical="center"/>
    </xf>
    <xf numFmtId="0" fontId="4" fillId="0" borderId="0" xfId="34" applyFont="1" applyProtection="1">
      <protection hidden="1"/>
    </xf>
    <xf numFmtId="0" fontId="21" fillId="0" borderId="0" xfId="34" applyProtection="1">
      <protection hidden="1"/>
    </xf>
    <xf numFmtId="0" fontId="14" fillId="0" borderId="0" xfId="34" applyFont="1" applyAlignment="1">
      <alignment horizontal="center" vertical="top"/>
    </xf>
    <xf numFmtId="0" fontId="14" fillId="0" borderId="0" xfId="34" applyFont="1" applyAlignment="1">
      <alignment horizontal="left" vertical="top"/>
    </xf>
    <xf numFmtId="0" fontId="14" fillId="0" borderId="0" xfId="34" applyFont="1" applyAlignment="1">
      <alignment vertical="top"/>
    </xf>
    <xf numFmtId="3" fontId="14" fillId="0" borderId="0" xfId="34" applyNumberFormat="1" applyFont="1" applyAlignment="1">
      <alignment horizontal="right" vertical="top"/>
    </xf>
    <xf numFmtId="1" fontId="14" fillId="0" borderId="0" xfId="34" applyNumberFormat="1" applyFont="1" applyAlignment="1">
      <alignment horizontal="left" vertical="top"/>
    </xf>
    <xf numFmtId="0" fontId="14" fillId="0" borderId="0" xfId="34" applyFont="1" applyAlignment="1">
      <alignment horizontal="left" vertical="center"/>
    </xf>
    <xf numFmtId="0" fontId="14" fillId="0" borderId="0" xfId="34" applyFont="1" applyAlignment="1" applyProtection="1">
      <alignment horizontal="left" vertical="center" wrapText="1"/>
      <protection hidden="1"/>
    </xf>
    <xf numFmtId="0" fontId="22" fillId="0" borderId="0" xfId="34" applyFont="1" applyProtection="1">
      <protection hidden="1"/>
    </xf>
    <xf numFmtId="3" fontId="34" fillId="10" borderId="22" xfId="34" applyNumberFormat="1" applyFont="1" applyFill="1" applyBorder="1" applyAlignment="1">
      <alignment horizontal="center" vertical="center" wrapText="1"/>
    </xf>
    <xf numFmtId="3" fontId="34" fillId="10" borderId="23" xfId="34" applyNumberFormat="1" applyFont="1" applyFill="1" applyBorder="1" applyAlignment="1">
      <alignment horizontal="center" vertical="center" wrapText="1"/>
    </xf>
    <xf numFmtId="0" fontId="14" fillId="0" borderId="0" xfId="34" applyFont="1" applyProtection="1">
      <protection hidden="1"/>
    </xf>
    <xf numFmtId="0" fontId="21" fillId="0" borderId="0" xfId="34" applyAlignment="1" applyProtection="1">
      <alignment horizontal="center"/>
      <protection hidden="1"/>
    </xf>
    <xf numFmtId="0" fontId="21" fillId="0" borderId="0" xfId="34" applyAlignment="1" applyProtection="1">
      <alignment horizontal="left"/>
      <protection hidden="1"/>
    </xf>
    <xf numFmtId="3" fontId="21" fillId="0" borderId="0" xfId="34" applyNumberFormat="1" applyAlignment="1" applyProtection="1">
      <alignment horizontal="right"/>
      <protection hidden="1"/>
    </xf>
    <xf numFmtId="1" fontId="21" fillId="0" borderId="0" xfId="34" applyNumberFormat="1" applyAlignment="1" applyProtection="1">
      <alignment horizontal="left"/>
      <protection hidden="1"/>
    </xf>
    <xf numFmtId="0" fontId="21" fillId="0" borderId="0" xfId="34" applyAlignment="1" applyProtection="1">
      <alignment horizontal="left" vertical="center"/>
      <protection hidden="1"/>
    </xf>
    <xf numFmtId="0" fontId="8" fillId="0" borderId="0" xfId="33" applyFont="1" applyAlignment="1">
      <alignment horizontal="left" vertical="center"/>
    </xf>
    <xf numFmtId="0" fontId="30" fillId="0" borderId="3" xfId="0" applyFont="1" applyBorder="1" applyAlignment="1">
      <alignment horizontal="center"/>
    </xf>
    <xf numFmtId="0" fontId="30" fillId="0" borderId="4" xfId="0" applyFont="1" applyBorder="1" applyAlignment="1">
      <alignment horizontal="center"/>
    </xf>
    <xf numFmtId="0" fontId="30" fillId="0" borderId="5" xfId="0" applyFont="1" applyBorder="1" applyAlignment="1">
      <alignment horizontal="center"/>
    </xf>
    <xf numFmtId="0" fontId="31" fillId="0" borderId="2" xfId="0" applyFont="1" applyBorder="1" applyAlignment="1">
      <alignment horizontal="center"/>
    </xf>
    <xf numFmtId="0" fontId="18" fillId="0" borderId="0" xfId="0" applyFont="1" applyAlignment="1">
      <alignment horizontal="center" wrapText="1"/>
    </xf>
    <xf numFmtId="0" fontId="18" fillId="0" borderId="8" xfId="0" applyFont="1" applyBorder="1" applyAlignment="1">
      <alignment horizontal="left" wrapText="1"/>
    </xf>
    <xf numFmtId="0" fontId="18" fillId="0" borderId="2" xfId="0" applyFont="1" applyBorder="1" applyAlignment="1">
      <alignment horizontal="left" wrapText="1"/>
    </xf>
    <xf numFmtId="0" fontId="18" fillId="0" borderId="9" xfId="0" applyFont="1" applyBorder="1" applyAlignment="1">
      <alignment horizontal="left" wrapText="1"/>
    </xf>
    <xf numFmtId="0" fontId="18" fillId="0" borderId="10" xfId="0" applyFont="1" applyBorder="1" applyAlignment="1">
      <alignment horizontal="left" wrapText="1"/>
    </xf>
    <xf numFmtId="0" fontId="18" fillId="0" borderId="0" xfId="0" applyFont="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18" fillId="0" borderId="14" xfId="0" applyFont="1" applyBorder="1" applyAlignment="1">
      <alignment horizontal="left" wrapText="1"/>
    </xf>
    <xf numFmtId="0" fontId="7" fillId="12" borderId="25" xfId="34" applyFont="1" applyFill="1" applyBorder="1" applyAlignment="1">
      <alignment horizontal="center" vertical="center" wrapText="1"/>
    </xf>
    <xf numFmtId="0" fontId="7" fillId="12" borderId="40" xfId="34" applyFont="1" applyFill="1" applyBorder="1" applyAlignment="1">
      <alignment horizontal="center" vertical="center" wrapText="1"/>
    </xf>
    <xf numFmtId="0" fontId="7" fillId="12" borderId="17" xfId="34" applyFont="1" applyFill="1" applyBorder="1" applyAlignment="1">
      <alignment horizontal="center" vertical="center" wrapText="1"/>
    </xf>
    <xf numFmtId="0" fontId="7" fillId="12" borderId="22" xfId="34" applyFont="1" applyFill="1" applyBorder="1" applyAlignment="1">
      <alignment horizontal="center" vertical="center" wrapText="1"/>
    </xf>
    <xf numFmtId="3" fontId="7" fillId="12" borderId="17" xfId="34" applyNumberFormat="1" applyFont="1" applyFill="1" applyBorder="1" applyAlignment="1">
      <alignment horizontal="center" vertical="center" wrapText="1"/>
    </xf>
    <xf numFmtId="3" fontId="7" fillId="12" borderId="22" xfId="34" applyNumberFormat="1" applyFont="1" applyFill="1" applyBorder="1" applyAlignment="1">
      <alignment horizontal="center" vertical="center" wrapText="1"/>
    </xf>
    <xf numFmtId="0" fontId="7" fillId="12" borderId="21" xfId="34" applyFont="1" applyFill="1" applyBorder="1" applyAlignment="1">
      <alignment horizontal="center" vertical="center" wrapText="1"/>
    </xf>
    <xf numFmtId="0" fontId="7" fillId="12" borderId="42" xfId="34" applyFont="1" applyFill="1" applyBorder="1" applyAlignment="1">
      <alignment horizontal="center" vertical="center" wrapText="1"/>
    </xf>
    <xf numFmtId="0" fontId="34" fillId="10" borderId="17" xfId="34" applyFont="1" applyFill="1" applyBorder="1" applyAlignment="1">
      <alignment horizontal="center" vertical="center" wrapText="1"/>
    </xf>
    <xf numFmtId="0" fontId="34" fillId="10" borderId="22" xfId="34" applyFont="1" applyFill="1" applyBorder="1" applyAlignment="1">
      <alignment horizontal="center" vertical="center" wrapText="1"/>
    </xf>
    <xf numFmtId="3" fontId="34" fillId="10" borderId="18" xfId="34" applyNumberFormat="1" applyFont="1" applyFill="1" applyBorder="1" applyAlignment="1">
      <alignment horizontal="center" vertical="center" wrapText="1"/>
    </xf>
    <xf numFmtId="3" fontId="35" fillId="11" borderId="19" xfId="34" applyNumberFormat="1" applyFont="1" applyFill="1" applyBorder="1" applyAlignment="1">
      <alignment horizontal="center"/>
    </xf>
    <xf numFmtId="3" fontId="35" fillId="11" borderId="20" xfId="34" applyNumberFormat="1" applyFont="1" applyFill="1" applyBorder="1" applyAlignment="1">
      <alignment horizontal="center"/>
    </xf>
    <xf numFmtId="1" fontId="7" fillId="12" borderId="17" xfId="34" applyNumberFormat="1" applyFont="1" applyFill="1" applyBorder="1" applyAlignment="1">
      <alignment horizontal="center" vertical="center" wrapText="1"/>
    </xf>
    <xf numFmtId="1" fontId="7" fillId="12" borderId="22" xfId="34" applyNumberFormat="1" applyFont="1" applyFill="1" applyBorder="1" applyAlignment="1">
      <alignment horizontal="center" vertical="center" wrapText="1"/>
    </xf>
    <xf numFmtId="0" fontId="7" fillId="12" borderId="17" xfId="34" applyFont="1" applyFill="1" applyBorder="1" applyAlignment="1">
      <alignment horizontal="center" vertical="center"/>
    </xf>
    <xf numFmtId="0" fontId="7" fillId="12" borderId="22" xfId="34" applyFont="1" applyFill="1" applyBorder="1" applyAlignment="1">
      <alignment horizontal="center" vertical="center"/>
    </xf>
    <xf numFmtId="0" fontId="21" fillId="0" borderId="0" xfId="0" applyFont="1"/>
    <xf numFmtId="0" fontId="22" fillId="0" borderId="0" xfId="0" applyFont="1" applyAlignment="1">
      <alignment horizontal="left" vertical="center" wrapText="1"/>
    </xf>
    <xf numFmtId="0" fontId="22" fillId="0" borderId="0" xfId="0" applyFont="1" applyAlignment="1">
      <alignment vertical="center" wrapText="1"/>
    </xf>
    <xf numFmtId="0" fontId="22" fillId="0" borderId="0" xfId="0" applyFont="1" applyAlignment="1">
      <alignment vertical="center"/>
    </xf>
    <xf numFmtId="0" fontId="22" fillId="0" borderId="0" xfId="0" applyFont="1"/>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2" fillId="0" borderId="0" xfId="0" applyFont="1" applyAlignment="1">
      <alignment horizontal="center" vertical="center"/>
    </xf>
    <xf numFmtId="0" fontId="22" fillId="0" borderId="0" xfId="0" applyFont="1" applyAlignment="1">
      <alignment horizontal="left" vertical="center"/>
    </xf>
    <xf numFmtId="0" fontId="22" fillId="0" borderId="24" xfId="0" applyFont="1" applyBorder="1" applyAlignment="1">
      <alignment horizontal="left"/>
    </xf>
    <xf numFmtId="0" fontId="22" fillId="0" borderId="27" xfId="0" applyFont="1" applyBorder="1" applyAlignment="1">
      <alignment horizontal="left" vertical="center"/>
    </xf>
    <xf numFmtId="0" fontId="13" fillId="4" borderId="35" xfId="0" applyFont="1" applyFill="1" applyBorder="1" applyAlignment="1">
      <alignment horizontal="center"/>
    </xf>
    <xf numFmtId="0" fontId="13" fillId="4" borderId="25" xfId="0" applyFont="1" applyFill="1" applyBorder="1" applyAlignment="1">
      <alignment horizontal="center"/>
    </xf>
    <xf numFmtId="0" fontId="13" fillId="4" borderId="25" xfId="33" applyFont="1" applyFill="1" applyBorder="1" applyAlignment="1">
      <alignment horizontal="left" vertical="center"/>
    </xf>
    <xf numFmtId="3" fontId="13" fillId="4" borderId="25" xfId="33" applyNumberFormat="1" applyFont="1" applyFill="1" applyBorder="1" applyAlignment="1">
      <alignment horizontal="right" vertical="center"/>
    </xf>
    <xf numFmtId="1" fontId="13" fillId="4" borderId="25" xfId="33" applyNumberFormat="1" applyFont="1" applyFill="1" applyBorder="1" applyAlignment="1">
      <alignment horizontal="left" vertical="center"/>
    </xf>
    <xf numFmtId="3" fontId="13" fillId="4" borderId="25" xfId="33" applyNumberFormat="1" applyFont="1" applyFill="1" applyBorder="1" applyAlignment="1">
      <alignment horizontal="left" vertical="center"/>
    </xf>
    <xf numFmtId="3" fontId="13" fillId="4" borderId="25" xfId="33" applyNumberFormat="1" applyFont="1" applyFill="1" applyBorder="1" applyAlignment="1">
      <alignment horizontal="center" vertical="center"/>
    </xf>
    <xf numFmtId="49" fontId="13" fillId="4" borderId="25" xfId="2" applyFont="1" applyFill="1" applyBorder="1" applyAlignment="1">
      <alignment horizontal="center" vertical="center"/>
    </xf>
    <xf numFmtId="0" fontId="13" fillId="4" borderId="25" xfId="2" applyNumberFormat="1" applyFont="1" applyFill="1" applyBorder="1" applyAlignment="1">
      <alignment horizontal="center" vertical="center"/>
    </xf>
    <xf numFmtId="0" fontId="13" fillId="4" borderId="25" xfId="0" applyFont="1" applyFill="1" applyBorder="1" applyAlignment="1" applyProtection="1">
      <alignment horizontal="center"/>
      <protection locked="0"/>
    </xf>
    <xf numFmtId="0" fontId="13" fillId="4" borderId="25" xfId="0" applyFont="1" applyFill="1" applyBorder="1" applyAlignment="1">
      <alignment vertical="center" wrapText="1"/>
    </xf>
    <xf numFmtId="0" fontId="13" fillId="4" borderId="25" xfId="0" applyFont="1" applyFill="1" applyBorder="1" applyAlignment="1">
      <alignment horizontal="center" vertical="center" wrapText="1"/>
    </xf>
    <xf numFmtId="3" fontId="13" fillId="4" borderId="25" xfId="2" applyNumberFormat="1" applyFont="1" applyFill="1" applyBorder="1" applyAlignment="1" applyProtection="1">
      <alignment horizontal="right" vertical="center"/>
      <protection locked="0"/>
    </xf>
    <xf numFmtId="49" fontId="13" fillId="4" borderId="25" xfId="2" applyFont="1" applyFill="1" applyBorder="1" applyAlignment="1" applyProtection="1">
      <alignment horizontal="center" vertical="center"/>
      <protection locked="0"/>
    </xf>
    <xf numFmtId="0" fontId="13" fillId="4" borderId="25" xfId="0" applyFont="1" applyFill="1" applyBorder="1"/>
    <xf numFmtId="0" fontId="13" fillId="4" borderId="25" xfId="0" applyFont="1" applyFill="1" applyBorder="1" applyAlignment="1">
      <alignment horizontal="left"/>
    </xf>
    <xf numFmtId="0" fontId="13" fillId="4" borderId="25" xfId="0" applyFont="1" applyFill="1" applyBorder="1" applyAlignment="1" applyProtection="1">
      <alignment horizontal="center" vertical="center" wrapText="1"/>
      <protection locked="0"/>
    </xf>
    <xf numFmtId="0" fontId="13" fillId="4" borderId="36" xfId="0" applyFont="1" applyFill="1" applyBorder="1" applyAlignment="1">
      <alignment horizontal="left"/>
    </xf>
    <xf numFmtId="0" fontId="13" fillId="4" borderId="0" xfId="0" applyFont="1" applyFill="1"/>
    <xf numFmtId="3" fontId="13" fillId="4" borderId="0" xfId="33" applyNumberFormat="1" applyFont="1" applyFill="1" applyAlignment="1">
      <alignment horizontal="center" vertical="center"/>
    </xf>
    <xf numFmtId="49" fontId="13" fillId="4" borderId="0" xfId="2" applyFont="1" applyFill="1" applyAlignment="1">
      <alignment horizontal="center" vertical="center"/>
    </xf>
    <xf numFmtId="0" fontId="13" fillId="4" borderId="0" xfId="2" applyNumberFormat="1" applyFont="1" applyFill="1" applyAlignment="1">
      <alignment horizontal="center" vertical="center"/>
    </xf>
    <xf numFmtId="0" fontId="13" fillId="4" borderId="25" xfId="0" applyFont="1" applyFill="1" applyBorder="1" applyAlignment="1" applyProtection="1">
      <alignment horizontal="center"/>
      <protection hidden="1"/>
    </xf>
    <xf numFmtId="0" fontId="13" fillId="4" borderId="25" xfId="34" applyFont="1" applyFill="1" applyBorder="1" applyAlignment="1" applyProtection="1">
      <alignment horizontal="center"/>
      <protection hidden="1"/>
    </xf>
    <xf numFmtId="0" fontId="13" fillId="4" borderId="0" xfId="0" applyFont="1" applyFill="1" applyProtection="1">
      <protection hidden="1"/>
    </xf>
    <xf numFmtId="0" fontId="13" fillId="4" borderId="0" xfId="0" applyFont="1" applyFill="1" applyAlignment="1" applyProtection="1">
      <alignment horizontal="center" vertical="center" wrapText="1"/>
      <protection locked="0"/>
    </xf>
    <xf numFmtId="0" fontId="13" fillId="4" borderId="25" xfId="0" applyFont="1" applyFill="1" applyBorder="1" applyAlignment="1" applyProtection="1">
      <alignment horizontal="left" vertical="center" wrapText="1"/>
      <protection locked="0"/>
    </xf>
    <xf numFmtId="0" fontId="37" fillId="4" borderId="36" xfId="5" applyFont="1" applyFill="1" applyBorder="1" applyAlignment="1">
      <alignment horizontal="left"/>
    </xf>
    <xf numFmtId="3" fontId="13" fillId="4" borderId="25" xfId="0" applyNumberFormat="1" applyFont="1" applyFill="1" applyBorder="1" applyAlignment="1" applyProtection="1">
      <alignment horizontal="right" vertical="center" wrapText="1"/>
      <protection locked="0"/>
    </xf>
    <xf numFmtId="3" fontId="13" fillId="4" borderId="0" xfId="34" applyNumberFormat="1" applyFont="1" applyFill="1" applyAlignment="1" applyProtection="1">
      <alignment horizontal="right"/>
      <protection hidden="1"/>
    </xf>
    <xf numFmtId="0" fontId="36" fillId="4" borderId="36" xfId="0" applyFont="1" applyFill="1" applyBorder="1" applyAlignment="1" applyProtection="1">
      <alignment horizontal="left" vertical="center" wrapText="1"/>
      <protection locked="0"/>
    </xf>
    <xf numFmtId="0" fontId="13" fillId="4" borderId="0" xfId="0" applyFont="1" applyFill="1" applyAlignment="1" applyProtection="1">
      <alignment horizontal="center"/>
      <protection hidden="1"/>
    </xf>
    <xf numFmtId="171" fontId="13" fillId="4" borderId="25" xfId="0" applyNumberFormat="1" applyFont="1" applyFill="1" applyBorder="1" applyAlignment="1" applyProtection="1">
      <alignment horizontal="center" vertical="center"/>
      <protection locked="0"/>
    </xf>
    <xf numFmtId="0" fontId="13" fillId="4" borderId="25" xfId="0" applyFont="1" applyFill="1" applyBorder="1" applyAlignment="1" applyProtection="1">
      <alignment horizontal="center" vertical="center"/>
      <protection locked="0"/>
    </xf>
    <xf numFmtId="174" fontId="13" fillId="4" borderId="25" xfId="0" applyNumberFormat="1" applyFont="1" applyFill="1" applyBorder="1" applyAlignment="1" applyProtection="1">
      <alignment horizontal="center" vertical="center"/>
      <protection locked="0"/>
    </xf>
    <xf numFmtId="0" fontId="39" fillId="4" borderId="46" xfId="0" applyFont="1" applyFill="1" applyBorder="1" applyAlignment="1">
      <alignment horizontal="left" vertical="center"/>
    </xf>
    <xf numFmtId="0" fontId="13" fillId="4" borderId="25" xfId="0" applyFont="1" applyFill="1" applyBorder="1" applyAlignment="1">
      <alignment horizontal="center" vertical="center"/>
    </xf>
    <xf numFmtId="1" fontId="13" fillId="4" borderId="25" xfId="0" applyNumberFormat="1" applyFont="1" applyFill="1" applyBorder="1" applyAlignment="1" applyProtection="1">
      <alignment horizontal="left" vertical="center"/>
      <protection hidden="1"/>
    </xf>
    <xf numFmtId="1" fontId="13" fillId="4" borderId="25" xfId="0" applyNumberFormat="1" applyFont="1" applyFill="1" applyBorder="1" applyAlignment="1" applyProtection="1">
      <alignment horizontal="center" vertical="center"/>
      <protection hidden="1"/>
    </xf>
    <xf numFmtId="1" fontId="13" fillId="4" borderId="25" xfId="0" applyNumberFormat="1" applyFont="1" applyFill="1" applyBorder="1" applyAlignment="1" applyProtection="1">
      <alignment horizontal="center" vertical="center"/>
      <protection locked="0"/>
    </xf>
    <xf numFmtId="0" fontId="13" fillId="4" borderId="25" xfId="0" applyFont="1" applyFill="1" applyBorder="1" applyAlignment="1" applyProtection="1">
      <alignment horizontal="center" vertical="center"/>
      <protection hidden="1"/>
    </xf>
    <xf numFmtId="0" fontId="13" fillId="4" borderId="25" xfId="0" applyFont="1" applyFill="1" applyBorder="1" applyAlignment="1" applyProtection="1">
      <alignment horizontal="left" vertical="center"/>
      <protection hidden="1"/>
    </xf>
    <xf numFmtId="0" fontId="13" fillId="4" borderId="25" xfId="0" applyFont="1" applyFill="1" applyBorder="1" applyAlignment="1">
      <alignment horizontal="left" vertical="center"/>
    </xf>
    <xf numFmtId="0" fontId="37" fillId="4" borderId="36" xfId="5" applyFont="1" applyFill="1" applyBorder="1" applyAlignment="1">
      <alignment horizontal="left" vertical="center"/>
    </xf>
    <xf numFmtId="0" fontId="13" fillId="4" borderId="37" xfId="0" applyFont="1" applyFill="1" applyBorder="1" applyAlignment="1">
      <alignment horizontal="center"/>
    </xf>
    <xf numFmtId="0" fontId="13" fillId="4" borderId="38" xfId="0" applyFont="1" applyFill="1" applyBorder="1" applyAlignment="1">
      <alignment horizontal="center"/>
    </xf>
    <xf numFmtId="0" fontId="13" fillId="4" borderId="38" xfId="33" applyFont="1" applyFill="1" applyBorder="1" applyAlignment="1">
      <alignment horizontal="left" vertical="center"/>
    </xf>
    <xf numFmtId="3" fontId="13" fillId="4" borderId="38" xfId="33" applyNumberFormat="1" applyFont="1" applyFill="1" applyBorder="1" applyAlignment="1">
      <alignment horizontal="right" vertical="center"/>
    </xf>
    <xf numFmtId="1" fontId="13" fillId="4" borderId="15" xfId="33" applyNumberFormat="1" applyFont="1" applyFill="1" applyBorder="1" applyAlignment="1">
      <alignment horizontal="left" vertical="center"/>
    </xf>
    <xf numFmtId="3" fontId="13" fillId="4" borderId="15" xfId="33" applyNumberFormat="1" applyFont="1" applyFill="1" applyBorder="1" applyAlignment="1">
      <alignment horizontal="left" vertical="center"/>
    </xf>
    <xf numFmtId="0" fontId="13" fillId="4" borderId="15" xfId="0" applyFont="1" applyFill="1" applyBorder="1" applyAlignment="1" applyProtection="1">
      <alignment horizontal="center"/>
      <protection hidden="1"/>
    </xf>
    <xf numFmtId="0" fontId="13" fillId="4" borderId="15" xfId="0" applyFont="1" applyFill="1" applyBorder="1" applyAlignment="1">
      <alignment horizontal="center"/>
    </xf>
    <xf numFmtId="0" fontId="13" fillId="4" borderId="15" xfId="0" applyFont="1" applyFill="1" applyBorder="1" applyAlignment="1" applyProtection="1">
      <alignment horizontal="center"/>
      <protection locked="0"/>
    </xf>
    <xf numFmtId="0" fontId="13" fillId="4" borderId="38" xfId="0" applyFont="1" applyFill="1" applyBorder="1" applyAlignment="1">
      <alignment horizontal="center" vertical="center" wrapText="1"/>
    </xf>
    <xf numFmtId="49" fontId="13" fillId="4" borderId="38" xfId="2" applyFont="1" applyFill="1" applyBorder="1" applyAlignment="1" applyProtection="1">
      <alignment horizontal="center" vertical="center"/>
      <protection locked="0"/>
    </xf>
    <xf numFmtId="0" fontId="13" fillId="4" borderId="38" xfId="0" applyFont="1" applyFill="1" applyBorder="1" applyAlignment="1" applyProtection="1">
      <alignment horizontal="center"/>
      <protection locked="0"/>
    </xf>
    <xf numFmtId="0" fontId="13" fillId="4" borderId="38" xfId="0" applyFont="1" applyFill="1" applyBorder="1"/>
    <xf numFmtId="0" fontId="13" fillId="4" borderId="38" xfId="0" applyFont="1" applyFill="1" applyBorder="1" applyAlignment="1">
      <alignment horizontal="left"/>
    </xf>
    <xf numFmtId="0" fontId="13" fillId="4" borderId="39" xfId="0" applyFont="1" applyFill="1" applyBorder="1" applyAlignment="1">
      <alignment horizontal="left"/>
    </xf>
    <xf numFmtId="1" fontId="13" fillId="4" borderId="25" xfId="33" applyNumberFormat="1" applyFont="1" applyFill="1" applyBorder="1" applyAlignment="1">
      <alignment horizontal="left" vertical="center" wrapText="1"/>
    </xf>
    <xf numFmtId="3" fontId="13" fillId="4" borderId="25" xfId="33" applyNumberFormat="1" applyFont="1" applyFill="1" applyBorder="1" applyAlignment="1">
      <alignment horizontal="left" vertical="center" wrapText="1"/>
    </xf>
    <xf numFmtId="0" fontId="13" fillId="4" borderId="43" xfId="0" applyFont="1" applyFill="1" applyBorder="1" applyAlignment="1">
      <alignment horizontal="center"/>
    </xf>
    <xf numFmtId="0" fontId="13" fillId="4" borderId="44" xfId="0" applyFont="1" applyFill="1" applyBorder="1" applyAlignment="1">
      <alignment horizontal="center"/>
    </xf>
    <xf numFmtId="0" fontId="13" fillId="4" borderId="44" xfId="33" applyFont="1" applyFill="1" applyBorder="1" applyAlignment="1">
      <alignment horizontal="left" vertical="center"/>
    </xf>
    <xf numFmtId="3" fontId="13" fillId="4" borderId="44" xfId="33" applyNumberFormat="1" applyFont="1" applyFill="1" applyBorder="1" applyAlignment="1">
      <alignment horizontal="right" vertical="center"/>
    </xf>
    <xf numFmtId="1" fontId="13" fillId="4" borderId="44" xfId="33" applyNumberFormat="1" applyFont="1" applyFill="1" applyBorder="1" applyAlignment="1">
      <alignment horizontal="left" vertical="center"/>
    </xf>
    <xf numFmtId="3" fontId="13" fillId="4" borderId="44" xfId="33" applyNumberFormat="1" applyFont="1" applyFill="1" applyBorder="1" applyAlignment="1">
      <alignment horizontal="left" vertical="center"/>
    </xf>
    <xf numFmtId="0" fontId="13" fillId="4" borderId="44" xfId="0" applyFont="1" applyFill="1" applyBorder="1" applyAlignment="1" applyProtection="1">
      <alignment horizontal="center"/>
      <protection hidden="1"/>
    </xf>
    <xf numFmtId="0" fontId="13" fillId="4" borderId="44" xfId="0" applyFont="1" applyFill="1" applyBorder="1" applyAlignment="1">
      <alignment horizontal="center" vertical="center" wrapText="1"/>
    </xf>
    <xf numFmtId="49" fontId="13" fillId="4" borderId="44" xfId="2" applyFont="1" applyFill="1" applyBorder="1" applyAlignment="1" applyProtection="1">
      <alignment horizontal="center" vertical="center"/>
      <protection locked="0"/>
    </xf>
    <xf numFmtId="0" fontId="13" fillId="4" borderId="44" xfId="0" applyFont="1" applyFill="1" applyBorder="1" applyAlignment="1" applyProtection="1">
      <alignment horizontal="center"/>
      <protection locked="0"/>
    </xf>
    <xf numFmtId="0" fontId="13" fillId="4" borderId="44" xfId="0" applyFont="1" applyFill="1" applyBorder="1"/>
    <xf numFmtId="0" fontId="13" fillId="4" borderId="44" xfId="0" applyFont="1" applyFill="1" applyBorder="1" applyAlignment="1">
      <alignment horizontal="left"/>
    </xf>
    <xf numFmtId="0" fontId="13" fillId="4" borderId="45" xfId="0" applyFont="1" applyFill="1" applyBorder="1" applyAlignment="1">
      <alignment horizontal="left"/>
    </xf>
    <xf numFmtId="0" fontId="13" fillId="4" borderId="0" xfId="34" applyFont="1" applyFill="1" applyAlignment="1" applyProtection="1">
      <alignment horizontal="left"/>
      <protection hidden="1"/>
    </xf>
    <xf numFmtId="0" fontId="37" fillId="4" borderId="25" xfId="5" applyFont="1" applyFill="1" applyBorder="1" applyAlignment="1">
      <alignment horizontal="left"/>
    </xf>
    <xf numFmtId="171" fontId="13" fillId="4" borderId="25" xfId="0" applyNumberFormat="1" applyFont="1" applyFill="1" applyBorder="1" applyAlignment="1" applyProtection="1">
      <alignment horizontal="center" vertical="center" wrapText="1"/>
      <protection locked="0"/>
    </xf>
    <xf numFmtId="0" fontId="13" fillId="4" borderId="25" xfId="0" applyFont="1" applyFill="1" applyBorder="1" applyAlignment="1" applyProtection="1">
      <alignment horizontal="justify" vertical="center" wrapText="1"/>
      <protection locked="0"/>
    </xf>
    <xf numFmtId="1" fontId="13" fillId="4" borderId="25" xfId="0" applyNumberFormat="1" applyFont="1" applyFill="1" applyBorder="1" applyAlignment="1" applyProtection="1">
      <alignment horizontal="center" vertical="center" wrapText="1"/>
      <protection hidden="1"/>
    </xf>
    <xf numFmtId="1" fontId="13" fillId="4" borderId="25" xfId="0" applyNumberFormat="1" applyFont="1" applyFill="1" applyBorder="1" applyAlignment="1" applyProtection="1">
      <alignment horizontal="center" vertical="center" wrapText="1"/>
      <protection locked="0"/>
    </xf>
    <xf numFmtId="0" fontId="36" fillId="4" borderId="25" xfId="0" applyFont="1" applyFill="1" applyBorder="1" applyAlignment="1" applyProtection="1">
      <alignment horizontal="left" vertical="center" wrapText="1"/>
      <protection locked="0"/>
    </xf>
    <xf numFmtId="0" fontId="13" fillId="4" borderId="0" xfId="0" applyFont="1" applyFill="1" applyAlignment="1" applyProtection="1">
      <alignment wrapText="1"/>
      <protection hidden="1"/>
    </xf>
    <xf numFmtId="0" fontId="13" fillId="4" borderId="41" xfId="0" applyFont="1" applyFill="1" applyBorder="1"/>
    <xf numFmtId="0" fontId="13" fillId="4" borderId="25" xfId="0" applyFont="1" applyFill="1" applyBorder="1" applyProtection="1">
      <protection hidden="1"/>
    </xf>
    <xf numFmtId="171" fontId="13" fillId="4" borderId="35" xfId="0" applyNumberFormat="1" applyFont="1" applyFill="1" applyBorder="1" applyAlignment="1" applyProtection="1">
      <alignment horizontal="center" vertical="center" wrapText="1"/>
      <protection locked="0"/>
    </xf>
    <xf numFmtId="0" fontId="13" fillId="4" borderId="41" xfId="0" applyFont="1" applyFill="1" applyBorder="1" applyProtection="1">
      <protection hidden="1"/>
    </xf>
    <xf numFmtId="1" fontId="13" fillId="4" borderId="25" xfId="0" applyNumberFormat="1" applyFont="1" applyFill="1" applyBorder="1" applyAlignment="1" applyProtection="1">
      <alignment horizontal="left" vertical="center" wrapText="1"/>
      <protection hidden="1"/>
    </xf>
    <xf numFmtId="0" fontId="37" fillId="4" borderId="36" xfId="5" applyFont="1" applyFill="1" applyBorder="1" applyAlignment="1" applyProtection="1">
      <alignment horizontal="left" vertical="center" wrapText="1"/>
      <protection locked="0"/>
    </xf>
    <xf numFmtId="0" fontId="15" fillId="4" borderId="46" xfId="0" applyFont="1" applyFill="1" applyBorder="1" applyAlignment="1">
      <alignment horizontal="justify" vertical="center" wrapText="1"/>
    </xf>
    <xf numFmtId="174" fontId="13" fillId="4" borderId="25" xfId="0" applyNumberFormat="1" applyFont="1" applyFill="1" applyBorder="1" applyAlignment="1" applyProtection="1">
      <alignment horizontal="center" vertical="center" wrapText="1"/>
      <protection locked="0"/>
    </xf>
    <xf numFmtId="0" fontId="13" fillId="4" borderId="25" xfId="0" applyFont="1" applyFill="1" applyBorder="1" applyAlignment="1" applyProtection="1">
      <alignment vertical="center" wrapText="1"/>
      <protection locked="0"/>
    </xf>
    <xf numFmtId="0" fontId="13" fillId="4" borderId="25" xfId="2" applyNumberFormat="1" applyFont="1" applyFill="1" applyBorder="1" applyAlignment="1" applyProtection="1">
      <alignment horizontal="center" vertical="center"/>
      <protection locked="0"/>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CC0000"/>
      <color rgb="FFFFFF99"/>
      <color rgb="FFFF66CC"/>
      <color rgb="FFFF3399"/>
      <color rgb="FF0000FF"/>
      <color rgb="FFCC66FF"/>
      <color rgb="FFCC99FF"/>
      <color rgb="FFAD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75345</xdr:colOff>
      <xdr:row>0</xdr:row>
      <xdr:rowOff>57150</xdr:rowOff>
    </xdr:from>
    <xdr:ext cx="47642952" cy="1288256"/>
    <xdr:grpSp>
      <xdr:nvGrpSpPr>
        <xdr:cNvPr id="2" name="Group 4">
          <a:extLst>
            <a:ext uri="{FF2B5EF4-FFF2-40B4-BE49-F238E27FC236}">
              <a16:creationId xmlns:a16="http://schemas.microsoft.com/office/drawing/2014/main" id="{8EF7E68B-20FD-4740-B0F8-6927C25AA5A5}"/>
            </a:ext>
          </a:extLst>
        </xdr:cNvPr>
        <xdr:cNvGrpSpPr>
          <a:grpSpLocks/>
        </xdr:cNvGrpSpPr>
      </xdr:nvGrpSpPr>
      <xdr:grpSpPr bwMode="auto">
        <a:xfrm>
          <a:off x="75345" y="57150"/>
          <a:ext cx="47642952" cy="1288256"/>
          <a:chOff x="-13" y="0"/>
          <a:chExt cx="1411" cy="146"/>
        </a:xfrm>
      </xdr:grpSpPr>
      <xdr:sp macro="" textlink="">
        <xdr:nvSpPr>
          <xdr:cNvPr id="3" name="1 CuadroTexto">
            <a:extLst>
              <a:ext uri="{FF2B5EF4-FFF2-40B4-BE49-F238E27FC236}">
                <a16:creationId xmlns:a16="http://schemas.microsoft.com/office/drawing/2014/main" id="{827F9584-1B80-7F27-A06A-52C063854E15}"/>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CE2B19C8-0CD0-4A6B-DBEE-4181CC7E0CE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9EBFA909-30A7-2959-AC68-63D39243245B}"/>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754B7CB2-BBF9-D32C-4614-928CA3F9AB4C}"/>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9A785C1-A5FA-7D81-2BD1-8A9953DCF462}"/>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9CE5C2D7-4B32-619F-2E6B-2EA8D516E229}"/>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84B99256-5209-5508-1DC3-9C8A4315A5AD}"/>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F5B5F648-DAE7-8923-AC72-D8161B48C6C3}"/>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F2ABBCBF-6286-BCA9-421D-E977DE757793}"/>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1AE1D40C-6831-818B-A5A1-D1B118FE9D04}"/>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1CC0552F-5D95-F351-A1C9-8BB87B4DDCC5}"/>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2D9E498B-7BF4-6349-0548-418F233B06C0}"/>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2587471</xdr:colOff>
      <xdr:row>2</xdr:row>
      <xdr:rowOff>124123</xdr:rowOff>
    </xdr:to>
    <xdr:pic>
      <xdr:nvPicPr>
        <xdr:cNvPr id="15" name="Imagen 14">
          <a:extLst>
            <a:ext uri="{FF2B5EF4-FFF2-40B4-BE49-F238E27FC236}">
              <a16:creationId xmlns:a16="http://schemas.microsoft.com/office/drawing/2014/main" id="{BF2632EA-5FDA-4E20-9BE5-3F52BC2EA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16034"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CP%20VS%200%20ID%20250309\PAA%20VS%200%20CP-%20ALCANCE.xlsx" TargetMode="External"/><Relationship Id="rId1" Type="http://schemas.openxmlformats.org/officeDocument/2006/relationships/externalLinkPath" Target="/MININTEROR/PAA/PLAN%20ANUAL%20DE%20ADQUISICIONES/PAA%202024/PAA%202024/CP%20VS%200%20ID%20250309/PAA%20VS%200%20CP-%20ALCANCE.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PCAC%20VS%200%20255425\PAA%20VS%200%20DDPCAC%20ALCANCE.xlsx" TargetMode="External"/><Relationship Id="rId1" Type="http://schemas.openxmlformats.org/officeDocument/2006/relationships/externalLinkPath" Target="/MININTEROR/PAA/PLAN%20ANUAL%20DE%20ADQUISICIONES/PAA%202024/PAA%202024/DDPCAC%20VS%200%20255425/PAA%20VS%200%20DDPCAC%20ALCANCE.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SCCG%20VS%200%20ID%20255486\PAA%20VS%200%20DSCCG%20ALCANCE.xlsx" TargetMode="External"/><Relationship Id="rId1" Type="http://schemas.openxmlformats.org/officeDocument/2006/relationships/externalLinkPath" Target="/MININTEROR/PAA/PLAN%20ANUAL%20DE%20ADQUISICIONES/PAA%202024/PAA%202024/DSCCG%20VS%200%20ID%20255486/PAA%20VS%200%20DSCCG%20ALCANCE.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2\DSCCG%20VS%202%20ID%20263954\PAA%20DSCCG%20VS%202.xlsx" TargetMode="External"/><Relationship Id="rId1" Type="http://schemas.openxmlformats.org/officeDocument/2006/relationships/externalLinkPath" Target="/MININTEROR/PAA/PLAN%20ANUAL%20DE%20ADQUISICIONES/PAA%202024/PAA%202024/PAA%20VS%202/DSCCG%20VS%202%20ID%20263954/PAA%20DSCCG%20VS%20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GAPV%20VS%200%20ID%20254387\PAA%20VS%200%20GAPV%20ALCANCE.xlsx" TargetMode="External"/><Relationship Id="rId1" Type="http://schemas.openxmlformats.org/officeDocument/2006/relationships/externalLinkPath" Target="/MININTEROR/PAA/PLAN%20ANUAL%20DE%20ADQUISICIONES/PAA%202024/PAA%202024/GAPV%20VS%200%20ID%20254387/PAA%20VS%200%20GAPV%20ALCANCE.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AP%20VS%200%20ID%20254705\PAA%20VS%20O%20OAP%20ALCANCE.xlsx" TargetMode="External"/><Relationship Id="rId1" Type="http://schemas.openxmlformats.org/officeDocument/2006/relationships/externalLinkPath" Target="/MININTEROR/PAA/PLAN%20ANUAL%20DE%20ADQUISICIONES/PAA%202024/PAA%202024/OAP%20VS%200%20ID%20254705/PAA%20VS%20O%20OAP%20ALCANCE.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IP%20VS%200%20ID%20255442\PAA%20VS%200%20OIP%20ALCANCE%20II.xlsx" TargetMode="External"/><Relationship Id="rId1" Type="http://schemas.openxmlformats.org/officeDocument/2006/relationships/externalLinkPath" Target="/MININTEROR/PAA/PLAN%20ANUAL%20DE%20ADQUISICIONES/PAA%202024/PAA%202024/OIP%20VS%200%20ID%20255442/PAA%20VS%200%20OIP%20ALCANCE%20II.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GGT%20VS%200%20ID%20249223\PAA%20VS%200%20SGGT%20ALCANCE%20II.xlsx" TargetMode="External"/><Relationship Id="rId1" Type="http://schemas.openxmlformats.org/officeDocument/2006/relationships/externalLinkPath" Target="/MININTEROR/PAA/PLAN%20ANUAL%20DE%20ADQUISICIONES/PAA%202024/PAA%202024/SGGT%20VS%200%20ID%20249223/PAA%20VS%200%20SGGT%20ALCANCE%20II.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PSCC%20VS%200%20ID%20255341\PAA%20VS%200%20SPSCC%20ALCANCE.xlsx" TargetMode="External"/><Relationship Id="rId1" Type="http://schemas.openxmlformats.org/officeDocument/2006/relationships/externalLinkPath" Target="/MININTEROR/PAA/PLAN%20ANUAL%20DE%20ADQUISICIONES/PAA%202024/PAA%202024/SPSCC%20VS%200%20ID%20255341/PAA%20VS%200%20SPSCC%20ALCANCE.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3\SPSCC%20VS%202\PAA%20SPSCC%20VS%202.xlsx" TargetMode="External"/><Relationship Id="rId1" Type="http://schemas.openxmlformats.org/officeDocument/2006/relationships/externalLinkPath" Target="/MININTEROR/PAA/PLAN%20ANUAL%20DE%20ADQUISICIONES/PAA%202024/PAA%202024/PAA%20VS%203/SPSCC%20VS%202/PAA%20SPSCC%20VS%202.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VICEMINISTERIO%20DEL%20DIALOGO%20VS%200\PAA%20VICE%20DIALOGO%20VS%200.xlsx" TargetMode="External"/><Relationship Id="rId1" Type="http://schemas.openxmlformats.org/officeDocument/2006/relationships/externalLinkPath" Target="/MININTEROR/PAA/PLAN%20ANUAL%20DE%20ADQUISICIONES/PAA%202024/PAA%202024/VICEMINISTERIO%20DEL%20DIALOGO%20VS%200/PAA%20VICE%20DIALOGO%20VS%20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ndra.orjuela\Downloads\FORMATO%20PLAN%20ANUAL%20DE%20ADQUISICIONES%202024%20MININTERIOR-PRELIMINAR1.1.xlsx" TargetMode="External"/><Relationship Id="rId1" Type="http://schemas.openxmlformats.org/officeDocument/2006/relationships/externalLinkPath" Target="file:///C:\Users\sandra.orjuela\Downloads\FORMATO%20PLAN%20ANUAL%20DE%20ADQUISICIONES%202024%20MININTERIOR-PRELIMINAR1.1.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2\GITEP%20VS%201%20ID%20264229\PAA%20VS%201%20GITEP.xlsx" TargetMode="External"/><Relationship Id="rId1" Type="http://schemas.openxmlformats.org/officeDocument/2006/relationships/externalLinkPath" Target="/MININTEROR/PAA/PLAN%20ANUAL%20DE%20ADQUISICIONES/PAA%202024/PAA%202024/PAA%20VS%202/GITEP%20VS%201%20ID%20264229/PAA%20VS%201%20GITEP.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3\CP%20VS%202\PAA%20CP%20VS%202.xlsx" TargetMode="External"/><Relationship Id="rId1" Type="http://schemas.openxmlformats.org/officeDocument/2006/relationships/externalLinkPath" Target="/MININTEROR/PAA/PLAN%20ANUAL%20DE%20ADQUISICIONES/PAA%202024/PAA%202024/PAA%20VS%203/CP%20VS%202/PAA%20CP%20VS%2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CNARP%20VS%200%20255474\PAA%20VS%200%20DACNARP%20ALCANCE.xlsx" TargetMode="External"/><Relationship Id="rId1" Type="http://schemas.openxmlformats.org/officeDocument/2006/relationships/externalLinkPath" Target="/MININTEROR/PAA/PLAN%20ANUAL%20DE%20ADQUISICIONES/PAA%202024/PAA%202024/DACNARP%20VS%200%20255474/PAA%20VS%200%20DACNARP%20ALCANC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IRM%20VS%200%20ID%20251070\PAA%20VS%200%20DAIRM%20ALCANCE.xlsx" TargetMode="External"/><Relationship Id="rId1" Type="http://schemas.openxmlformats.org/officeDocument/2006/relationships/externalLinkPath" Target="/MININTEROR/PAA/PLAN%20ANUAL%20DE%20ADQUISICIONES/PAA%202024/PAA%202024/DAIRM%20VS%200%20ID%20251070/PAA%20VS%200%20DAIRM%20ALCANCE.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L%20VS%200%20ID%20255440\PAA%20VS%200%20DAL%20ALCANCE.xlsx" TargetMode="External"/><Relationship Id="rId1" Type="http://schemas.openxmlformats.org/officeDocument/2006/relationships/externalLinkPath" Target="/MININTEROR/PAA/PLAN%20ANUAL%20DE%20ADQUISICIONES/PAA%202024/PAA%202024/DAL%20VS%200%20ID%20255440/PAA%20VS%200%20DAL%20ALCANC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R%20VS%200%20ID%20255581\PAA%20DAR%20VS%200%20ALCANCE.xlsx" TargetMode="External"/><Relationship Id="rId1" Type="http://schemas.openxmlformats.org/officeDocument/2006/relationships/externalLinkPath" Target="/MININTEROR/PAA/PLAN%20ANUAL%20DE%20ADQUISICIONES/PAA%202024/PAA%202024/DAR%20VS%200%20ID%20255581/PAA%20DAR%20VS%200%20ALCANC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uis.pulido\OneDrive%20-%20mininterior.gov.co%20(1)\000%20Asuntos%20Religiosos\Administrativo\Financiera%20DAR\PAA%202024\PAA%20DAR%202024%20LDPB%20V2.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HH%20VS%200%20ID%20255744\PAA%20VS%200%20DDHH%20ALCANCE.xlsx" TargetMode="External"/><Relationship Id="rId1" Type="http://schemas.openxmlformats.org/officeDocument/2006/relationships/externalLinkPath" Target="/MININTEROR/PAA/PLAN%20ANUAL%20DE%20ADQUISICIONES/PAA%202024/PAA%202024/DDHH%20VS%200%20ID%20255744/PAA%20VS%200%20DDHH%20ALC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FORMATO PAA"/>
      <sheetName val="Hoja1"/>
      <sheetName val="Parámetros"/>
    </sheetNames>
    <sheetDataSet>
      <sheetData sheetId="0" refreshError="1"/>
      <sheetData sheetId="1" refreshError="1"/>
      <sheetData sheetId="2" refreshError="1"/>
      <sheetData sheetId="3" refreshError="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1" Type="http://schemas.openxmlformats.org/officeDocument/2006/relationships/hyperlink" Target="mailto:victor.moreno@mininterior.gov.co" TargetMode="External"/><Relationship Id="rId63" Type="http://schemas.openxmlformats.org/officeDocument/2006/relationships/hyperlink" Target="mailto:yuly.manosalva@mininterior.gov.co" TargetMode="External"/><Relationship Id="rId159" Type="http://schemas.openxmlformats.org/officeDocument/2006/relationships/hyperlink" Target="mailto:edgar.gonzalez@mininterior.gov.co" TargetMode="External"/><Relationship Id="rId170" Type="http://schemas.openxmlformats.org/officeDocument/2006/relationships/hyperlink" Target="mailto:edgar.gonzalez@mininterior.gov.co" TargetMode="External"/><Relationship Id="rId226" Type="http://schemas.openxmlformats.org/officeDocument/2006/relationships/hyperlink" Target="mailto:rodolfo.vega@mininterior.gov.co" TargetMode="External"/><Relationship Id="rId268" Type="http://schemas.openxmlformats.org/officeDocument/2006/relationships/hyperlink" Target="mailto:rodolfo.vega@mininterior.gov.co" TargetMode="External"/><Relationship Id="rId32" Type="http://schemas.openxmlformats.org/officeDocument/2006/relationships/hyperlink" Target="mailto:victor.moreno@mininterior.gov.co" TargetMode="External"/><Relationship Id="rId74" Type="http://schemas.openxmlformats.org/officeDocument/2006/relationships/hyperlink" Target="mailto:jarmando.serrano@mininterior.gov.co" TargetMode="External"/><Relationship Id="rId128" Type="http://schemas.openxmlformats.org/officeDocument/2006/relationships/hyperlink" Target="mailto:edgar.gonzalez@mininterior.gov.co" TargetMode="External"/><Relationship Id="rId5" Type="http://schemas.openxmlformats.org/officeDocument/2006/relationships/hyperlink" Target="mailto:victor.moreno@mininterior.gov.co" TargetMode="External"/><Relationship Id="rId181" Type="http://schemas.openxmlformats.org/officeDocument/2006/relationships/hyperlink" Target="mailto:edgar.gonzalez@mininterior.gov.co" TargetMode="External"/><Relationship Id="rId237" Type="http://schemas.openxmlformats.org/officeDocument/2006/relationships/hyperlink" Target="mailto:rodolfo.vega@mininterior.gov.co" TargetMode="External"/><Relationship Id="rId279" Type="http://schemas.openxmlformats.org/officeDocument/2006/relationships/hyperlink" Target="mailto:sandra.contreras@mininterior.gov.co" TargetMode="External"/><Relationship Id="rId22" Type="http://schemas.openxmlformats.org/officeDocument/2006/relationships/hyperlink" Target="mailto:victor.moreno@mininterior.gov.co" TargetMode="External"/><Relationship Id="rId43" Type="http://schemas.openxmlformats.org/officeDocument/2006/relationships/hyperlink" Target="mailto:victor.moreno@mininterior.gov.co" TargetMode="External"/><Relationship Id="rId64" Type="http://schemas.openxmlformats.org/officeDocument/2006/relationships/hyperlink" Target="mailto:yuly.manosalva@mininterior.gov.co" TargetMode="External"/><Relationship Id="rId118"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edgar.gonzalez@mininterior.gov.co" TargetMode="External"/><Relationship Id="rId171" Type="http://schemas.openxmlformats.org/officeDocument/2006/relationships/hyperlink" Target="mailto:edgar.gonzalez@mininterior.gov.co" TargetMode="External"/><Relationship Id="rId192" Type="http://schemas.openxmlformats.org/officeDocument/2006/relationships/hyperlink" Target="mailto:edgar.gonzalez@mininterior.gov.co" TargetMode="External"/><Relationship Id="rId206" Type="http://schemas.openxmlformats.org/officeDocument/2006/relationships/hyperlink" Target="mailto:sandra.contreras@mininterior.gov.co" TargetMode="External"/><Relationship Id="rId227" Type="http://schemas.openxmlformats.org/officeDocument/2006/relationships/hyperlink" Target="mailto:rodolfo.vega@mininterior.gov.co" TargetMode="External"/><Relationship Id="rId248" Type="http://schemas.openxmlformats.org/officeDocument/2006/relationships/hyperlink" Target="mailto:rodolfo.vega@mininterior.gov.co" TargetMode="External"/><Relationship Id="rId269" Type="http://schemas.openxmlformats.org/officeDocument/2006/relationships/hyperlink" Target="mailto:rodolfo.vega@mininterior.gov.co" TargetMode="External"/><Relationship Id="rId12" Type="http://schemas.openxmlformats.org/officeDocument/2006/relationships/hyperlink" Target="mailto:victor.moreno@mininterior.gov.co" TargetMode="External"/><Relationship Id="rId33" Type="http://schemas.openxmlformats.org/officeDocument/2006/relationships/hyperlink" Target="mailto:victor.moreno@mininterior.gov.co" TargetMode="External"/><Relationship Id="rId108"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edgar.gonzalez@mininterior.gov.co" TargetMode="External"/><Relationship Id="rId54" Type="http://schemas.openxmlformats.org/officeDocument/2006/relationships/hyperlink" Target="mailto:franklin.castaneda@mininterior.gov.co" TargetMode="External"/><Relationship Id="rId75" Type="http://schemas.openxmlformats.org/officeDocument/2006/relationships/hyperlink" Target="mailto:yamel.ruiz@mininterior.gov.co" TargetMode="External"/><Relationship Id="rId96" Type="http://schemas.openxmlformats.org/officeDocument/2006/relationships/hyperlink" Target="mailto:edgar.gonzalez@mininterior.gov.co" TargetMode="External"/><Relationship Id="rId140" Type="http://schemas.openxmlformats.org/officeDocument/2006/relationships/hyperlink" Target="mailto:edgar.gonzalez@mininterior.gov.co" TargetMode="External"/><Relationship Id="rId161" Type="http://schemas.openxmlformats.org/officeDocument/2006/relationships/hyperlink" Target="mailto:edgar.gonzalez@mininterior.gov.co" TargetMode="External"/><Relationship Id="rId182" Type="http://schemas.openxmlformats.org/officeDocument/2006/relationships/hyperlink" Target="mailto:edgar.gonzalez@mininterior.gov.co" TargetMode="External"/><Relationship Id="rId217" Type="http://schemas.openxmlformats.org/officeDocument/2006/relationships/hyperlink" Target="mailto:rodolfo.vega@mininterior.gov.co" TargetMode="External"/><Relationship Id="rId6" Type="http://schemas.openxmlformats.org/officeDocument/2006/relationships/hyperlink" Target="mailto:victor.moreno@mininterior.gov.co" TargetMode="External"/><Relationship Id="rId238" Type="http://schemas.openxmlformats.org/officeDocument/2006/relationships/hyperlink" Target="mailto:rodolfo.vega@mininterior.gov.co" TargetMode="External"/><Relationship Id="rId259" Type="http://schemas.openxmlformats.org/officeDocument/2006/relationships/hyperlink" Target="mailto:rodolfo.vega@mininterior.gov.co" TargetMode="External"/><Relationship Id="rId23" Type="http://schemas.openxmlformats.org/officeDocument/2006/relationships/hyperlink" Target="mailto:victor.moreno@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rodolfo.vega@mininterior.gov.co" TargetMode="External"/><Relationship Id="rId44" Type="http://schemas.openxmlformats.org/officeDocument/2006/relationships/hyperlink" Target="mailto:german.carlosama@mininterior.gov.co" TargetMode="External"/><Relationship Id="rId65" Type="http://schemas.openxmlformats.org/officeDocument/2006/relationships/hyperlink" Target="mailto:yuly.manosalva@mininterior.gov.co" TargetMode="External"/><Relationship Id="rId86"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151" Type="http://schemas.openxmlformats.org/officeDocument/2006/relationships/hyperlink" Target="mailto:edgar.gonzalez@mininterior.gov.co" TargetMode="External"/><Relationship Id="rId172" Type="http://schemas.openxmlformats.org/officeDocument/2006/relationships/hyperlink" Target="mailto:edgar.gonzalez@mininterior.gov.co" TargetMode="External"/><Relationship Id="rId193" Type="http://schemas.openxmlformats.org/officeDocument/2006/relationships/hyperlink" Target="mailto:edgar.gonzalez@mininterior.gov.co" TargetMode="External"/><Relationship Id="rId207" Type="http://schemas.openxmlformats.org/officeDocument/2006/relationships/hyperlink" Target="mailto:sandra.contreras@mininterior.gov.co" TargetMode="External"/><Relationship Id="rId228" Type="http://schemas.openxmlformats.org/officeDocument/2006/relationships/hyperlink" Target="mailto:rodolfo.vega@mininterior.gov.co" TargetMode="External"/><Relationship Id="rId249" Type="http://schemas.openxmlformats.org/officeDocument/2006/relationships/hyperlink" Target="mailto:rodolfo.vega@mininterior.gov.co" TargetMode="External"/><Relationship Id="rId13" Type="http://schemas.openxmlformats.org/officeDocument/2006/relationships/hyperlink" Target="mailto:victor.moreno@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rodolfo.vega@mininterior.gov.co" TargetMode="External"/><Relationship Id="rId281" Type="http://schemas.openxmlformats.org/officeDocument/2006/relationships/printerSettings" Target="../printerSettings/printerSettings2.bin"/><Relationship Id="rId34" Type="http://schemas.openxmlformats.org/officeDocument/2006/relationships/hyperlink" Target="mailto:victor.moreno@mininterior.gov.co" TargetMode="External"/><Relationship Id="rId55" Type="http://schemas.openxmlformats.org/officeDocument/2006/relationships/hyperlink" Target="mailto:diana.vivas@mininterior.gov.co" TargetMode="External"/><Relationship Id="rId76"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141" Type="http://schemas.openxmlformats.org/officeDocument/2006/relationships/hyperlink" Target="mailto:edgar.gonzalez@mininterior.gov.co" TargetMode="External"/><Relationship Id="rId7" Type="http://schemas.openxmlformats.org/officeDocument/2006/relationships/hyperlink" Target="mailto:victor.moreno@mininterior.gov.co" TargetMode="External"/><Relationship Id="rId162" Type="http://schemas.openxmlformats.org/officeDocument/2006/relationships/hyperlink" Target="mailto:edgar.gonzalez@mininterior.gov.co" TargetMode="External"/><Relationship Id="rId183" Type="http://schemas.openxmlformats.org/officeDocument/2006/relationships/hyperlink" Target="mailto:edgar.gonzalez@mininterior.gov.co" TargetMode="External"/><Relationship Id="rId218" Type="http://schemas.openxmlformats.org/officeDocument/2006/relationships/hyperlink" Target="mailto:rodolfo.vega@mininterior.gov.co" TargetMode="External"/><Relationship Id="rId239" Type="http://schemas.openxmlformats.org/officeDocument/2006/relationships/hyperlink" Target="mailto:rodolfo.vega@mininterior.gov.co" TargetMode="External"/><Relationship Id="rId250" Type="http://schemas.openxmlformats.org/officeDocument/2006/relationships/hyperlink" Target="mailto:rodolfo.vega@mininterior.gov.co" TargetMode="External"/><Relationship Id="rId271" Type="http://schemas.openxmlformats.org/officeDocument/2006/relationships/hyperlink" Target="mailto:rodolfo.vega@mininterior.gov.co" TargetMode="External"/><Relationship Id="rId24" Type="http://schemas.openxmlformats.org/officeDocument/2006/relationships/hyperlink" Target="mailto:victor.moreno@mininterior.gov.co" TargetMode="External"/><Relationship Id="rId45" Type="http://schemas.openxmlformats.org/officeDocument/2006/relationships/hyperlink" Target="mailto:franklin.castaneda@mininterior.gov.co" TargetMode="External"/><Relationship Id="rId66" Type="http://schemas.openxmlformats.org/officeDocument/2006/relationships/hyperlink" Target="mailto:yuly.manosalva@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152" Type="http://schemas.openxmlformats.org/officeDocument/2006/relationships/hyperlink" Target="mailto:edgar.gonzalez@mininterior.gov.co" TargetMode="External"/><Relationship Id="rId173" Type="http://schemas.openxmlformats.org/officeDocument/2006/relationships/hyperlink" Target="mailto:edgar.gonzalez@mininterior.gov.co" TargetMode="External"/><Relationship Id="rId194" Type="http://schemas.openxmlformats.org/officeDocument/2006/relationships/hyperlink" Target="mailto:edgar.gonzalez@mininterior.gov.co" TargetMode="External"/><Relationship Id="rId208" Type="http://schemas.openxmlformats.org/officeDocument/2006/relationships/hyperlink" Target="mailto:sandra.contreras@mininterior.gov.co" TargetMode="External"/><Relationship Id="rId229" Type="http://schemas.openxmlformats.org/officeDocument/2006/relationships/hyperlink" Target="mailto:rodolfo.vega@mininterior.gov.co" TargetMode="External"/><Relationship Id="rId240" Type="http://schemas.openxmlformats.org/officeDocument/2006/relationships/hyperlink" Target="mailto:rodolfo.vega@mininterior.gov.co" TargetMode="External"/><Relationship Id="rId261" Type="http://schemas.openxmlformats.org/officeDocument/2006/relationships/hyperlink" Target="mailto:rodolfo.vega@mininterior.gov.co" TargetMode="External"/><Relationship Id="rId14" Type="http://schemas.openxmlformats.org/officeDocument/2006/relationships/hyperlink" Target="mailto:victor.moreno@mininterior.gov.co" TargetMode="External"/><Relationship Id="rId35" Type="http://schemas.openxmlformats.org/officeDocument/2006/relationships/hyperlink" Target="mailto:victor.moreno@mininterior.gov.co" TargetMode="External"/><Relationship Id="rId56" Type="http://schemas.openxmlformats.org/officeDocument/2006/relationships/hyperlink" Target="mailto:diana.vivas@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drawing" Target="../drawings/drawing2.xml"/><Relationship Id="rId8" Type="http://schemas.openxmlformats.org/officeDocument/2006/relationships/hyperlink" Target="mailto:victor.moreno@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42" Type="http://schemas.openxmlformats.org/officeDocument/2006/relationships/hyperlink" Target="mailto:edgar.gonzalez@mininterior.gov.co" TargetMode="External"/><Relationship Id="rId163" Type="http://schemas.openxmlformats.org/officeDocument/2006/relationships/hyperlink" Target="mailto:edgar.gonzalez@mininterior.gov.co" TargetMode="External"/><Relationship Id="rId184" Type="http://schemas.openxmlformats.org/officeDocument/2006/relationships/hyperlink" Target="mailto:edgar.gonzalez@mininterior.gov.co" TargetMode="External"/><Relationship Id="rId219" Type="http://schemas.openxmlformats.org/officeDocument/2006/relationships/hyperlink" Target="mailto:rodolfo.vega@mininterior.gov.co" TargetMode="External"/><Relationship Id="rId230" Type="http://schemas.openxmlformats.org/officeDocument/2006/relationships/hyperlink" Target="mailto:rodolfo.vega@mininterior.gov.co" TargetMode="External"/><Relationship Id="rId251" Type="http://schemas.openxmlformats.org/officeDocument/2006/relationships/hyperlink" Target="mailto:rodolfo.vega@mininterior.gov.co" TargetMode="External"/><Relationship Id="rId25" Type="http://schemas.openxmlformats.org/officeDocument/2006/relationships/hyperlink" Target="mailto:victor.moreno@mininterior.gov.co" TargetMode="External"/><Relationship Id="rId46" Type="http://schemas.openxmlformats.org/officeDocument/2006/relationships/hyperlink" Target="mailto:franklin.castaneda@mininterior.gov.co" TargetMode="External"/><Relationship Id="rId67" Type="http://schemas.openxmlformats.org/officeDocument/2006/relationships/hyperlink" Target="mailto:yuly.manosalva@mininterior.gov.co" TargetMode="External"/><Relationship Id="rId272" Type="http://schemas.openxmlformats.org/officeDocument/2006/relationships/hyperlink" Target="mailto:rodolfo.veg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32" Type="http://schemas.openxmlformats.org/officeDocument/2006/relationships/hyperlink" Target="mailto:edgar.gonzalez@mininterior.gov.co" TargetMode="External"/><Relationship Id="rId153" Type="http://schemas.openxmlformats.org/officeDocument/2006/relationships/hyperlink" Target="mailto:edgar.gonzalez@mininterior.gov.co" TargetMode="External"/><Relationship Id="rId174" Type="http://schemas.openxmlformats.org/officeDocument/2006/relationships/hyperlink" Target="mailto:edgar.gonzalez@mininterior.gov.co" TargetMode="External"/><Relationship Id="rId195" Type="http://schemas.openxmlformats.org/officeDocument/2006/relationships/hyperlink" Target="mailto:edgar.gonzalez@mininterior.gov.co" TargetMode="External"/><Relationship Id="rId209" Type="http://schemas.openxmlformats.org/officeDocument/2006/relationships/hyperlink" Target="mailto:sandra.contreras@mininterior.gov.co" TargetMode="External"/><Relationship Id="rId220" Type="http://schemas.openxmlformats.org/officeDocument/2006/relationships/hyperlink" Target="mailto:rodolfo.vega@mininterior.gov.co" TargetMode="External"/><Relationship Id="rId241" Type="http://schemas.openxmlformats.org/officeDocument/2006/relationships/hyperlink" Target="mailto:rodolfo.vega@mininterior.gov.co" TargetMode="External"/><Relationship Id="rId15" Type="http://schemas.openxmlformats.org/officeDocument/2006/relationships/hyperlink" Target="mailto:victor.moreno@mininterior.gov.co" TargetMode="External"/><Relationship Id="rId36" Type="http://schemas.openxmlformats.org/officeDocument/2006/relationships/hyperlink" Target="mailto:victor.moreno@mininterior.gov.co" TargetMode="External"/><Relationship Id="rId57" Type="http://schemas.openxmlformats.org/officeDocument/2006/relationships/hyperlink" Target="mailto:diana.vivas@mininterior.gov.co" TargetMode="External"/><Relationship Id="rId262" Type="http://schemas.openxmlformats.org/officeDocument/2006/relationships/hyperlink" Target="mailto:rodolfo.vega@mininterior.gov.co" TargetMode="External"/><Relationship Id="rId78" Type="http://schemas.openxmlformats.org/officeDocument/2006/relationships/hyperlink" Target="mailto:edgar.gonzalez@mininterior.gov.co" TargetMode="External"/><Relationship Id="rId99"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43" Type="http://schemas.openxmlformats.org/officeDocument/2006/relationships/hyperlink" Target="mailto:edgar.gonzalez@mininterior.gov.co" TargetMode="External"/><Relationship Id="rId164" Type="http://schemas.openxmlformats.org/officeDocument/2006/relationships/hyperlink" Target="mailto:edgar.gonzalez@mininterior.gov.co" TargetMode="External"/><Relationship Id="rId185" Type="http://schemas.openxmlformats.org/officeDocument/2006/relationships/hyperlink" Target="mailto:edgar.gonzalez@mininterior.gov.co" TargetMode="External"/><Relationship Id="rId9" Type="http://schemas.openxmlformats.org/officeDocument/2006/relationships/hyperlink" Target="mailto:victor.moreno@mininterior.gov.co" TargetMode="External"/><Relationship Id="rId210" Type="http://schemas.openxmlformats.org/officeDocument/2006/relationships/hyperlink" Target="mailto:sandra.contreras@mininterior.gov.co" TargetMode="External"/><Relationship Id="rId26" Type="http://schemas.openxmlformats.org/officeDocument/2006/relationships/hyperlink" Target="mailto:victor.moreno@mininterior.gov.co" TargetMode="External"/><Relationship Id="rId231" Type="http://schemas.openxmlformats.org/officeDocument/2006/relationships/hyperlink" Target="mailto:rodolfo.vega@mininterior.gov.co" TargetMode="External"/><Relationship Id="rId252" Type="http://schemas.openxmlformats.org/officeDocument/2006/relationships/hyperlink" Target="mailto:rodolfo.vega@mininterior.gov.co" TargetMode="External"/><Relationship Id="rId273" Type="http://schemas.openxmlformats.org/officeDocument/2006/relationships/hyperlink" Target="mailto:yuly.manosalva@mininterior.gov.co" TargetMode="External"/><Relationship Id="rId47" Type="http://schemas.openxmlformats.org/officeDocument/2006/relationships/hyperlink" Target="mailto:franklin.castaneda@mininterior.gov.co" TargetMode="External"/><Relationship Id="rId68" Type="http://schemas.openxmlformats.org/officeDocument/2006/relationships/hyperlink" Target="mailto:yuly.manosalva@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54" Type="http://schemas.openxmlformats.org/officeDocument/2006/relationships/hyperlink" Target="mailto:edgar.gonzalez@mininterior.gov.co" TargetMode="External"/><Relationship Id="rId175" Type="http://schemas.openxmlformats.org/officeDocument/2006/relationships/hyperlink" Target="mailto:edgar.gonzalez@mininterior.gov.co" TargetMode="External"/><Relationship Id="rId196" Type="http://schemas.openxmlformats.org/officeDocument/2006/relationships/hyperlink" Target="mailto:edgar.gonzalez@mininterior.gov.co" TargetMode="External"/><Relationship Id="rId200" Type="http://schemas.openxmlformats.org/officeDocument/2006/relationships/hyperlink" Target="mailto:esperanza.moreno@mininterior.gov.co" TargetMode="External"/><Relationship Id="rId16" Type="http://schemas.openxmlformats.org/officeDocument/2006/relationships/hyperlink" Target="mailto:victor.moreno@mininterior.gov.co" TargetMode="External"/><Relationship Id="rId221" Type="http://schemas.openxmlformats.org/officeDocument/2006/relationships/hyperlink" Target="mailto:rodolfo.vega@mininterior.gov.co" TargetMode="External"/><Relationship Id="rId242" Type="http://schemas.openxmlformats.org/officeDocument/2006/relationships/hyperlink" Target="mailto:rodolfo.vega@mininterior.gov.co" TargetMode="External"/><Relationship Id="rId263" Type="http://schemas.openxmlformats.org/officeDocument/2006/relationships/hyperlink" Target="mailto:rodolfo.vega@mininterior.gov.co" TargetMode="External"/><Relationship Id="rId37" Type="http://schemas.openxmlformats.org/officeDocument/2006/relationships/hyperlink" Target="mailto:esperanza.moreno@mininterior.gov.co" TargetMode="External"/><Relationship Id="rId58" Type="http://schemas.openxmlformats.org/officeDocument/2006/relationships/hyperlink" Target="mailto:diana.vivas@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dgar.gonzalez@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edgar.gonzalez@mininterior.gov.co" TargetMode="External"/><Relationship Id="rId186" Type="http://schemas.openxmlformats.org/officeDocument/2006/relationships/hyperlink" Target="mailto:edgar.gonzalez@mininterior.gov.co" TargetMode="External"/><Relationship Id="rId211" Type="http://schemas.openxmlformats.org/officeDocument/2006/relationships/hyperlink" Target="mailto:sandra.contreras@mininterior.gov.co" TargetMode="External"/><Relationship Id="rId232" Type="http://schemas.openxmlformats.org/officeDocument/2006/relationships/hyperlink" Target="mailto:rodolfo.vega@mininterior.gov.co" TargetMode="External"/><Relationship Id="rId253" Type="http://schemas.openxmlformats.org/officeDocument/2006/relationships/hyperlink" Target="mailto:rodolfo.vega@mininterior.gov.co" TargetMode="External"/><Relationship Id="rId274" Type="http://schemas.openxmlformats.org/officeDocument/2006/relationships/hyperlink" Target="mailto:yuly.manosalva@mininterior.gov.co" TargetMode="External"/><Relationship Id="rId27" Type="http://schemas.openxmlformats.org/officeDocument/2006/relationships/hyperlink" Target="mailto:victor.moreno@mininterior.gov.co" TargetMode="External"/><Relationship Id="rId48" Type="http://schemas.openxmlformats.org/officeDocument/2006/relationships/hyperlink" Target="mailto:franklin.castaneda@mininterior.gov.co" TargetMode="External"/><Relationship Id="rId69" Type="http://schemas.openxmlformats.org/officeDocument/2006/relationships/hyperlink" Target="mailto:yuly.manosalva@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edgar.gonzalez@mininterior.gov.co" TargetMode="External"/><Relationship Id="rId176" Type="http://schemas.openxmlformats.org/officeDocument/2006/relationships/hyperlink" Target="mailto:edgar.gonzalez@mininterior.gov.co" TargetMode="External"/><Relationship Id="rId197" Type="http://schemas.openxmlformats.org/officeDocument/2006/relationships/hyperlink" Target="mailto:sonia.bernal@mininterior.gov.co" TargetMode="External"/><Relationship Id="rId201" Type="http://schemas.openxmlformats.org/officeDocument/2006/relationships/hyperlink" Target="mailto:esperanza.moreno@mininterior.gov.co" TargetMode="External"/><Relationship Id="rId222" Type="http://schemas.openxmlformats.org/officeDocument/2006/relationships/hyperlink" Target="mailto:rodolfo.vega@mininterior.gov.co" TargetMode="External"/><Relationship Id="rId243" Type="http://schemas.openxmlformats.org/officeDocument/2006/relationships/hyperlink" Target="mailto:rodolfo.vega@mininterior.gov.co" TargetMode="External"/><Relationship Id="rId264" Type="http://schemas.openxmlformats.org/officeDocument/2006/relationships/hyperlink" Target="mailto:rodolfo.vega@mininterior.gov.co" TargetMode="External"/><Relationship Id="rId17" Type="http://schemas.openxmlformats.org/officeDocument/2006/relationships/hyperlink" Target="mailto:victor.moreno@mininterior.gov.co" TargetMode="External"/><Relationship Id="rId38" Type="http://schemas.openxmlformats.org/officeDocument/2006/relationships/hyperlink" Target="mailto:victor.moreno@mininterior.gov.co" TargetMode="External"/><Relationship Id="rId59" Type="http://schemas.openxmlformats.org/officeDocument/2006/relationships/hyperlink" Target="mailto:diana.vivas@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70" Type="http://schemas.openxmlformats.org/officeDocument/2006/relationships/hyperlink" Target="mailto:yuly.manosalva@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edgar.gonzalez@mininterior.gov.co" TargetMode="External"/><Relationship Id="rId166" Type="http://schemas.openxmlformats.org/officeDocument/2006/relationships/hyperlink" Target="mailto:edgar.gonzalez@mininterior.gov.co" TargetMode="External"/><Relationship Id="rId187" Type="http://schemas.openxmlformats.org/officeDocument/2006/relationships/hyperlink" Target="mailto:edgar.gonzalez@mininterior.gov.co" TargetMode="External"/><Relationship Id="rId1" Type="http://schemas.openxmlformats.org/officeDocument/2006/relationships/hyperlink" Target="mailto:victor.moreno@mininterior.gov.co" TargetMode="External"/><Relationship Id="rId212" Type="http://schemas.openxmlformats.org/officeDocument/2006/relationships/hyperlink" Target="mailto:sonia.bernal@mininterior.gov.co" TargetMode="External"/><Relationship Id="rId233" Type="http://schemas.openxmlformats.org/officeDocument/2006/relationships/hyperlink" Target="mailto:rodolfo.vega@mininterior.gov.co" TargetMode="External"/><Relationship Id="rId254" Type="http://schemas.openxmlformats.org/officeDocument/2006/relationships/hyperlink" Target="mailto:rodolfo.vega@mininterior.gov.co" TargetMode="External"/><Relationship Id="rId28" Type="http://schemas.openxmlformats.org/officeDocument/2006/relationships/hyperlink" Target="mailto:victor.moreno@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edgar.gonzalez@mininterior.gov.co" TargetMode="External"/><Relationship Id="rId60" Type="http://schemas.openxmlformats.org/officeDocument/2006/relationships/hyperlink" Target="mailto:diana.vivas@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edgar.gonzalez@mininterior.gov.co" TargetMode="External"/><Relationship Id="rId177" Type="http://schemas.openxmlformats.org/officeDocument/2006/relationships/hyperlink" Target="mailto:edgar.gonzalez@mininterior.gov.co" TargetMode="External"/><Relationship Id="rId198" Type="http://schemas.openxmlformats.org/officeDocument/2006/relationships/hyperlink" Target="mailto:esperanza.moreno@mininterior.gov.co" TargetMode="External"/><Relationship Id="rId202" Type="http://schemas.openxmlformats.org/officeDocument/2006/relationships/hyperlink" Target="mailto:esperanza.moreno@mininterior.gov.co" TargetMode="External"/><Relationship Id="rId223" Type="http://schemas.openxmlformats.org/officeDocument/2006/relationships/hyperlink" Target="mailto:rodolfo.vega@mininterior.gov.co" TargetMode="External"/><Relationship Id="rId244" Type="http://schemas.openxmlformats.org/officeDocument/2006/relationships/hyperlink" Target="mailto:rodolfo.vega@mininterior.gov.co" TargetMode="External"/><Relationship Id="rId18" Type="http://schemas.openxmlformats.org/officeDocument/2006/relationships/hyperlink" Target="mailto:victor.moreno@mininterior.gov.co" TargetMode="External"/><Relationship Id="rId39" Type="http://schemas.openxmlformats.org/officeDocument/2006/relationships/hyperlink" Target="mailto:diana.vivas@mininterior.gov.co" TargetMode="External"/><Relationship Id="rId265" Type="http://schemas.openxmlformats.org/officeDocument/2006/relationships/hyperlink" Target="mailto:rodolfo.vega@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edgar.gonzalez@mininterior.gov.co" TargetMode="External"/><Relationship Id="rId167" Type="http://schemas.openxmlformats.org/officeDocument/2006/relationships/hyperlink" Target="mailto:edgar.gonzalez@mininterior.gov.co" TargetMode="External"/><Relationship Id="rId188" Type="http://schemas.openxmlformats.org/officeDocument/2006/relationships/hyperlink" Target="mailto:edgar.gonzalez@mininterior.gov.co" TargetMode="External"/><Relationship Id="rId71" Type="http://schemas.openxmlformats.org/officeDocument/2006/relationships/hyperlink" Target="mailto:yuly.manosalva@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rodolfo.vega@mininterior.gov.co" TargetMode="External"/><Relationship Id="rId234" Type="http://schemas.openxmlformats.org/officeDocument/2006/relationships/hyperlink" Target="mailto:rodolfo.vega@mininterior.gov.co" TargetMode="External"/><Relationship Id="rId2" Type="http://schemas.openxmlformats.org/officeDocument/2006/relationships/hyperlink" Target="mailto:victor.moreno@mininterior.gov.co" TargetMode="External"/><Relationship Id="rId29" Type="http://schemas.openxmlformats.org/officeDocument/2006/relationships/hyperlink" Target="mailto:victor.moreno@mininterior.gov.co" TargetMode="External"/><Relationship Id="rId255" Type="http://schemas.openxmlformats.org/officeDocument/2006/relationships/hyperlink" Target="mailto:rodolfo.vega@mininterior.gov.co" TargetMode="External"/><Relationship Id="rId276" Type="http://schemas.openxmlformats.org/officeDocument/2006/relationships/hyperlink" Target="mailto:edgar.gonzalez@mininterior.gov.co" TargetMode="External"/><Relationship Id="rId40" Type="http://schemas.openxmlformats.org/officeDocument/2006/relationships/hyperlink" Target="mailto:sandra.contreras@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edgar.gonzalez@mininterior.gov.co" TargetMode="External"/><Relationship Id="rId178" Type="http://schemas.openxmlformats.org/officeDocument/2006/relationships/hyperlink" Target="mailto:edgar.gonzalez@mininterior.gov.co" TargetMode="External"/><Relationship Id="rId61" Type="http://schemas.openxmlformats.org/officeDocument/2006/relationships/hyperlink" Target="mailto:diana.vivas@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esperanza.moreno@mininterior.gov.co" TargetMode="External"/><Relationship Id="rId203" Type="http://schemas.openxmlformats.org/officeDocument/2006/relationships/hyperlink" Target="mailto:sandra.contreras@mininterior.gov.co" TargetMode="External"/><Relationship Id="rId19" Type="http://schemas.openxmlformats.org/officeDocument/2006/relationships/hyperlink" Target="mailto:victor.moreno@mininterior.gov.co" TargetMode="External"/><Relationship Id="rId224" Type="http://schemas.openxmlformats.org/officeDocument/2006/relationships/hyperlink" Target="mailto:rodolfo.vega@mininterior.gov.co" TargetMode="External"/><Relationship Id="rId245" Type="http://schemas.openxmlformats.org/officeDocument/2006/relationships/hyperlink" Target="mailto:rodolfo.vega@mininterior.gov.co" TargetMode="External"/><Relationship Id="rId266" Type="http://schemas.openxmlformats.org/officeDocument/2006/relationships/hyperlink" Target="mailto:rodolfo.vega@mininterior.gov.co" TargetMode="External"/><Relationship Id="rId30" Type="http://schemas.openxmlformats.org/officeDocument/2006/relationships/hyperlink" Target="mailto:victor.moreno@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edgar.gonzalez@mininterior.gov.co" TargetMode="External"/><Relationship Id="rId168"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72" Type="http://schemas.openxmlformats.org/officeDocument/2006/relationships/hyperlink" Target="mailto:yuly.manosalva@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edgar.gonzalez@mininterior.gov.co" TargetMode="External"/><Relationship Id="rId3" Type="http://schemas.openxmlformats.org/officeDocument/2006/relationships/hyperlink" Target="mailto:victor.moreno@mininterior.gov.co" TargetMode="External"/><Relationship Id="rId214" Type="http://schemas.openxmlformats.org/officeDocument/2006/relationships/hyperlink" Target="mailto:rodolfo.vega@mininterior.gov.co" TargetMode="External"/><Relationship Id="rId235" Type="http://schemas.openxmlformats.org/officeDocument/2006/relationships/hyperlink" Target="mailto:rodolfo.vega@mininterior.gov.co" TargetMode="External"/><Relationship Id="rId256" Type="http://schemas.openxmlformats.org/officeDocument/2006/relationships/hyperlink" Target="mailto:rodolfo.vega@mininterior.gov.co" TargetMode="External"/><Relationship Id="rId277" Type="http://schemas.openxmlformats.org/officeDocument/2006/relationships/hyperlink" Target="mailto:amelia.cotes@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edgar.gonzalez@mininterior.gov.co" TargetMode="External"/><Relationship Id="rId20" Type="http://schemas.openxmlformats.org/officeDocument/2006/relationships/hyperlink" Target="mailto:victor.moreno@mininterior.gov.co" TargetMode="External"/><Relationship Id="rId41" Type="http://schemas.openxmlformats.org/officeDocument/2006/relationships/hyperlink" Target="mailto:jarmandoserrano@mininterior.gov.co" TargetMode="External"/><Relationship Id="rId62" Type="http://schemas.openxmlformats.org/officeDocument/2006/relationships/hyperlink" Target="mailto:diana.vivas@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edgar.gonzalez@mininterior.gov.co" TargetMode="External"/><Relationship Id="rId190" Type="http://schemas.openxmlformats.org/officeDocument/2006/relationships/hyperlink" Target="mailto:edgar.gonzalez@mininterior.gov.co" TargetMode="External"/><Relationship Id="rId204" Type="http://schemas.openxmlformats.org/officeDocument/2006/relationships/hyperlink" Target="mailto:sandra.contreras@mininterior.gov.co" TargetMode="External"/><Relationship Id="rId225" Type="http://schemas.openxmlformats.org/officeDocument/2006/relationships/hyperlink" Target="mailto:rodolfo.vega@mininterior.gov.co" TargetMode="External"/><Relationship Id="rId246" Type="http://schemas.openxmlformats.org/officeDocument/2006/relationships/hyperlink" Target="mailto:rodolfo.vega@mininterior.gov.co" TargetMode="External"/><Relationship Id="rId267" Type="http://schemas.openxmlformats.org/officeDocument/2006/relationships/hyperlink" Target="mailto:rodolfo.vega@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10" Type="http://schemas.openxmlformats.org/officeDocument/2006/relationships/hyperlink" Target="mailto:victor.moreno@mininterior.gov.co" TargetMode="External"/><Relationship Id="rId31" Type="http://schemas.openxmlformats.org/officeDocument/2006/relationships/hyperlink" Target="mailto:victor.moreno@mininterior.gov.co" TargetMode="External"/><Relationship Id="rId52" Type="http://schemas.openxmlformats.org/officeDocument/2006/relationships/hyperlink" Target="mailto:franklin.castaneda@mininterior.gov.co" TargetMode="External"/><Relationship Id="rId73" Type="http://schemas.openxmlformats.org/officeDocument/2006/relationships/hyperlink" Target="mailto:yuly.manosalva@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edgar.gonzalez@mininterior.gov.co" TargetMode="External"/><Relationship Id="rId169" Type="http://schemas.openxmlformats.org/officeDocument/2006/relationships/hyperlink" Target="mailto:edgar.gonzalez@mininterior.gov.co" TargetMode="External"/><Relationship Id="rId4" Type="http://schemas.openxmlformats.org/officeDocument/2006/relationships/hyperlink" Target="mailto:victor.moreno@mininterior.gov.co" TargetMode="External"/><Relationship Id="rId180" Type="http://schemas.openxmlformats.org/officeDocument/2006/relationships/hyperlink" Target="mailto:edgar.gonzalez@mininterior.gov.co" TargetMode="External"/><Relationship Id="rId215" Type="http://schemas.openxmlformats.org/officeDocument/2006/relationships/hyperlink" Target="mailto:rodolfo.vega@mininterior.gov.co" TargetMode="External"/><Relationship Id="rId236" Type="http://schemas.openxmlformats.org/officeDocument/2006/relationships/hyperlink" Target="mailto:rodolfo.vega@mininterior.gov.co" TargetMode="External"/><Relationship Id="rId257" Type="http://schemas.openxmlformats.org/officeDocument/2006/relationships/hyperlink" Target="mailto:rodolfo.vega@mininterior.gov.co" TargetMode="External"/><Relationship Id="rId278" Type="http://schemas.openxmlformats.org/officeDocument/2006/relationships/hyperlink" Target="mailto:diana.vivas@mininterior.gov.co" TargetMode="External"/><Relationship Id="rId42" Type="http://schemas.openxmlformats.org/officeDocument/2006/relationships/hyperlink" Target="mailto:diana.vivas@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191" Type="http://schemas.openxmlformats.org/officeDocument/2006/relationships/hyperlink" Target="mailto:edgar.gonzalez@mininterior.gov.co" TargetMode="External"/><Relationship Id="rId205" Type="http://schemas.openxmlformats.org/officeDocument/2006/relationships/hyperlink" Target="mailto:sandra.contreras@mininterior.gov.co" TargetMode="External"/><Relationship Id="rId247" Type="http://schemas.openxmlformats.org/officeDocument/2006/relationships/hyperlink" Target="mailto:rodolfo.vega@mininterior.gov.co" TargetMode="External"/><Relationship Id="rId107" Type="http://schemas.openxmlformats.org/officeDocument/2006/relationships/hyperlink" Target="mailto:edgar.gonzalez@mininterior.gov.co" TargetMode="External"/><Relationship Id="rId11" Type="http://schemas.openxmlformats.org/officeDocument/2006/relationships/hyperlink" Target="mailto:victor.moreno@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edgar.gonzalez@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edgar.gonzalez@mininterior.gov.co" TargetMode="External"/><Relationship Id="rId216" Type="http://schemas.openxmlformats.org/officeDocument/2006/relationships/hyperlink" Target="mailto:rodolfo.vega@mininterior.gov.co" TargetMode="External"/><Relationship Id="rId258" Type="http://schemas.openxmlformats.org/officeDocument/2006/relationships/hyperlink" Target="mailto:rodolfo.vega@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6" workbookViewId="0">
      <selection activeCell="C7" sqref="C7"/>
    </sheetView>
  </sheetViews>
  <sheetFormatPr baseColWidth="10" defaultColWidth="9.140625" defaultRowHeight="15" x14ac:dyDescent="0.25"/>
  <cols>
    <col min="1" max="1" width="10.85546875" customWidth="1"/>
    <col min="2" max="2" width="25.7109375" style="93"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28" t="s">
        <v>217</v>
      </c>
      <c r="C1" s="129"/>
      <c r="D1" s="129"/>
      <c r="E1" s="129"/>
      <c r="F1" s="129"/>
      <c r="G1" s="129"/>
      <c r="H1" s="129"/>
      <c r="I1" s="130"/>
    </row>
    <row r="2" spans="1:9" s="7" customFormat="1" ht="16.5" thickBot="1" x14ac:dyDescent="0.3">
      <c r="A2" s="6"/>
      <c r="B2" s="131" t="s">
        <v>0</v>
      </c>
      <c r="C2" s="131"/>
      <c r="D2" s="131"/>
      <c r="E2" s="131"/>
      <c r="F2" s="131"/>
      <c r="G2" s="131"/>
      <c r="H2" s="131"/>
      <c r="I2" s="131"/>
    </row>
    <row r="3" spans="1:9" s="7" customFormat="1" ht="15.75" x14ac:dyDescent="0.25">
      <c r="A3" s="6"/>
      <c r="B3" s="94" t="s">
        <v>1</v>
      </c>
      <c r="C3" s="95" t="s">
        <v>2</v>
      </c>
      <c r="D3" s="8"/>
      <c r="E3" s="8"/>
      <c r="F3" s="8"/>
      <c r="G3" s="8"/>
      <c r="H3" s="6"/>
      <c r="I3" s="6"/>
    </row>
    <row r="4" spans="1:9" s="7" customFormat="1" ht="31.5" x14ac:dyDescent="0.25">
      <c r="A4" s="6"/>
      <c r="B4" s="96" t="s">
        <v>3</v>
      </c>
      <c r="C4" s="97" t="s">
        <v>4</v>
      </c>
      <c r="D4" s="8"/>
      <c r="E4" s="8"/>
      <c r="F4" s="8"/>
      <c r="G4" s="8"/>
      <c r="H4" s="6"/>
      <c r="I4" s="6"/>
    </row>
    <row r="5" spans="1:9" s="7" customFormat="1" ht="15.75" x14ac:dyDescent="0.25">
      <c r="A5" s="6"/>
      <c r="B5" s="96" t="s">
        <v>5</v>
      </c>
      <c r="C5" s="98" t="s">
        <v>6</v>
      </c>
      <c r="D5" s="8"/>
      <c r="E5" s="8"/>
      <c r="F5" s="8"/>
      <c r="G5" s="8"/>
      <c r="H5" s="6"/>
      <c r="I5" s="6"/>
    </row>
    <row r="6" spans="1:9" s="7" customFormat="1" ht="15.75" x14ac:dyDescent="0.25">
      <c r="A6" s="6"/>
      <c r="B6" s="96" t="s">
        <v>7</v>
      </c>
      <c r="C6" s="99" t="s">
        <v>8</v>
      </c>
      <c r="D6" s="8"/>
      <c r="E6" s="8"/>
      <c r="F6" s="8"/>
      <c r="G6" s="8"/>
      <c r="H6" s="6"/>
      <c r="I6" s="6"/>
    </row>
    <row r="7" spans="1:9" s="7" customFormat="1" ht="186.75" customHeight="1" x14ac:dyDescent="0.2">
      <c r="A7" s="6"/>
      <c r="B7" s="96" t="s">
        <v>9</v>
      </c>
      <c r="C7" s="90" t="s">
        <v>10</v>
      </c>
      <c r="D7" s="8"/>
      <c r="E7" s="8"/>
      <c r="F7" s="8"/>
      <c r="G7" s="132"/>
      <c r="H7" s="132"/>
      <c r="I7" s="6"/>
    </row>
    <row r="8" spans="1:9" s="7" customFormat="1" ht="108.75" customHeight="1" thickBot="1" x14ac:dyDescent="0.25">
      <c r="A8" s="6"/>
      <c r="B8" s="96" t="s">
        <v>11</v>
      </c>
      <c r="C8" s="88" t="s">
        <v>12</v>
      </c>
      <c r="D8" s="8"/>
      <c r="E8" s="8"/>
      <c r="F8" s="8"/>
      <c r="G8" s="8"/>
      <c r="H8" s="8"/>
      <c r="I8" s="8"/>
    </row>
    <row r="9" spans="1:9" s="7" customFormat="1" ht="31.5" x14ac:dyDescent="0.2">
      <c r="A9" s="6"/>
      <c r="B9" s="96" t="s">
        <v>13</v>
      </c>
      <c r="C9" s="92" t="s">
        <v>14</v>
      </c>
      <c r="D9" s="133" t="s">
        <v>15</v>
      </c>
      <c r="E9" s="134"/>
      <c r="F9" s="134"/>
      <c r="G9" s="134"/>
      <c r="H9" s="134"/>
      <c r="I9" s="135"/>
    </row>
    <row r="10" spans="1:9" s="7" customFormat="1" ht="31.5" x14ac:dyDescent="0.2">
      <c r="A10" s="6"/>
      <c r="B10" s="96" t="s">
        <v>16</v>
      </c>
      <c r="C10" s="89" t="s">
        <v>680</v>
      </c>
      <c r="D10" s="136"/>
      <c r="E10" s="137"/>
      <c r="F10" s="137"/>
      <c r="G10" s="137"/>
      <c r="H10" s="137"/>
      <c r="I10" s="138"/>
    </row>
    <row r="11" spans="1:9" s="7" customFormat="1" ht="31.5" x14ac:dyDescent="0.2">
      <c r="A11" s="6"/>
      <c r="B11" s="96" t="s">
        <v>17</v>
      </c>
      <c r="C11" s="89" t="s">
        <v>672</v>
      </c>
      <c r="D11" s="136"/>
      <c r="E11" s="137"/>
      <c r="F11" s="137"/>
      <c r="G11" s="137"/>
      <c r="H11" s="137"/>
      <c r="I11" s="138"/>
    </row>
    <row r="12" spans="1:9" s="7" customFormat="1" ht="32.25" thickBot="1" x14ac:dyDescent="0.25">
      <c r="A12" s="6"/>
      <c r="B12" s="100" t="s">
        <v>18</v>
      </c>
      <c r="C12" s="91">
        <v>45321</v>
      </c>
      <c r="D12" s="139"/>
      <c r="E12" s="140"/>
      <c r="F12" s="140"/>
      <c r="G12" s="140"/>
      <c r="H12" s="140"/>
      <c r="I12" s="141"/>
    </row>
    <row r="13" spans="1:9" ht="18.75" x14ac:dyDescent="0.3">
      <c r="A13" s="4"/>
      <c r="B13" s="101"/>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EDC5-7690-4C8E-9472-3F558FEE0655}">
  <sheetPr>
    <pageSetUpPr fitToPage="1"/>
  </sheetPr>
  <dimension ref="A1:CG700"/>
  <sheetViews>
    <sheetView tabSelected="1" zoomScaleNormal="100" workbookViewId="0">
      <pane ySplit="6" topLeftCell="A7" activePane="bottomLeft" state="frozen"/>
      <selection pane="bottomLeft" activeCell="C17" sqref="C17"/>
    </sheetView>
  </sheetViews>
  <sheetFormatPr baseColWidth="10" defaultColWidth="16.42578125" defaultRowHeight="15" customHeight="1" x14ac:dyDescent="0.2"/>
  <cols>
    <col min="1" max="1" width="16.42578125" style="122"/>
    <col min="2" max="2" width="7.85546875" style="122" customWidth="1"/>
    <col min="3" max="3" width="45.28515625" style="123" customWidth="1"/>
    <col min="4" max="4" width="25.28515625" style="123" customWidth="1"/>
    <col min="5" max="5" width="33.28515625" style="124" bestFit="1" customWidth="1"/>
    <col min="6" max="6" width="18.28515625" style="124" bestFit="1" customWidth="1"/>
    <col min="7" max="7" width="33.28515625" style="124" hidden="1" customWidth="1"/>
    <col min="8" max="8" width="25" style="125" customWidth="1"/>
    <col min="9" max="9" width="57.28515625" style="126" customWidth="1"/>
    <col min="10" max="10" width="16.7109375" style="110" customWidth="1"/>
    <col min="11" max="11" width="17.85546875" style="110" customWidth="1"/>
    <col min="12" max="12" width="15" style="110" customWidth="1"/>
    <col min="13" max="13" width="17.140625" style="122" customWidth="1"/>
    <col min="14" max="14" width="26.42578125" style="122" customWidth="1"/>
    <col min="15" max="15" width="58.5703125" style="110" customWidth="1"/>
    <col min="16" max="16" width="19.5703125" style="110" customWidth="1"/>
    <col min="17" max="17" width="23.5703125" style="124" customWidth="1"/>
    <col min="18" max="18" width="34.42578125" style="124" customWidth="1"/>
    <col min="19" max="19" width="21.28515625" style="122" customWidth="1"/>
    <col min="20" max="20" width="19.5703125" style="122" customWidth="1"/>
    <col min="21" max="21" width="45.85546875" style="110" customWidth="1"/>
    <col min="22" max="22" width="18.42578125" style="122" customWidth="1"/>
    <col min="23" max="23" width="24.85546875" style="110" bestFit="1" customWidth="1"/>
    <col min="24" max="24" width="31.85546875" style="123" customWidth="1"/>
    <col min="25" max="25" width="32.7109375" style="122" customWidth="1"/>
    <col min="26" max="26" width="44.42578125" style="123" customWidth="1"/>
    <col min="27" max="46" width="10.42578125" style="110" customWidth="1"/>
    <col min="47" max="16384" width="16.42578125" style="110"/>
  </cols>
  <sheetData>
    <row r="1" spans="1:46" ht="40.5" customHeight="1" x14ac:dyDescent="0.2">
      <c r="A1" s="102"/>
      <c r="B1" s="103"/>
      <c r="C1" s="104"/>
      <c r="D1" s="104"/>
      <c r="E1" s="106"/>
      <c r="F1" s="106"/>
      <c r="G1" s="106"/>
      <c r="H1" s="107"/>
      <c r="I1" s="108"/>
      <c r="J1" s="105"/>
      <c r="K1" s="105"/>
      <c r="L1" s="105"/>
      <c r="M1" s="103"/>
      <c r="N1" s="103"/>
      <c r="O1" s="105"/>
      <c r="P1" s="105"/>
      <c r="Q1" s="106"/>
      <c r="R1" s="106"/>
      <c r="S1" s="103"/>
      <c r="T1" s="103"/>
      <c r="U1" s="105"/>
      <c r="V1" s="103"/>
      <c r="W1" s="105"/>
      <c r="X1" s="104"/>
      <c r="Y1" s="103"/>
      <c r="Z1" s="104"/>
      <c r="AA1" s="109"/>
      <c r="AB1" s="109"/>
      <c r="AC1" s="109"/>
      <c r="AD1" s="109"/>
      <c r="AE1" s="109"/>
      <c r="AF1" s="109"/>
      <c r="AG1" s="109"/>
      <c r="AH1" s="109"/>
      <c r="AI1" s="109"/>
      <c r="AJ1" s="109"/>
      <c r="AK1" s="109"/>
      <c r="AL1" s="109"/>
      <c r="AM1" s="109"/>
      <c r="AN1" s="109"/>
      <c r="AO1" s="109"/>
      <c r="AP1" s="109"/>
      <c r="AQ1" s="109"/>
      <c r="AR1" s="109"/>
      <c r="AS1" s="109"/>
      <c r="AT1" s="109"/>
    </row>
    <row r="2" spans="1:46" ht="36" customHeight="1" x14ac:dyDescent="0.2">
      <c r="A2" s="102"/>
      <c r="B2" s="111"/>
      <c r="C2" s="112"/>
      <c r="D2" s="112"/>
      <c r="E2" s="114"/>
      <c r="F2" s="114"/>
      <c r="G2" s="114"/>
      <c r="H2" s="115"/>
      <c r="I2" s="116"/>
      <c r="J2" s="113"/>
      <c r="K2" s="113"/>
      <c r="L2" s="113"/>
      <c r="M2" s="111"/>
      <c r="N2" s="111"/>
      <c r="O2" s="113"/>
      <c r="P2" s="113"/>
      <c r="Q2" s="114"/>
      <c r="R2" s="114"/>
      <c r="S2" s="111"/>
      <c r="T2" s="111"/>
      <c r="U2" s="113"/>
      <c r="V2" s="111"/>
      <c r="W2" s="113"/>
      <c r="X2" s="112"/>
      <c r="Y2" s="111"/>
      <c r="Z2" s="112"/>
      <c r="AA2" s="109"/>
      <c r="AB2" s="109"/>
      <c r="AC2" s="109"/>
      <c r="AD2" s="109"/>
      <c r="AE2" s="109"/>
      <c r="AF2" s="109"/>
      <c r="AG2" s="109"/>
      <c r="AH2" s="109"/>
      <c r="AI2" s="109"/>
      <c r="AJ2" s="109"/>
      <c r="AK2" s="109"/>
      <c r="AL2" s="109"/>
      <c r="AM2" s="109"/>
      <c r="AN2" s="109"/>
      <c r="AO2" s="109"/>
      <c r="AP2" s="109"/>
      <c r="AQ2" s="109"/>
      <c r="AR2" s="109"/>
      <c r="AS2" s="109"/>
      <c r="AT2" s="109"/>
    </row>
    <row r="3" spans="1:46" ht="11.25" customHeight="1" x14ac:dyDescent="0.2">
      <c r="A3" s="102"/>
      <c r="B3" s="111"/>
      <c r="C3" s="112"/>
      <c r="D3" s="112"/>
      <c r="E3" s="114"/>
      <c r="F3" s="114"/>
      <c r="G3" s="114"/>
      <c r="H3" s="115"/>
      <c r="I3" s="116"/>
      <c r="J3" s="113"/>
      <c r="K3" s="113"/>
      <c r="L3" s="113"/>
      <c r="M3" s="111"/>
      <c r="N3" s="111"/>
      <c r="O3" s="113"/>
      <c r="P3" s="113"/>
      <c r="Q3" s="114"/>
      <c r="R3" s="114"/>
      <c r="S3" s="111"/>
      <c r="T3" s="111"/>
      <c r="U3" s="113"/>
      <c r="V3" s="111"/>
      <c r="W3" s="113"/>
      <c r="X3" s="112"/>
      <c r="Y3" s="111"/>
      <c r="Z3" s="112"/>
      <c r="AA3" s="109"/>
      <c r="AB3" s="109"/>
      <c r="AC3" s="109"/>
      <c r="AD3" s="109"/>
      <c r="AE3" s="109"/>
      <c r="AF3" s="109"/>
      <c r="AG3" s="109"/>
      <c r="AH3" s="109"/>
      <c r="AI3" s="109"/>
      <c r="AJ3" s="109"/>
      <c r="AK3" s="109"/>
      <c r="AL3" s="109"/>
      <c r="AM3" s="109"/>
      <c r="AN3" s="109"/>
      <c r="AO3" s="109"/>
      <c r="AP3" s="109"/>
      <c r="AQ3" s="109"/>
      <c r="AR3" s="109"/>
      <c r="AS3" s="109"/>
      <c r="AT3" s="109"/>
    </row>
    <row r="4" spans="1:46" ht="19.5" customHeight="1" x14ac:dyDescent="0.2">
      <c r="A4" s="102"/>
      <c r="B4" s="111"/>
      <c r="C4" s="112"/>
      <c r="D4" s="112"/>
      <c r="E4" s="114"/>
      <c r="F4" s="114"/>
      <c r="G4" s="114"/>
      <c r="H4" s="115"/>
      <c r="I4" s="116"/>
      <c r="J4" s="113"/>
      <c r="K4" s="113"/>
      <c r="L4" s="113"/>
      <c r="M4" s="111" t="s">
        <v>221</v>
      </c>
      <c r="N4" s="111"/>
      <c r="O4" s="113" t="s">
        <v>221</v>
      </c>
      <c r="P4" s="113" t="s">
        <v>221</v>
      </c>
      <c r="Q4" s="114" t="s">
        <v>221</v>
      </c>
      <c r="R4" s="114" t="s">
        <v>221</v>
      </c>
      <c r="S4" s="111"/>
      <c r="T4" s="111" t="s">
        <v>221</v>
      </c>
      <c r="U4" s="113" t="s">
        <v>221</v>
      </c>
      <c r="V4" s="111" t="s">
        <v>221</v>
      </c>
      <c r="W4" s="113" t="s">
        <v>221</v>
      </c>
      <c r="X4" s="112"/>
      <c r="Y4" s="111"/>
      <c r="Z4" s="112"/>
      <c r="AA4" s="109"/>
      <c r="AB4" s="109"/>
      <c r="AC4" s="109"/>
      <c r="AD4" s="109"/>
      <c r="AE4" s="109"/>
      <c r="AF4" s="109"/>
      <c r="AG4" s="109"/>
      <c r="AH4" s="109"/>
      <c r="AI4" s="109"/>
      <c r="AJ4" s="109"/>
      <c r="AK4" s="109"/>
      <c r="AL4" s="109"/>
      <c r="AM4" s="109"/>
      <c r="AN4" s="109"/>
      <c r="AO4" s="109"/>
      <c r="AP4" s="109"/>
      <c r="AQ4" s="109"/>
      <c r="AR4" s="109"/>
      <c r="AS4" s="109"/>
      <c r="AT4" s="109"/>
    </row>
    <row r="5" spans="1:46" s="118" customFormat="1" ht="71.25" customHeight="1" x14ac:dyDescent="0.2">
      <c r="A5" s="150" t="s">
        <v>19</v>
      </c>
      <c r="B5" s="150" t="s">
        <v>20</v>
      </c>
      <c r="C5" s="150" t="s">
        <v>183</v>
      </c>
      <c r="D5" s="150" t="s">
        <v>184</v>
      </c>
      <c r="E5" s="152" t="s">
        <v>185</v>
      </c>
      <c r="F5" s="153"/>
      <c r="G5" s="154"/>
      <c r="H5" s="155" t="s">
        <v>186</v>
      </c>
      <c r="I5" s="157" t="s">
        <v>187</v>
      </c>
      <c r="J5" s="144" t="s">
        <v>21</v>
      </c>
      <c r="K5" s="144" t="s">
        <v>22</v>
      </c>
      <c r="L5" s="144" t="s">
        <v>23</v>
      </c>
      <c r="M5" s="144" t="s">
        <v>24</v>
      </c>
      <c r="N5" s="144" t="s">
        <v>188</v>
      </c>
      <c r="O5" s="144" t="s">
        <v>25</v>
      </c>
      <c r="P5" s="144" t="s">
        <v>26</v>
      </c>
      <c r="Q5" s="146" t="s">
        <v>189</v>
      </c>
      <c r="R5" s="146" t="s">
        <v>190</v>
      </c>
      <c r="S5" s="144" t="s">
        <v>27</v>
      </c>
      <c r="T5" s="144" t="s">
        <v>28</v>
      </c>
      <c r="U5" s="144" t="s">
        <v>191</v>
      </c>
      <c r="V5" s="144" t="s">
        <v>193</v>
      </c>
      <c r="W5" s="144" t="s">
        <v>192</v>
      </c>
      <c r="X5" s="144" t="s">
        <v>194</v>
      </c>
      <c r="Y5" s="148" t="s">
        <v>195</v>
      </c>
      <c r="Z5" s="142" t="s">
        <v>196</v>
      </c>
      <c r="AA5" s="117"/>
      <c r="AB5" s="117"/>
      <c r="AC5" s="117"/>
      <c r="AD5" s="117"/>
      <c r="AE5" s="117"/>
      <c r="AF5" s="117"/>
      <c r="AG5" s="117"/>
      <c r="AH5" s="117"/>
      <c r="AI5" s="117"/>
      <c r="AJ5" s="117"/>
      <c r="AK5" s="117"/>
      <c r="AL5" s="117"/>
      <c r="AM5" s="117"/>
      <c r="AN5" s="117"/>
      <c r="AO5" s="117"/>
      <c r="AP5" s="117"/>
      <c r="AQ5" s="117"/>
      <c r="AR5" s="117"/>
      <c r="AS5" s="117"/>
      <c r="AT5" s="117"/>
    </row>
    <row r="6" spans="1:46" s="118" customFormat="1" ht="60.75" customHeight="1" x14ac:dyDescent="0.2">
      <c r="A6" s="151"/>
      <c r="B6" s="151"/>
      <c r="C6" s="151"/>
      <c r="D6" s="151"/>
      <c r="E6" s="119" t="s">
        <v>218</v>
      </c>
      <c r="F6" s="120" t="s">
        <v>219</v>
      </c>
      <c r="G6" s="120" t="s">
        <v>220</v>
      </c>
      <c r="H6" s="156"/>
      <c r="I6" s="158"/>
      <c r="J6" s="145"/>
      <c r="K6" s="145"/>
      <c r="L6" s="145"/>
      <c r="M6" s="145"/>
      <c r="N6" s="145"/>
      <c r="O6" s="145"/>
      <c r="P6" s="145"/>
      <c r="Q6" s="147"/>
      <c r="R6" s="147"/>
      <c r="S6" s="145"/>
      <c r="T6" s="145"/>
      <c r="U6" s="145"/>
      <c r="V6" s="145"/>
      <c r="W6" s="145"/>
      <c r="X6" s="145"/>
      <c r="Y6" s="149"/>
      <c r="Z6" s="143"/>
      <c r="AA6" s="121"/>
      <c r="AB6" s="121"/>
      <c r="AC6" s="121"/>
      <c r="AD6" s="121"/>
      <c r="AE6" s="121"/>
      <c r="AF6" s="121"/>
      <c r="AG6" s="121"/>
      <c r="AH6" s="121"/>
      <c r="AI6" s="121"/>
      <c r="AJ6" s="121"/>
      <c r="AK6" s="121"/>
      <c r="AL6" s="121"/>
      <c r="AM6" s="121"/>
      <c r="AN6" s="121"/>
      <c r="AO6" s="121"/>
      <c r="AP6" s="121"/>
      <c r="AQ6" s="121"/>
      <c r="AR6" s="121"/>
      <c r="AS6" s="121"/>
      <c r="AT6" s="121"/>
    </row>
    <row r="7" spans="1:46" s="189" customFormat="1" ht="12.75" customHeight="1" x14ac:dyDescent="0.2">
      <c r="A7" s="171" t="s">
        <v>32</v>
      </c>
      <c r="B7" s="172">
        <v>1</v>
      </c>
      <c r="C7" s="173" t="s">
        <v>33</v>
      </c>
      <c r="D7" s="173" t="s">
        <v>34</v>
      </c>
      <c r="E7" s="174"/>
      <c r="F7" s="174">
        <v>1337212800</v>
      </c>
      <c r="G7" s="174"/>
      <c r="H7" s="175">
        <v>80111600</v>
      </c>
      <c r="I7" s="176" t="s">
        <v>222</v>
      </c>
      <c r="J7" s="177">
        <v>1</v>
      </c>
      <c r="K7" s="178">
        <v>1</v>
      </c>
      <c r="L7" s="179">
        <v>12</v>
      </c>
      <c r="M7" s="172">
        <f t="shared" ref="M7:M75" si="0">IF(ISBLANK(J7),"",1)</f>
        <v>1</v>
      </c>
      <c r="N7" s="180" t="s">
        <v>216</v>
      </c>
      <c r="O7" s="181" t="str">
        <f>IF(ISBLANK(N7),"",VLOOKUP(N7,[1]Parámetros!$G$2:$H$23,2,FALSE))</f>
        <v>Contratación directa.</v>
      </c>
      <c r="P7" s="182">
        <f t="shared" ref="P7:P38" si="1">IF(ISBLANK(N7),"",1)</f>
        <v>1</v>
      </c>
      <c r="Q7" s="183">
        <f t="shared" ref="Q7:Q75" si="2">+E7+F7+G7</f>
        <v>1337212800</v>
      </c>
      <c r="R7" s="183">
        <f t="shared" ref="R7:R75" si="3">+F7</f>
        <v>1337212800</v>
      </c>
      <c r="S7" s="184" t="s">
        <v>223</v>
      </c>
      <c r="T7" s="180">
        <f t="shared" ref="T7:T38" si="4">IF(ISBLANK(S7),"",IF(VALUE(S7)=0,0,IF(VALUE(S7)=1,3,"")))</f>
        <v>0</v>
      </c>
      <c r="U7" s="185" t="str">
        <f t="shared" ref="U7:U75" si="5">IF(ISBLANK(N7),"","SUBDIRECCION DE GESTION CONTRACTUAL")</f>
        <v>SUBDIRECCION DE GESTION CONTRACTUAL</v>
      </c>
      <c r="V7" s="172" t="str">
        <f t="shared" ref="V7:V38" si="6">IF(ISBLANK(N7),"","CO-DC")</f>
        <v>CO-DC</v>
      </c>
      <c r="W7" s="185" t="str">
        <f t="shared" ref="W7:W38" si="7">IF(ISBLANK(N7),"","Distrito Capital de Bogotá")</f>
        <v>Distrito Capital de Bogotá</v>
      </c>
      <c r="X7" s="186" t="s">
        <v>40</v>
      </c>
      <c r="Y7" s="187">
        <v>2427400</v>
      </c>
      <c r="Z7" s="188" t="s">
        <v>41</v>
      </c>
    </row>
    <row r="8" spans="1:46" s="189" customFormat="1" ht="12.75" customHeight="1" x14ac:dyDescent="0.2">
      <c r="A8" s="171" t="s">
        <v>32</v>
      </c>
      <c r="B8" s="172">
        <v>2</v>
      </c>
      <c r="C8" s="173" t="s">
        <v>33</v>
      </c>
      <c r="D8" s="173" t="s">
        <v>34</v>
      </c>
      <c r="E8" s="174"/>
      <c r="F8" s="174">
        <v>1150688000</v>
      </c>
      <c r="G8" s="174"/>
      <c r="H8" s="175">
        <v>80111600</v>
      </c>
      <c r="I8" s="176" t="s">
        <v>222</v>
      </c>
      <c r="J8" s="177">
        <v>1</v>
      </c>
      <c r="K8" s="178">
        <v>1</v>
      </c>
      <c r="L8" s="179">
        <v>12</v>
      </c>
      <c r="M8" s="172">
        <f t="shared" si="0"/>
        <v>1</v>
      </c>
      <c r="N8" s="180" t="s">
        <v>216</v>
      </c>
      <c r="O8" s="181" t="str">
        <f>IF(ISBLANK(N8),"",VLOOKUP(N8,[1]Parámetros!$G$2:$H$23,2,FALSE))</f>
        <v>Contratación directa.</v>
      </c>
      <c r="P8" s="182">
        <f t="shared" si="1"/>
        <v>1</v>
      </c>
      <c r="Q8" s="183">
        <f t="shared" si="2"/>
        <v>1150688000</v>
      </c>
      <c r="R8" s="183">
        <f t="shared" si="3"/>
        <v>1150688000</v>
      </c>
      <c r="S8" s="184" t="s">
        <v>223</v>
      </c>
      <c r="T8" s="180">
        <f t="shared" si="4"/>
        <v>0</v>
      </c>
      <c r="U8" s="185" t="str">
        <f t="shared" si="5"/>
        <v>SUBDIRECCION DE GESTION CONTRACTUAL</v>
      </c>
      <c r="V8" s="172" t="str">
        <f t="shared" si="6"/>
        <v>CO-DC</v>
      </c>
      <c r="W8" s="185" t="str">
        <f t="shared" si="7"/>
        <v>Distrito Capital de Bogotá</v>
      </c>
      <c r="X8" s="186" t="s">
        <v>40</v>
      </c>
      <c r="Y8" s="172">
        <v>2427381</v>
      </c>
      <c r="Z8" s="188" t="s">
        <v>41</v>
      </c>
    </row>
    <row r="9" spans="1:46" s="189" customFormat="1" ht="12.75" customHeight="1" x14ac:dyDescent="0.2">
      <c r="A9" s="171" t="s">
        <v>32</v>
      </c>
      <c r="B9" s="172">
        <v>3</v>
      </c>
      <c r="C9" s="173" t="s">
        <v>33</v>
      </c>
      <c r="D9" s="173" t="s">
        <v>34</v>
      </c>
      <c r="E9" s="174"/>
      <c r="F9" s="174">
        <v>136434513</v>
      </c>
      <c r="G9" s="174"/>
      <c r="H9" s="175" t="s">
        <v>42</v>
      </c>
      <c r="I9" s="176" t="s">
        <v>626</v>
      </c>
      <c r="J9" s="177">
        <v>3</v>
      </c>
      <c r="K9" s="178">
        <v>4</v>
      </c>
      <c r="L9" s="179">
        <v>9</v>
      </c>
      <c r="M9" s="172">
        <f t="shared" si="0"/>
        <v>1</v>
      </c>
      <c r="N9" s="180" t="s">
        <v>61</v>
      </c>
      <c r="O9" s="181" t="str">
        <f>IF(ISBLANK(N9),"",VLOOKUP(N9,[1]Parámetros!$G$2:$H$23,2,FALSE))</f>
        <v>Contratación régimen especial - Selección de comisionista</v>
      </c>
      <c r="P9" s="182">
        <f t="shared" si="1"/>
        <v>1</v>
      </c>
      <c r="Q9" s="183">
        <f t="shared" si="2"/>
        <v>136434513</v>
      </c>
      <c r="R9" s="183">
        <f t="shared" si="3"/>
        <v>136434513</v>
      </c>
      <c r="S9" s="184" t="s">
        <v>223</v>
      </c>
      <c r="T9" s="180">
        <f t="shared" si="4"/>
        <v>0</v>
      </c>
      <c r="U9" s="185" t="str">
        <f t="shared" si="5"/>
        <v>SUBDIRECCION DE GESTION CONTRACTUAL</v>
      </c>
      <c r="V9" s="172" t="str">
        <f t="shared" si="6"/>
        <v>CO-DC</v>
      </c>
      <c r="W9" s="185" t="str">
        <f t="shared" si="7"/>
        <v>Distrito Capital de Bogotá</v>
      </c>
      <c r="X9" s="186" t="s">
        <v>40</v>
      </c>
      <c r="Y9" s="172">
        <v>2427382</v>
      </c>
      <c r="Z9" s="188" t="s">
        <v>41</v>
      </c>
    </row>
    <row r="10" spans="1:46" s="189" customFormat="1" ht="12.75" customHeight="1" x14ac:dyDescent="0.2">
      <c r="A10" s="171" t="s">
        <v>32</v>
      </c>
      <c r="B10" s="172">
        <v>4</v>
      </c>
      <c r="C10" s="173" t="s">
        <v>33</v>
      </c>
      <c r="D10" s="173" t="s">
        <v>34</v>
      </c>
      <c r="E10" s="174"/>
      <c r="F10" s="174">
        <v>1200000000</v>
      </c>
      <c r="G10" s="174"/>
      <c r="H10" s="175" t="s">
        <v>224</v>
      </c>
      <c r="I10" s="176" t="s">
        <v>225</v>
      </c>
      <c r="J10" s="177">
        <v>2</v>
      </c>
      <c r="K10" s="178">
        <v>2</v>
      </c>
      <c r="L10" s="179">
        <v>6</v>
      </c>
      <c r="M10" s="172">
        <f t="shared" si="0"/>
        <v>1</v>
      </c>
      <c r="N10" s="180" t="s">
        <v>36</v>
      </c>
      <c r="O10" s="181" t="str">
        <f>IF(ISBLANK(N10),"",VLOOKUP(N10,[1]Parámetros!$G$2:$H$23,2,FALSE))</f>
        <v xml:space="preserve">Contratación directa (con ofertas) </v>
      </c>
      <c r="P10" s="182">
        <f t="shared" si="1"/>
        <v>1</v>
      </c>
      <c r="Q10" s="183">
        <f t="shared" si="2"/>
        <v>1200000000</v>
      </c>
      <c r="R10" s="183">
        <f t="shared" si="3"/>
        <v>1200000000</v>
      </c>
      <c r="S10" s="184" t="s">
        <v>223</v>
      </c>
      <c r="T10" s="180">
        <f t="shared" si="4"/>
        <v>0</v>
      </c>
      <c r="U10" s="185" t="str">
        <f t="shared" si="5"/>
        <v>SUBDIRECCION DE GESTION CONTRACTUAL</v>
      </c>
      <c r="V10" s="172" t="str">
        <f t="shared" si="6"/>
        <v>CO-DC</v>
      </c>
      <c r="W10" s="185" t="str">
        <f t="shared" si="7"/>
        <v>Distrito Capital de Bogotá</v>
      </c>
      <c r="X10" s="186" t="s">
        <v>40</v>
      </c>
      <c r="Y10" s="172">
        <v>2427383</v>
      </c>
      <c r="Z10" s="188" t="s">
        <v>41</v>
      </c>
    </row>
    <row r="11" spans="1:46" s="189" customFormat="1" ht="12.75" customHeight="1" x14ac:dyDescent="0.2">
      <c r="A11" s="171" t="s">
        <v>32</v>
      </c>
      <c r="B11" s="172">
        <v>5</v>
      </c>
      <c r="C11" s="173" t="s">
        <v>45</v>
      </c>
      <c r="D11" s="173" t="s">
        <v>34</v>
      </c>
      <c r="E11" s="174"/>
      <c r="F11" s="174">
        <v>2584736000</v>
      </c>
      <c r="G11" s="174"/>
      <c r="H11" s="175">
        <v>80111600</v>
      </c>
      <c r="I11" s="176" t="s">
        <v>222</v>
      </c>
      <c r="J11" s="177">
        <v>1</v>
      </c>
      <c r="K11" s="178">
        <v>1</v>
      </c>
      <c r="L11" s="179">
        <v>12</v>
      </c>
      <c r="M11" s="172">
        <f t="shared" si="0"/>
        <v>1</v>
      </c>
      <c r="N11" s="180" t="s">
        <v>216</v>
      </c>
      <c r="O11" s="181" t="str">
        <f>IF(ISBLANK(N11),"",VLOOKUP(N11,[1]Parámetros!$G$2:$H$23,2,FALSE))</f>
        <v>Contratación directa.</v>
      </c>
      <c r="P11" s="182">
        <f t="shared" si="1"/>
        <v>1</v>
      </c>
      <c r="Q11" s="183">
        <f t="shared" si="2"/>
        <v>2584736000</v>
      </c>
      <c r="R11" s="183">
        <f t="shared" si="3"/>
        <v>2584736000</v>
      </c>
      <c r="S11" s="184" t="s">
        <v>223</v>
      </c>
      <c r="T11" s="180">
        <f t="shared" si="4"/>
        <v>0</v>
      </c>
      <c r="U11" s="185" t="str">
        <f t="shared" si="5"/>
        <v>SUBDIRECCION DE GESTION CONTRACTUAL</v>
      </c>
      <c r="V11" s="172" t="str">
        <f t="shared" si="6"/>
        <v>CO-DC</v>
      </c>
      <c r="W11" s="185" t="str">
        <f t="shared" si="7"/>
        <v>Distrito Capital de Bogotá</v>
      </c>
      <c r="X11" s="186" t="s">
        <v>40</v>
      </c>
      <c r="Y11" s="172">
        <v>2427384</v>
      </c>
      <c r="Z11" s="188" t="s">
        <v>41</v>
      </c>
    </row>
    <row r="12" spans="1:46" s="189" customFormat="1" ht="12.75" customHeight="1" x14ac:dyDescent="0.2">
      <c r="A12" s="171" t="s">
        <v>32</v>
      </c>
      <c r="B12" s="172">
        <v>6</v>
      </c>
      <c r="C12" s="173" t="s">
        <v>45</v>
      </c>
      <c r="D12" s="173" t="s">
        <v>34</v>
      </c>
      <c r="E12" s="174"/>
      <c r="F12" s="174">
        <v>2277330194</v>
      </c>
      <c r="G12" s="174"/>
      <c r="H12" s="175">
        <v>80111600</v>
      </c>
      <c r="I12" s="176" t="s">
        <v>222</v>
      </c>
      <c r="J12" s="177">
        <v>1</v>
      </c>
      <c r="K12" s="178">
        <v>1</v>
      </c>
      <c r="L12" s="179">
        <v>12</v>
      </c>
      <c r="M12" s="172">
        <f t="shared" si="0"/>
        <v>1</v>
      </c>
      <c r="N12" s="180" t="s">
        <v>216</v>
      </c>
      <c r="O12" s="181" t="str">
        <f>IF(ISBLANK(N12),"",VLOOKUP(N12,[1]Parámetros!$G$2:$H$23,2,FALSE))</f>
        <v>Contratación directa.</v>
      </c>
      <c r="P12" s="182">
        <f t="shared" si="1"/>
        <v>1</v>
      </c>
      <c r="Q12" s="183">
        <f t="shared" si="2"/>
        <v>2277330194</v>
      </c>
      <c r="R12" s="183">
        <f t="shared" si="3"/>
        <v>2277330194</v>
      </c>
      <c r="S12" s="184" t="s">
        <v>223</v>
      </c>
      <c r="T12" s="180">
        <f t="shared" si="4"/>
        <v>0</v>
      </c>
      <c r="U12" s="185" t="str">
        <f t="shared" si="5"/>
        <v>SUBDIRECCION DE GESTION CONTRACTUAL</v>
      </c>
      <c r="V12" s="172" t="str">
        <f t="shared" si="6"/>
        <v>CO-DC</v>
      </c>
      <c r="W12" s="185" t="str">
        <f t="shared" si="7"/>
        <v>Distrito Capital de Bogotá</v>
      </c>
      <c r="X12" s="186" t="s">
        <v>40</v>
      </c>
      <c r="Y12" s="172">
        <v>2427385</v>
      </c>
      <c r="Z12" s="188" t="s">
        <v>41</v>
      </c>
    </row>
    <row r="13" spans="1:46" s="189" customFormat="1" ht="12.75" customHeight="1" x14ac:dyDescent="0.2">
      <c r="A13" s="171" t="s">
        <v>32</v>
      </c>
      <c r="B13" s="172">
        <v>7</v>
      </c>
      <c r="C13" s="173" t="s">
        <v>45</v>
      </c>
      <c r="D13" s="173" t="s">
        <v>34</v>
      </c>
      <c r="E13" s="174"/>
      <c r="F13" s="174">
        <v>586432000</v>
      </c>
      <c r="G13" s="174"/>
      <c r="H13" s="175">
        <v>80111600</v>
      </c>
      <c r="I13" s="176" t="s">
        <v>222</v>
      </c>
      <c r="J13" s="177">
        <v>1</v>
      </c>
      <c r="K13" s="178">
        <v>1</v>
      </c>
      <c r="L13" s="179">
        <v>12</v>
      </c>
      <c r="M13" s="172">
        <f t="shared" si="0"/>
        <v>1</v>
      </c>
      <c r="N13" s="180" t="s">
        <v>216</v>
      </c>
      <c r="O13" s="181" t="str">
        <f>IF(ISBLANK(N13),"",VLOOKUP(N13,[1]Parámetros!$G$2:$H$23,2,FALSE))</f>
        <v>Contratación directa.</v>
      </c>
      <c r="P13" s="182">
        <f t="shared" si="1"/>
        <v>1</v>
      </c>
      <c r="Q13" s="183">
        <f t="shared" si="2"/>
        <v>586432000</v>
      </c>
      <c r="R13" s="183">
        <f t="shared" si="3"/>
        <v>586432000</v>
      </c>
      <c r="S13" s="184" t="s">
        <v>223</v>
      </c>
      <c r="T13" s="180">
        <f t="shared" si="4"/>
        <v>0</v>
      </c>
      <c r="U13" s="185" t="str">
        <f t="shared" si="5"/>
        <v>SUBDIRECCION DE GESTION CONTRACTUAL</v>
      </c>
      <c r="V13" s="172" t="str">
        <f t="shared" si="6"/>
        <v>CO-DC</v>
      </c>
      <c r="W13" s="185" t="str">
        <f t="shared" si="7"/>
        <v>Distrito Capital de Bogotá</v>
      </c>
      <c r="X13" s="186" t="s">
        <v>40</v>
      </c>
      <c r="Y13" s="172">
        <v>2427386</v>
      </c>
      <c r="Z13" s="188" t="s">
        <v>41</v>
      </c>
    </row>
    <row r="14" spans="1:46" s="189" customFormat="1" ht="12.75" customHeight="1" x14ac:dyDescent="0.2">
      <c r="A14" s="171" t="s">
        <v>32</v>
      </c>
      <c r="B14" s="172">
        <v>8</v>
      </c>
      <c r="C14" s="173" t="s">
        <v>45</v>
      </c>
      <c r="D14" s="173" t="s">
        <v>34</v>
      </c>
      <c r="E14" s="174">
        <v>371842677</v>
      </c>
      <c r="F14" s="174">
        <v>1778365240</v>
      </c>
      <c r="G14" s="174"/>
      <c r="H14" s="175" t="s">
        <v>42</v>
      </c>
      <c r="I14" s="176" t="s">
        <v>626</v>
      </c>
      <c r="J14" s="177">
        <v>3</v>
      </c>
      <c r="K14" s="178">
        <v>4</v>
      </c>
      <c r="L14" s="179">
        <v>9</v>
      </c>
      <c r="M14" s="172">
        <f t="shared" si="0"/>
        <v>1</v>
      </c>
      <c r="N14" s="180" t="s">
        <v>61</v>
      </c>
      <c r="O14" s="181" t="str">
        <f>IF(ISBLANK(N14),"",VLOOKUP(N14,[1]Parámetros!$G$2:$H$23,2,FALSE))</f>
        <v>Contratación régimen especial - Selección de comisionista</v>
      </c>
      <c r="P14" s="182">
        <f t="shared" si="1"/>
        <v>1</v>
      </c>
      <c r="Q14" s="183">
        <f t="shared" si="2"/>
        <v>2150207917</v>
      </c>
      <c r="R14" s="183">
        <f t="shared" si="3"/>
        <v>1778365240</v>
      </c>
      <c r="S14" s="184" t="s">
        <v>223</v>
      </c>
      <c r="T14" s="180">
        <f t="shared" si="4"/>
        <v>0</v>
      </c>
      <c r="U14" s="185" t="str">
        <f t="shared" si="5"/>
        <v>SUBDIRECCION DE GESTION CONTRACTUAL</v>
      </c>
      <c r="V14" s="172" t="str">
        <f t="shared" si="6"/>
        <v>CO-DC</v>
      </c>
      <c r="W14" s="185" t="str">
        <f t="shared" si="7"/>
        <v>Distrito Capital de Bogotá</v>
      </c>
      <c r="X14" s="186" t="s">
        <v>40</v>
      </c>
      <c r="Y14" s="172">
        <v>2427387</v>
      </c>
      <c r="Z14" s="188" t="s">
        <v>41</v>
      </c>
    </row>
    <row r="15" spans="1:46" s="189" customFormat="1" ht="12.75" customHeight="1" x14ac:dyDescent="0.2">
      <c r="A15" s="171" t="s">
        <v>32</v>
      </c>
      <c r="B15" s="172">
        <v>9</v>
      </c>
      <c r="C15" s="173" t="s">
        <v>45</v>
      </c>
      <c r="D15" s="173" t="s">
        <v>34</v>
      </c>
      <c r="E15" s="174"/>
      <c r="F15" s="174">
        <v>600000000</v>
      </c>
      <c r="G15" s="174"/>
      <c r="H15" s="175" t="s">
        <v>224</v>
      </c>
      <c r="I15" s="176" t="s">
        <v>225</v>
      </c>
      <c r="J15" s="190">
        <v>2</v>
      </c>
      <c r="K15" s="191">
        <v>2</v>
      </c>
      <c r="L15" s="192">
        <v>6</v>
      </c>
      <c r="M15" s="172">
        <f t="shared" si="0"/>
        <v>1</v>
      </c>
      <c r="N15" s="180" t="s">
        <v>36</v>
      </c>
      <c r="O15" s="181" t="str">
        <f>IF(ISBLANK(N15),"",VLOOKUP(N15,[1]Parámetros!$G$2:$H$23,2,FALSE))</f>
        <v xml:space="preserve">Contratación directa (con ofertas) </v>
      </c>
      <c r="P15" s="182">
        <f t="shared" si="1"/>
        <v>1</v>
      </c>
      <c r="Q15" s="183">
        <f t="shared" si="2"/>
        <v>600000000</v>
      </c>
      <c r="R15" s="183">
        <f t="shared" si="3"/>
        <v>600000000</v>
      </c>
      <c r="S15" s="184" t="s">
        <v>223</v>
      </c>
      <c r="T15" s="180">
        <f t="shared" si="4"/>
        <v>0</v>
      </c>
      <c r="U15" s="185" t="str">
        <f t="shared" si="5"/>
        <v>SUBDIRECCION DE GESTION CONTRACTUAL</v>
      </c>
      <c r="V15" s="172" t="str">
        <f t="shared" si="6"/>
        <v>CO-DC</v>
      </c>
      <c r="W15" s="185" t="str">
        <f t="shared" si="7"/>
        <v>Distrito Capital de Bogotá</v>
      </c>
      <c r="X15" s="186" t="s">
        <v>40</v>
      </c>
      <c r="Y15" s="172">
        <v>2427388</v>
      </c>
      <c r="Z15" s="188" t="s">
        <v>41</v>
      </c>
    </row>
    <row r="16" spans="1:46" s="189" customFormat="1" ht="12.75" customHeight="1" x14ac:dyDescent="0.2">
      <c r="A16" s="171" t="s">
        <v>32</v>
      </c>
      <c r="B16" s="172">
        <v>10</v>
      </c>
      <c r="C16" s="173" t="s">
        <v>45</v>
      </c>
      <c r="D16" s="173" t="s">
        <v>34</v>
      </c>
      <c r="E16" s="174"/>
      <c r="F16" s="174">
        <f>2000000000-1200000000</f>
        <v>800000000</v>
      </c>
      <c r="G16" s="174"/>
      <c r="H16" s="175" t="s">
        <v>801</v>
      </c>
      <c r="I16" s="176" t="s">
        <v>227</v>
      </c>
      <c r="J16" s="193">
        <v>1</v>
      </c>
      <c r="K16" s="193">
        <v>2</v>
      </c>
      <c r="L16" s="193">
        <v>3</v>
      </c>
      <c r="M16" s="172">
        <f t="shared" si="0"/>
        <v>1</v>
      </c>
      <c r="N16" s="180" t="s">
        <v>36</v>
      </c>
      <c r="O16" s="181" t="str">
        <f>IF(ISBLANK(N16),"",VLOOKUP(N16,[1]Parámetros!$G$2:$H$23,2,FALSE))</f>
        <v xml:space="preserve">Contratación directa (con ofertas) </v>
      </c>
      <c r="P16" s="182">
        <f t="shared" si="1"/>
        <v>1</v>
      </c>
      <c r="Q16" s="183">
        <f t="shared" si="2"/>
        <v>800000000</v>
      </c>
      <c r="R16" s="183">
        <f t="shared" si="3"/>
        <v>800000000</v>
      </c>
      <c r="S16" s="184" t="s">
        <v>223</v>
      </c>
      <c r="T16" s="180">
        <f t="shared" si="4"/>
        <v>0</v>
      </c>
      <c r="U16" s="185" t="str">
        <f t="shared" si="5"/>
        <v>SUBDIRECCION DE GESTION CONTRACTUAL</v>
      </c>
      <c r="V16" s="172" t="str">
        <f t="shared" si="6"/>
        <v>CO-DC</v>
      </c>
      <c r="W16" s="185" t="str">
        <f t="shared" si="7"/>
        <v>Distrito Capital de Bogotá</v>
      </c>
      <c r="X16" s="186" t="s">
        <v>40</v>
      </c>
      <c r="Y16" s="172">
        <v>2427389</v>
      </c>
      <c r="Z16" s="188" t="s">
        <v>41</v>
      </c>
    </row>
    <row r="17" spans="1:85" s="189" customFormat="1" ht="12.75" customHeight="1" x14ac:dyDescent="0.2">
      <c r="A17" s="171" t="s">
        <v>32</v>
      </c>
      <c r="B17" s="172">
        <v>11</v>
      </c>
      <c r="C17" s="173" t="s">
        <v>45</v>
      </c>
      <c r="D17" s="173" t="s">
        <v>34</v>
      </c>
      <c r="E17" s="174"/>
      <c r="F17" s="174">
        <v>700000000</v>
      </c>
      <c r="G17" s="174"/>
      <c r="H17" s="175" t="s">
        <v>103</v>
      </c>
      <c r="I17" s="176" t="s">
        <v>631</v>
      </c>
      <c r="J17" s="177">
        <v>2</v>
      </c>
      <c r="K17" s="178">
        <v>3</v>
      </c>
      <c r="L17" s="179">
        <v>10</v>
      </c>
      <c r="M17" s="172">
        <f t="shared" si="0"/>
        <v>1</v>
      </c>
      <c r="N17" s="180" t="s">
        <v>36</v>
      </c>
      <c r="O17" s="181" t="str">
        <f>IF(ISBLANK(N17),"",VLOOKUP(N17,[1]Parámetros!$G$2:$H$23,2,FALSE))</f>
        <v xml:space="preserve">Contratación directa (con ofertas) </v>
      </c>
      <c r="P17" s="182">
        <f t="shared" si="1"/>
        <v>1</v>
      </c>
      <c r="Q17" s="183">
        <f t="shared" si="2"/>
        <v>700000000</v>
      </c>
      <c r="R17" s="183">
        <f t="shared" si="3"/>
        <v>700000000</v>
      </c>
      <c r="S17" s="184" t="s">
        <v>223</v>
      </c>
      <c r="T17" s="180">
        <f t="shared" si="4"/>
        <v>0</v>
      </c>
      <c r="U17" s="185" t="str">
        <f t="shared" si="5"/>
        <v>SUBDIRECCION DE GESTION CONTRACTUAL</v>
      </c>
      <c r="V17" s="172" t="str">
        <f t="shared" si="6"/>
        <v>CO-DC</v>
      </c>
      <c r="W17" s="185" t="str">
        <f t="shared" si="7"/>
        <v>Distrito Capital de Bogotá</v>
      </c>
      <c r="X17" s="186" t="s">
        <v>40</v>
      </c>
      <c r="Y17" s="172">
        <v>2427390</v>
      </c>
      <c r="Z17" s="188" t="s">
        <v>41</v>
      </c>
    </row>
    <row r="18" spans="1:85" s="189" customFormat="1" ht="12.75" customHeight="1" x14ac:dyDescent="0.2">
      <c r="A18" s="171" t="s">
        <v>32</v>
      </c>
      <c r="B18" s="172">
        <v>12</v>
      </c>
      <c r="C18" s="173" t="s">
        <v>45</v>
      </c>
      <c r="D18" s="173" t="s">
        <v>34</v>
      </c>
      <c r="E18" s="174"/>
      <c r="F18" s="174">
        <v>3147788700</v>
      </c>
      <c r="G18" s="174"/>
      <c r="H18" s="175">
        <v>93141700</v>
      </c>
      <c r="I18" s="176" t="s">
        <v>228</v>
      </c>
      <c r="J18" s="177">
        <v>1</v>
      </c>
      <c r="K18" s="178">
        <v>1</v>
      </c>
      <c r="L18" s="179">
        <v>3</v>
      </c>
      <c r="M18" s="172">
        <f t="shared" si="0"/>
        <v>1</v>
      </c>
      <c r="N18" s="180" t="s">
        <v>36</v>
      </c>
      <c r="O18" s="181" t="str">
        <f>IF(ISBLANK(N18),"",VLOOKUP(N18,[1]Parámetros!$G$2:$H$23,2,FALSE))</f>
        <v xml:space="preserve">Contratación directa (con ofertas) </v>
      </c>
      <c r="P18" s="182">
        <f t="shared" si="1"/>
        <v>1</v>
      </c>
      <c r="Q18" s="183">
        <f t="shared" si="2"/>
        <v>3147788700</v>
      </c>
      <c r="R18" s="183">
        <f t="shared" si="3"/>
        <v>3147788700</v>
      </c>
      <c r="S18" s="184" t="s">
        <v>223</v>
      </c>
      <c r="T18" s="180">
        <f t="shared" si="4"/>
        <v>0</v>
      </c>
      <c r="U18" s="185" t="str">
        <f t="shared" si="5"/>
        <v>SUBDIRECCION DE GESTION CONTRACTUAL</v>
      </c>
      <c r="V18" s="172" t="str">
        <f t="shared" si="6"/>
        <v>CO-DC</v>
      </c>
      <c r="W18" s="185" t="str">
        <f t="shared" si="7"/>
        <v>Distrito Capital de Bogotá</v>
      </c>
      <c r="X18" s="186" t="s">
        <v>40</v>
      </c>
      <c r="Y18" s="172">
        <v>2427391</v>
      </c>
      <c r="Z18" s="188" t="s">
        <v>41</v>
      </c>
    </row>
    <row r="19" spans="1:85" s="189" customFormat="1" ht="12.75" customHeight="1" x14ac:dyDescent="0.2">
      <c r="A19" s="171" t="s">
        <v>32</v>
      </c>
      <c r="B19" s="172">
        <v>13</v>
      </c>
      <c r="C19" s="173" t="s">
        <v>45</v>
      </c>
      <c r="D19" s="173" t="s">
        <v>34</v>
      </c>
      <c r="E19" s="174"/>
      <c r="F19" s="174">
        <v>2300000000</v>
      </c>
      <c r="G19" s="174"/>
      <c r="H19" s="175" t="s">
        <v>229</v>
      </c>
      <c r="I19" s="176" t="s">
        <v>230</v>
      </c>
      <c r="J19" s="177">
        <v>3</v>
      </c>
      <c r="K19" s="178">
        <v>3</v>
      </c>
      <c r="L19" s="179">
        <v>6</v>
      </c>
      <c r="M19" s="172">
        <f t="shared" si="0"/>
        <v>1</v>
      </c>
      <c r="N19" s="180" t="s">
        <v>36</v>
      </c>
      <c r="O19" s="181" t="str">
        <f>IF(ISBLANK(N19),"",VLOOKUP(N19,[1]Parámetros!$G$2:$H$23,2,FALSE))</f>
        <v xml:space="preserve">Contratación directa (con ofertas) </v>
      </c>
      <c r="P19" s="182">
        <f t="shared" si="1"/>
        <v>1</v>
      </c>
      <c r="Q19" s="183">
        <f t="shared" si="2"/>
        <v>2300000000</v>
      </c>
      <c r="R19" s="183">
        <f t="shared" si="3"/>
        <v>2300000000</v>
      </c>
      <c r="S19" s="184" t="s">
        <v>223</v>
      </c>
      <c r="T19" s="180">
        <f t="shared" si="4"/>
        <v>0</v>
      </c>
      <c r="U19" s="185" t="str">
        <f t="shared" si="5"/>
        <v>SUBDIRECCION DE GESTION CONTRACTUAL</v>
      </c>
      <c r="V19" s="172" t="str">
        <f t="shared" si="6"/>
        <v>CO-DC</v>
      </c>
      <c r="W19" s="185" t="str">
        <f t="shared" si="7"/>
        <v>Distrito Capital de Bogotá</v>
      </c>
      <c r="X19" s="186" t="s">
        <v>40</v>
      </c>
      <c r="Y19" s="172">
        <v>2427392</v>
      </c>
      <c r="Z19" s="188" t="s">
        <v>41</v>
      </c>
    </row>
    <row r="20" spans="1:85" s="189" customFormat="1" ht="12.75" customHeight="1" x14ac:dyDescent="0.2">
      <c r="A20" s="171" t="s">
        <v>32</v>
      </c>
      <c r="B20" s="172">
        <v>14</v>
      </c>
      <c r="C20" s="173" t="s">
        <v>45</v>
      </c>
      <c r="D20" s="173" t="s">
        <v>34</v>
      </c>
      <c r="E20" s="174"/>
      <c r="F20" s="174">
        <v>2200000000</v>
      </c>
      <c r="G20" s="174"/>
      <c r="H20" s="175" t="s">
        <v>229</v>
      </c>
      <c r="I20" s="176" t="s">
        <v>231</v>
      </c>
      <c r="J20" s="177">
        <v>3</v>
      </c>
      <c r="K20" s="178">
        <v>3</v>
      </c>
      <c r="L20" s="179">
        <v>6</v>
      </c>
      <c r="M20" s="172">
        <f t="shared" si="0"/>
        <v>1</v>
      </c>
      <c r="N20" s="180" t="s">
        <v>36</v>
      </c>
      <c r="O20" s="181" t="str">
        <f>IF(ISBLANK(N20),"",VLOOKUP(N20,[1]Parámetros!$G$2:$H$23,2,FALSE))</f>
        <v xml:space="preserve">Contratación directa (con ofertas) </v>
      </c>
      <c r="P20" s="182">
        <f t="shared" si="1"/>
        <v>1</v>
      </c>
      <c r="Q20" s="183">
        <f t="shared" si="2"/>
        <v>2200000000</v>
      </c>
      <c r="R20" s="183">
        <f t="shared" si="3"/>
        <v>2200000000</v>
      </c>
      <c r="S20" s="184" t="s">
        <v>223</v>
      </c>
      <c r="T20" s="180">
        <f t="shared" si="4"/>
        <v>0</v>
      </c>
      <c r="U20" s="185" t="str">
        <f t="shared" si="5"/>
        <v>SUBDIRECCION DE GESTION CONTRACTUAL</v>
      </c>
      <c r="V20" s="172" t="str">
        <f t="shared" si="6"/>
        <v>CO-DC</v>
      </c>
      <c r="W20" s="185" t="str">
        <f t="shared" si="7"/>
        <v>Distrito Capital de Bogotá</v>
      </c>
      <c r="X20" s="186" t="s">
        <v>40</v>
      </c>
      <c r="Y20" s="172">
        <v>2427393</v>
      </c>
      <c r="Z20" s="188" t="s">
        <v>41</v>
      </c>
    </row>
    <row r="21" spans="1:85" s="189" customFormat="1" ht="12.75" customHeight="1" x14ac:dyDescent="0.2">
      <c r="A21" s="171" t="s">
        <v>32</v>
      </c>
      <c r="B21" s="172">
        <v>15</v>
      </c>
      <c r="C21" s="173" t="s">
        <v>45</v>
      </c>
      <c r="D21" s="173" t="s">
        <v>34</v>
      </c>
      <c r="E21" s="174"/>
      <c r="F21" s="174">
        <v>1700000000</v>
      </c>
      <c r="G21" s="174"/>
      <c r="H21" s="175" t="s">
        <v>229</v>
      </c>
      <c r="I21" s="176" t="s">
        <v>232</v>
      </c>
      <c r="J21" s="177">
        <v>3</v>
      </c>
      <c r="K21" s="178">
        <v>3</v>
      </c>
      <c r="L21" s="179">
        <v>6</v>
      </c>
      <c r="M21" s="172">
        <f t="shared" si="0"/>
        <v>1</v>
      </c>
      <c r="N21" s="180" t="s">
        <v>36</v>
      </c>
      <c r="O21" s="181" t="str">
        <f>IF(ISBLANK(N21),"",VLOOKUP(N21,[1]Parámetros!$G$2:$H$23,2,FALSE))</f>
        <v xml:space="preserve">Contratación directa (con ofertas) </v>
      </c>
      <c r="P21" s="182">
        <f t="shared" si="1"/>
        <v>1</v>
      </c>
      <c r="Q21" s="183">
        <f t="shared" si="2"/>
        <v>1700000000</v>
      </c>
      <c r="R21" s="183">
        <f t="shared" si="3"/>
        <v>1700000000</v>
      </c>
      <c r="S21" s="184" t="s">
        <v>223</v>
      </c>
      <c r="T21" s="180">
        <f t="shared" si="4"/>
        <v>0</v>
      </c>
      <c r="U21" s="185" t="str">
        <f t="shared" si="5"/>
        <v>SUBDIRECCION DE GESTION CONTRACTUAL</v>
      </c>
      <c r="V21" s="172" t="str">
        <f t="shared" si="6"/>
        <v>CO-DC</v>
      </c>
      <c r="W21" s="185" t="str">
        <f t="shared" si="7"/>
        <v>Distrito Capital de Bogotá</v>
      </c>
      <c r="X21" s="186" t="s">
        <v>40</v>
      </c>
      <c r="Y21" s="172">
        <v>2427394</v>
      </c>
      <c r="Z21" s="188" t="s">
        <v>41</v>
      </c>
    </row>
    <row r="22" spans="1:85" s="189" customFormat="1" ht="12.75" customHeight="1" x14ac:dyDescent="0.2">
      <c r="A22" s="171" t="s">
        <v>32</v>
      </c>
      <c r="B22" s="172">
        <v>16</v>
      </c>
      <c r="C22" s="173" t="s">
        <v>45</v>
      </c>
      <c r="D22" s="173" t="s">
        <v>34</v>
      </c>
      <c r="E22" s="174"/>
      <c r="F22" s="174">
        <v>2991363958</v>
      </c>
      <c r="G22" s="174"/>
      <c r="H22" s="175" t="s">
        <v>229</v>
      </c>
      <c r="I22" s="176" t="s">
        <v>233</v>
      </c>
      <c r="J22" s="190">
        <v>3</v>
      </c>
      <c r="K22" s="191">
        <v>3</v>
      </c>
      <c r="L22" s="192">
        <v>6</v>
      </c>
      <c r="M22" s="172">
        <f t="shared" si="0"/>
        <v>1</v>
      </c>
      <c r="N22" s="180" t="s">
        <v>36</v>
      </c>
      <c r="O22" s="181" t="str">
        <f>IF(ISBLANK(N22),"",VLOOKUP(N22,[1]Parámetros!$G$2:$H$23,2,FALSE))</f>
        <v xml:space="preserve">Contratación directa (con ofertas) </v>
      </c>
      <c r="P22" s="182">
        <f t="shared" si="1"/>
        <v>1</v>
      </c>
      <c r="Q22" s="183">
        <f t="shared" si="2"/>
        <v>2991363958</v>
      </c>
      <c r="R22" s="183">
        <f t="shared" si="3"/>
        <v>2991363958</v>
      </c>
      <c r="S22" s="184" t="s">
        <v>223</v>
      </c>
      <c r="T22" s="180">
        <f t="shared" si="4"/>
        <v>0</v>
      </c>
      <c r="U22" s="185" t="str">
        <f t="shared" si="5"/>
        <v>SUBDIRECCION DE GESTION CONTRACTUAL</v>
      </c>
      <c r="V22" s="172" t="str">
        <f t="shared" si="6"/>
        <v>CO-DC</v>
      </c>
      <c r="W22" s="185" t="str">
        <f t="shared" si="7"/>
        <v>Distrito Capital de Bogotá</v>
      </c>
      <c r="X22" s="186" t="s">
        <v>40</v>
      </c>
      <c r="Y22" s="172">
        <v>2427395</v>
      </c>
      <c r="Z22" s="188" t="s">
        <v>41</v>
      </c>
    </row>
    <row r="23" spans="1:85" s="189" customFormat="1" ht="12.75" customHeight="1" x14ac:dyDescent="0.2">
      <c r="A23" s="171" t="s">
        <v>32</v>
      </c>
      <c r="B23" s="172">
        <v>17</v>
      </c>
      <c r="C23" s="173" t="s">
        <v>45</v>
      </c>
      <c r="D23" s="173" t="s">
        <v>34</v>
      </c>
      <c r="E23" s="174"/>
      <c r="F23" s="174">
        <f>7000000000+1200000000</f>
        <v>8200000000</v>
      </c>
      <c r="G23" s="174"/>
      <c r="H23" s="175" t="s">
        <v>801</v>
      </c>
      <c r="I23" s="176" t="s">
        <v>227</v>
      </c>
      <c r="J23" s="193">
        <v>1</v>
      </c>
      <c r="K23" s="193">
        <v>2</v>
      </c>
      <c r="L23" s="193">
        <v>3</v>
      </c>
      <c r="M23" s="172">
        <f t="shared" si="0"/>
        <v>1</v>
      </c>
      <c r="N23" s="180" t="s">
        <v>36</v>
      </c>
      <c r="O23" s="181" t="str">
        <f>IF(ISBLANK(N23),"",VLOOKUP(N23,[1]Parámetros!$G$2:$H$23,2,FALSE))</f>
        <v xml:space="preserve">Contratación directa (con ofertas) </v>
      </c>
      <c r="P23" s="182">
        <f t="shared" si="1"/>
        <v>1</v>
      </c>
      <c r="Q23" s="183">
        <f t="shared" si="2"/>
        <v>8200000000</v>
      </c>
      <c r="R23" s="183">
        <f t="shared" si="3"/>
        <v>8200000000</v>
      </c>
      <c r="S23" s="184" t="s">
        <v>223</v>
      </c>
      <c r="T23" s="180">
        <f t="shared" si="4"/>
        <v>0</v>
      </c>
      <c r="U23" s="185" t="str">
        <f t="shared" si="5"/>
        <v>SUBDIRECCION DE GESTION CONTRACTUAL</v>
      </c>
      <c r="V23" s="172" t="str">
        <f t="shared" si="6"/>
        <v>CO-DC</v>
      </c>
      <c r="W23" s="185" t="str">
        <f t="shared" si="7"/>
        <v>Distrito Capital de Bogotá</v>
      </c>
      <c r="X23" s="186" t="s">
        <v>40</v>
      </c>
      <c r="Y23" s="172">
        <v>2427396</v>
      </c>
      <c r="Z23" s="188" t="s">
        <v>41</v>
      </c>
    </row>
    <row r="24" spans="1:85" s="189" customFormat="1" ht="12.75" customHeight="1" x14ac:dyDescent="0.2">
      <c r="A24" s="171" t="s">
        <v>32</v>
      </c>
      <c r="B24" s="172">
        <v>18</v>
      </c>
      <c r="C24" s="173" t="s">
        <v>235</v>
      </c>
      <c r="D24" s="173" t="s">
        <v>34</v>
      </c>
      <c r="E24" s="174"/>
      <c r="F24" s="174">
        <f>3380608000+500000000</f>
        <v>3880608000</v>
      </c>
      <c r="G24" s="174"/>
      <c r="H24" s="175">
        <v>80111600</v>
      </c>
      <c r="I24" s="176" t="s">
        <v>222</v>
      </c>
      <c r="J24" s="177">
        <v>1</v>
      </c>
      <c r="K24" s="178">
        <v>1</v>
      </c>
      <c r="L24" s="179">
        <v>12</v>
      </c>
      <c r="M24" s="172">
        <f t="shared" si="0"/>
        <v>1</v>
      </c>
      <c r="N24" s="180" t="s">
        <v>216</v>
      </c>
      <c r="O24" s="181" t="str">
        <f>IF(ISBLANK(N24),"",VLOOKUP(N24,[1]Parámetros!$G$2:$H$23,2,FALSE))</f>
        <v>Contratación directa.</v>
      </c>
      <c r="P24" s="182">
        <f t="shared" si="1"/>
        <v>1</v>
      </c>
      <c r="Q24" s="183">
        <f t="shared" si="2"/>
        <v>3880608000</v>
      </c>
      <c r="R24" s="183">
        <f t="shared" si="3"/>
        <v>3880608000</v>
      </c>
      <c r="S24" s="184" t="s">
        <v>223</v>
      </c>
      <c r="T24" s="180">
        <f t="shared" si="4"/>
        <v>0</v>
      </c>
      <c r="U24" s="185" t="str">
        <f t="shared" si="5"/>
        <v>SUBDIRECCION DE GESTION CONTRACTUAL</v>
      </c>
      <c r="V24" s="172" t="str">
        <f t="shared" si="6"/>
        <v>CO-DC</v>
      </c>
      <c r="W24" s="185" t="str">
        <f t="shared" si="7"/>
        <v>Distrito Capital de Bogotá</v>
      </c>
      <c r="X24" s="186" t="s">
        <v>40</v>
      </c>
      <c r="Y24" s="172">
        <v>2427397</v>
      </c>
      <c r="Z24" s="188" t="s">
        <v>41</v>
      </c>
    </row>
    <row r="25" spans="1:85" s="189" customFormat="1" ht="12.75" customHeight="1" x14ac:dyDescent="0.2">
      <c r="A25" s="171" t="s">
        <v>32</v>
      </c>
      <c r="B25" s="172">
        <v>19</v>
      </c>
      <c r="C25" s="173" t="s">
        <v>235</v>
      </c>
      <c r="D25" s="173" t="s">
        <v>34</v>
      </c>
      <c r="E25" s="174"/>
      <c r="F25" s="174">
        <v>1146049905</v>
      </c>
      <c r="G25" s="174"/>
      <c r="H25" s="175" t="s">
        <v>42</v>
      </c>
      <c r="I25" s="176" t="s">
        <v>626</v>
      </c>
      <c r="J25" s="177">
        <v>3</v>
      </c>
      <c r="K25" s="178">
        <v>4</v>
      </c>
      <c r="L25" s="179">
        <v>9</v>
      </c>
      <c r="M25" s="172">
        <f t="shared" si="0"/>
        <v>1</v>
      </c>
      <c r="N25" s="180" t="s">
        <v>61</v>
      </c>
      <c r="O25" s="181" t="str">
        <f>IF(ISBLANK(N25),"",VLOOKUP(N25,[1]Parámetros!$G$2:$H$23,2,FALSE))</f>
        <v>Contratación régimen especial - Selección de comisionista</v>
      </c>
      <c r="P25" s="182">
        <f t="shared" si="1"/>
        <v>1</v>
      </c>
      <c r="Q25" s="183">
        <f t="shared" si="2"/>
        <v>1146049905</v>
      </c>
      <c r="R25" s="183">
        <f t="shared" si="3"/>
        <v>1146049905</v>
      </c>
      <c r="S25" s="184" t="s">
        <v>223</v>
      </c>
      <c r="T25" s="180">
        <f t="shared" si="4"/>
        <v>0</v>
      </c>
      <c r="U25" s="185" t="str">
        <f t="shared" si="5"/>
        <v>SUBDIRECCION DE GESTION CONTRACTUAL</v>
      </c>
      <c r="V25" s="172" t="str">
        <f t="shared" si="6"/>
        <v>CO-DC</v>
      </c>
      <c r="W25" s="185" t="str">
        <f t="shared" si="7"/>
        <v>Distrito Capital de Bogotá</v>
      </c>
      <c r="X25" s="186" t="s">
        <v>40</v>
      </c>
      <c r="Y25" s="172">
        <v>2427398</v>
      </c>
      <c r="Z25" s="188" t="s">
        <v>41</v>
      </c>
    </row>
    <row r="26" spans="1:85" s="189" customFormat="1" ht="12.75" customHeight="1" x14ac:dyDescent="0.2">
      <c r="A26" s="171" t="s">
        <v>32</v>
      </c>
      <c r="B26" s="172">
        <v>20</v>
      </c>
      <c r="C26" s="173" t="s">
        <v>235</v>
      </c>
      <c r="D26" s="173" t="s">
        <v>34</v>
      </c>
      <c r="E26" s="174"/>
      <c r="F26" s="174">
        <f>1000000000-500000000</f>
        <v>500000000</v>
      </c>
      <c r="G26" s="174"/>
      <c r="H26" s="175" t="s">
        <v>236</v>
      </c>
      <c r="I26" s="176" t="s">
        <v>237</v>
      </c>
      <c r="J26" s="177">
        <v>3</v>
      </c>
      <c r="K26" s="178">
        <v>3</v>
      </c>
      <c r="L26" s="179">
        <v>6</v>
      </c>
      <c r="M26" s="172">
        <f t="shared" si="0"/>
        <v>1</v>
      </c>
      <c r="N26" s="180" t="s">
        <v>36</v>
      </c>
      <c r="O26" s="181" t="str">
        <f>IF(ISBLANK(N26),"",VLOOKUP(N26,[1]Parámetros!$G$2:$H$23,2,FALSE))</f>
        <v xml:space="preserve">Contratación directa (con ofertas) </v>
      </c>
      <c r="P26" s="182">
        <f t="shared" si="1"/>
        <v>1</v>
      </c>
      <c r="Q26" s="183">
        <f t="shared" si="2"/>
        <v>500000000</v>
      </c>
      <c r="R26" s="183">
        <f t="shared" si="3"/>
        <v>500000000</v>
      </c>
      <c r="S26" s="184" t="s">
        <v>223</v>
      </c>
      <c r="T26" s="180">
        <f t="shared" si="4"/>
        <v>0</v>
      </c>
      <c r="U26" s="185" t="str">
        <f t="shared" si="5"/>
        <v>SUBDIRECCION DE GESTION CONTRACTUAL</v>
      </c>
      <c r="V26" s="172" t="str">
        <f t="shared" si="6"/>
        <v>CO-DC</v>
      </c>
      <c r="W26" s="185" t="str">
        <f t="shared" si="7"/>
        <v>Distrito Capital de Bogotá</v>
      </c>
      <c r="X26" s="186" t="s">
        <v>40</v>
      </c>
      <c r="Y26" s="172">
        <v>2427399</v>
      </c>
      <c r="Z26" s="188" t="s">
        <v>41</v>
      </c>
    </row>
    <row r="27" spans="1:85" s="189" customFormat="1" ht="12.75" customHeight="1" x14ac:dyDescent="0.2">
      <c r="A27" s="171" t="s">
        <v>32</v>
      </c>
      <c r="B27" s="172">
        <v>21</v>
      </c>
      <c r="C27" s="173" t="s">
        <v>235</v>
      </c>
      <c r="D27" s="173" t="s">
        <v>34</v>
      </c>
      <c r="E27" s="174"/>
      <c r="F27" s="174">
        <v>8725466250</v>
      </c>
      <c r="G27" s="174"/>
      <c r="H27" s="175" t="s">
        <v>66</v>
      </c>
      <c r="I27" s="176" t="s">
        <v>238</v>
      </c>
      <c r="J27" s="177">
        <v>3</v>
      </c>
      <c r="K27" s="178">
        <v>3</v>
      </c>
      <c r="L27" s="179">
        <v>6</v>
      </c>
      <c r="M27" s="172">
        <f t="shared" si="0"/>
        <v>1</v>
      </c>
      <c r="N27" s="180" t="s">
        <v>36</v>
      </c>
      <c r="O27" s="181" t="str">
        <f>IF(ISBLANK(N27),"",VLOOKUP(N27,[1]Parámetros!$G$2:$H$23,2,FALSE))</f>
        <v xml:space="preserve">Contratación directa (con ofertas) </v>
      </c>
      <c r="P27" s="182">
        <f t="shared" si="1"/>
        <v>1</v>
      </c>
      <c r="Q27" s="183">
        <f t="shared" si="2"/>
        <v>8725466250</v>
      </c>
      <c r="R27" s="183">
        <f t="shared" si="3"/>
        <v>8725466250</v>
      </c>
      <c r="S27" s="184" t="s">
        <v>223</v>
      </c>
      <c r="T27" s="180">
        <f t="shared" si="4"/>
        <v>0</v>
      </c>
      <c r="U27" s="185" t="str">
        <f t="shared" si="5"/>
        <v>SUBDIRECCION DE GESTION CONTRACTUAL</v>
      </c>
      <c r="V27" s="172" t="str">
        <f t="shared" si="6"/>
        <v>CO-DC</v>
      </c>
      <c r="W27" s="185" t="str">
        <f t="shared" si="7"/>
        <v>Distrito Capital de Bogotá</v>
      </c>
      <c r="X27" s="186" t="s">
        <v>40</v>
      </c>
      <c r="Y27" s="172">
        <v>2427400</v>
      </c>
      <c r="Z27" s="188" t="s">
        <v>41</v>
      </c>
    </row>
    <row r="28" spans="1:85" s="189" customFormat="1" ht="12.75" customHeight="1" x14ac:dyDescent="0.2">
      <c r="A28" s="171" t="s">
        <v>32</v>
      </c>
      <c r="B28" s="172">
        <v>22</v>
      </c>
      <c r="C28" s="173" t="s">
        <v>239</v>
      </c>
      <c r="D28" s="173" t="s">
        <v>34</v>
      </c>
      <c r="E28" s="174"/>
      <c r="F28" s="174">
        <v>712096000</v>
      </c>
      <c r="G28" s="174"/>
      <c r="H28" s="175">
        <v>80111600</v>
      </c>
      <c r="I28" s="176" t="s">
        <v>222</v>
      </c>
      <c r="J28" s="177">
        <v>1</v>
      </c>
      <c r="K28" s="178">
        <v>1</v>
      </c>
      <c r="L28" s="179">
        <v>12</v>
      </c>
      <c r="M28" s="172">
        <f t="shared" si="0"/>
        <v>1</v>
      </c>
      <c r="N28" s="180" t="s">
        <v>216</v>
      </c>
      <c r="O28" s="181" t="str">
        <f>IF(ISBLANK(N28),"",VLOOKUP(N28,[1]Parámetros!$G$2:$H$23,2,FALSE))</f>
        <v>Contratación directa.</v>
      </c>
      <c r="P28" s="182">
        <f t="shared" si="1"/>
        <v>1</v>
      </c>
      <c r="Q28" s="183">
        <f t="shared" si="2"/>
        <v>712096000</v>
      </c>
      <c r="R28" s="183">
        <f t="shared" si="3"/>
        <v>712096000</v>
      </c>
      <c r="S28" s="184" t="s">
        <v>223</v>
      </c>
      <c r="T28" s="180">
        <f t="shared" si="4"/>
        <v>0</v>
      </c>
      <c r="U28" s="185" t="str">
        <f t="shared" si="5"/>
        <v>SUBDIRECCION DE GESTION CONTRACTUAL</v>
      </c>
      <c r="V28" s="172" t="str">
        <f t="shared" si="6"/>
        <v>CO-DC</v>
      </c>
      <c r="W28" s="185" t="str">
        <f t="shared" si="7"/>
        <v>Distrito Capital de Bogotá</v>
      </c>
      <c r="X28" s="186" t="s">
        <v>40</v>
      </c>
      <c r="Y28" s="172">
        <v>2427401</v>
      </c>
      <c r="Z28" s="188" t="s">
        <v>41</v>
      </c>
    </row>
    <row r="29" spans="1:85" s="189" customFormat="1" ht="12.75" customHeight="1" x14ac:dyDescent="0.2">
      <c r="A29" s="171" t="s">
        <v>32</v>
      </c>
      <c r="B29" s="172">
        <v>23</v>
      </c>
      <c r="C29" s="173" t="s">
        <v>239</v>
      </c>
      <c r="D29" s="173" t="s">
        <v>34</v>
      </c>
      <c r="E29" s="174"/>
      <c r="F29" s="174">
        <v>60031186</v>
      </c>
      <c r="G29" s="174"/>
      <c r="H29" s="175" t="s">
        <v>42</v>
      </c>
      <c r="I29" s="176" t="s">
        <v>626</v>
      </c>
      <c r="J29" s="177">
        <v>3</v>
      </c>
      <c r="K29" s="178">
        <v>4</v>
      </c>
      <c r="L29" s="179">
        <v>9</v>
      </c>
      <c r="M29" s="172">
        <f t="shared" si="0"/>
        <v>1</v>
      </c>
      <c r="N29" s="180" t="s">
        <v>61</v>
      </c>
      <c r="O29" s="181" t="str">
        <f>IF(ISBLANK(N29),"",VLOOKUP(N29,[1]Parámetros!$G$2:$H$23,2,FALSE))</f>
        <v>Contratación régimen especial - Selección de comisionista</v>
      </c>
      <c r="P29" s="182">
        <f t="shared" si="1"/>
        <v>1</v>
      </c>
      <c r="Q29" s="183">
        <f t="shared" si="2"/>
        <v>60031186</v>
      </c>
      <c r="R29" s="183">
        <f t="shared" si="3"/>
        <v>60031186</v>
      </c>
      <c r="S29" s="184" t="s">
        <v>223</v>
      </c>
      <c r="T29" s="180">
        <f t="shared" si="4"/>
        <v>0</v>
      </c>
      <c r="U29" s="185" t="str">
        <f t="shared" si="5"/>
        <v>SUBDIRECCION DE GESTION CONTRACTUAL</v>
      </c>
      <c r="V29" s="172" t="str">
        <f t="shared" si="6"/>
        <v>CO-DC</v>
      </c>
      <c r="W29" s="185" t="str">
        <f t="shared" si="7"/>
        <v>Distrito Capital de Bogotá</v>
      </c>
      <c r="X29" s="186" t="s">
        <v>40</v>
      </c>
      <c r="Y29" s="172">
        <v>2427402</v>
      </c>
      <c r="Z29" s="188" t="s">
        <v>41</v>
      </c>
    </row>
    <row r="30" spans="1:85" s="189" customFormat="1" ht="12.75" customHeight="1" x14ac:dyDescent="0.2">
      <c r="A30" s="171" t="s">
        <v>32</v>
      </c>
      <c r="B30" s="172">
        <v>24</v>
      </c>
      <c r="C30" s="173" t="s">
        <v>239</v>
      </c>
      <c r="D30" s="173" t="s">
        <v>34</v>
      </c>
      <c r="E30" s="174"/>
      <c r="F30" s="174">
        <v>180000000</v>
      </c>
      <c r="G30" s="174"/>
      <c r="H30" s="175" t="s">
        <v>240</v>
      </c>
      <c r="I30" s="176" t="s">
        <v>668</v>
      </c>
      <c r="J30" s="194">
        <v>2</v>
      </c>
      <c r="K30" s="194">
        <v>3</v>
      </c>
      <c r="L30" s="194">
        <v>4</v>
      </c>
      <c r="M30" s="172">
        <f t="shared" si="0"/>
        <v>1</v>
      </c>
      <c r="N30" s="180" t="s">
        <v>43</v>
      </c>
      <c r="O30" s="181" t="str">
        <f>IF(ISBLANK(N30),"",VLOOKUP(N30,[1]Parámetros!$G$2:$H$23,2,FALSE))</f>
        <v>Selección abreviada subasta inversa</v>
      </c>
      <c r="P30" s="182">
        <f t="shared" si="1"/>
        <v>1</v>
      </c>
      <c r="Q30" s="183">
        <f t="shared" si="2"/>
        <v>180000000</v>
      </c>
      <c r="R30" s="183">
        <f t="shared" si="3"/>
        <v>180000000</v>
      </c>
      <c r="S30" s="184" t="s">
        <v>223</v>
      </c>
      <c r="T30" s="180">
        <f t="shared" si="4"/>
        <v>0</v>
      </c>
      <c r="U30" s="185" t="str">
        <f t="shared" si="5"/>
        <v>SUBDIRECCION DE GESTION CONTRACTUAL</v>
      </c>
      <c r="V30" s="172" t="str">
        <f t="shared" si="6"/>
        <v>CO-DC</v>
      </c>
      <c r="W30" s="185" t="str">
        <f t="shared" si="7"/>
        <v>Distrito Capital de Bogotá</v>
      </c>
      <c r="X30" s="186" t="s">
        <v>332</v>
      </c>
      <c r="Y30" s="172">
        <v>2427400</v>
      </c>
      <c r="Z30" s="188" t="s">
        <v>94</v>
      </c>
    </row>
    <row r="31" spans="1:85" s="189" customFormat="1" ht="12.75" customHeight="1" x14ac:dyDescent="0.2">
      <c r="A31" s="171" t="s">
        <v>32</v>
      </c>
      <c r="B31" s="172">
        <v>25</v>
      </c>
      <c r="C31" s="173" t="s">
        <v>239</v>
      </c>
      <c r="D31" s="173" t="s">
        <v>34</v>
      </c>
      <c r="E31" s="174"/>
      <c r="F31" s="174">
        <f>820000000-130000000</f>
        <v>690000000</v>
      </c>
      <c r="G31" s="174"/>
      <c r="H31" s="175">
        <v>43211500</v>
      </c>
      <c r="I31" s="176" t="s">
        <v>241</v>
      </c>
      <c r="J31" s="190">
        <v>2</v>
      </c>
      <c r="K31" s="191">
        <v>2</v>
      </c>
      <c r="L31" s="192">
        <v>11</v>
      </c>
      <c r="M31" s="172">
        <f t="shared" si="0"/>
        <v>1</v>
      </c>
      <c r="N31" s="180" t="s">
        <v>53</v>
      </c>
      <c r="O31" s="181" t="str">
        <f>IF(ISBLANK(N31),"",VLOOKUP(N31,[1]Parámetros!$G$2:$H$23,2,FALSE))</f>
        <v>Seléccion abreviada - acuerdo marco</v>
      </c>
      <c r="P31" s="182">
        <f t="shared" si="1"/>
        <v>1</v>
      </c>
      <c r="Q31" s="183">
        <f t="shared" si="2"/>
        <v>690000000</v>
      </c>
      <c r="R31" s="183">
        <f t="shared" si="3"/>
        <v>690000000</v>
      </c>
      <c r="S31" s="184" t="s">
        <v>223</v>
      </c>
      <c r="T31" s="180">
        <f t="shared" si="4"/>
        <v>0</v>
      </c>
      <c r="U31" s="185" t="str">
        <f t="shared" si="5"/>
        <v>SUBDIRECCION DE GESTION CONTRACTUAL</v>
      </c>
      <c r="V31" s="172" t="str">
        <f t="shared" si="6"/>
        <v>CO-DC</v>
      </c>
      <c r="W31" s="185" t="str">
        <f t="shared" si="7"/>
        <v>Distrito Capital de Bogotá</v>
      </c>
      <c r="X31" s="186" t="s">
        <v>40</v>
      </c>
      <c r="Y31" s="172">
        <v>2427404</v>
      </c>
      <c r="Z31" s="188" t="s">
        <v>41</v>
      </c>
    </row>
    <row r="32" spans="1:85" s="195" customFormat="1" ht="13.9" customHeight="1" x14ac:dyDescent="0.2">
      <c r="A32" s="171" t="s">
        <v>32</v>
      </c>
      <c r="B32" s="172">
        <v>26</v>
      </c>
      <c r="C32" s="173" t="s">
        <v>239</v>
      </c>
      <c r="D32" s="173" t="s">
        <v>34</v>
      </c>
      <c r="E32" s="174"/>
      <c r="F32" s="174">
        <v>1000000000</v>
      </c>
      <c r="G32" s="174"/>
      <c r="H32" s="175" t="s">
        <v>242</v>
      </c>
      <c r="I32" s="176" t="s">
        <v>243</v>
      </c>
      <c r="J32" s="177">
        <v>2</v>
      </c>
      <c r="K32" s="178">
        <v>2</v>
      </c>
      <c r="L32" s="179">
        <v>10</v>
      </c>
      <c r="M32" s="172">
        <f t="shared" si="0"/>
        <v>1</v>
      </c>
      <c r="N32" s="180" t="s">
        <v>36</v>
      </c>
      <c r="O32" s="181" t="str">
        <f>IF(ISBLANK(N32),"",VLOOKUP(N32,[1]Parámetros!$G$2:$H$23,2,FALSE))</f>
        <v xml:space="preserve">Contratación directa (con ofertas) </v>
      </c>
      <c r="P32" s="182">
        <f t="shared" si="1"/>
        <v>1</v>
      </c>
      <c r="Q32" s="183">
        <f t="shared" si="2"/>
        <v>1000000000</v>
      </c>
      <c r="R32" s="183">
        <f t="shared" si="3"/>
        <v>1000000000</v>
      </c>
      <c r="S32" s="184" t="s">
        <v>223</v>
      </c>
      <c r="T32" s="180">
        <f t="shared" si="4"/>
        <v>0</v>
      </c>
      <c r="U32" s="185" t="str">
        <f t="shared" si="5"/>
        <v>SUBDIRECCION DE GESTION CONTRACTUAL</v>
      </c>
      <c r="V32" s="172" t="str">
        <f t="shared" si="6"/>
        <v>CO-DC</v>
      </c>
      <c r="W32" s="185" t="str">
        <f t="shared" si="7"/>
        <v>Distrito Capital de Bogotá</v>
      </c>
      <c r="X32" s="186" t="s">
        <v>40</v>
      </c>
      <c r="Y32" s="172">
        <v>2427405</v>
      </c>
      <c r="Z32" s="188" t="s">
        <v>41</v>
      </c>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89"/>
      <c r="BZ32" s="189"/>
      <c r="CA32" s="189"/>
      <c r="CB32" s="189"/>
      <c r="CC32" s="189"/>
      <c r="CD32" s="189"/>
      <c r="CE32" s="189"/>
      <c r="CF32" s="189"/>
      <c r="CG32" s="189"/>
    </row>
    <row r="33" spans="1:85" s="189" customFormat="1" ht="12.75" customHeight="1" x14ac:dyDescent="0.2">
      <c r="A33" s="171" t="s">
        <v>32</v>
      </c>
      <c r="B33" s="172">
        <v>27</v>
      </c>
      <c r="C33" s="173" t="s">
        <v>46</v>
      </c>
      <c r="D33" s="173" t="s">
        <v>47</v>
      </c>
      <c r="E33" s="174"/>
      <c r="F33" s="174">
        <v>6740578</v>
      </c>
      <c r="G33" s="174"/>
      <c r="H33" s="175" t="s">
        <v>244</v>
      </c>
      <c r="I33" s="176" t="s">
        <v>245</v>
      </c>
      <c r="J33" s="177">
        <v>4</v>
      </c>
      <c r="K33" s="178">
        <v>4</v>
      </c>
      <c r="L33" s="179">
        <v>1</v>
      </c>
      <c r="M33" s="172">
        <f t="shared" si="0"/>
        <v>1</v>
      </c>
      <c r="N33" s="180" t="s">
        <v>48</v>
      </c>
      <c r="O33" s="181" t="str">
        <f>IF(ISBLANK(N33),"",VLOOKUP(N33,[1]Parámetros!$G$2:$H$23,2,FALSE))</f>
        <v>Mínima cuantía</v>
      </c>
      <c r="P33" s="182">
        <f t="shared" si="1"/>
        <v>1</v>
      </c>
      <c r="Q33" s="183">
        <f t="shared" si="2"/>
        <v>6740578</v>
      </c>
      <c r="R33" s="183">
        <f t="shared" si="3"/>
        <v>6740578</v>
      </c>
      <c r="S33" s="184" t="s">
        <v>223</v>
      </c>
      <c r="T33" s="180">
        <f t="shared" si="4"/>
        <v>0</v>
      </c>
      <c r="U33" s="185" t="str">
        <f t="shared" si="5"/>
        <v>SUBDIRECCION DE GESTION CONTRACTUAL</v>
      </c>
      <c r="V33" s="172" t="str">
        <f t="shared" si="6"/>
        <v>CO-DC</v>
      </c>
      <c r="W33" s="185" t="str">
        <f t="shared" si="7"/>
        <v>Distrito Capital de Bogotá</v>
      </c>
      <c r="X33" s="186" t="s">
        <v>40</v>
      </c>
      <c r="Y33" s="172">
        <v>2427406</v>
      </c>
      <c r="Z33" s="188" t="s">
        <v>41</v>
      </c>
    </row>
    <row r="34" spans="1:85" s="189" customFormat="1" ht="12.75" customHeight="1" x14ac:dyDescent="0.2">
      <c r="A34" s="171" t="s">
        <v>32</v>
      </c>
      <c r="B34" s="172">
        <v>28</v>
      </c>
      <c r="C34" s="173" t="s">
        <v>46</v>
      </c>
      <c r="D34" s="173" t="s">
        <v>50</v>
      </c>
      <c r="E34" s="174"/>
      <c r="F34" s="174">
        <v>15000000</v>
      </c>
      <c r="G34" s="174"/>
      <c r="H34" s="175" t="s">
        <v>51</v>
      </c>
      <c r="I34" s="176" t="s">
        <v>246</v>
      </c>
      <c r="J34" s="177">
        <v>4</v>
      </c>
      <c r="K34" s="178" t="s">
        <v>667</v>
      </c>
      <c r="L34" s="179">
        <v>1</v>
      </c>
      <c r="M34" s="172">
        <f t="shared" si="0"/>
        <v>1</v>
      </c>
      <c r="N34" s="180" t="s">
        <v>43</v>
      </c>
      <c r="O34" s="181" t="str">
        <f>IF(ISBLANK(N34),"",VLOOKUP(N34,[1]Parámetros!$G$2:$H$23,2,FALSE))</f>
        <v>Selección abreviada subasta inversa</v>
      </c>
      <c r="P34" s="182">
        <f t="shared" si="1"/>
        <v>1</v>
      </c>
      <c r="Q34" s="183">
        <f t="shared" si="2"/>
        <v>15000000</v>
      </c>
      <c r="R34" s="183">
        <f t="shared" si="3"/>
        <v>15000000</v>
      </c>
      <c r="S34" s="184" t="s">
        <v>223</v>
      </c>
      <c r="T34" s="180">
        <f t="shared" si="4"/>
        <v>0</v>
      </c>
      <c r="U34" s="185" t="str">
        <f t="shared" si="5"/>
        <v>SUBDIRECCION DE GESTION CONTRACTUAL</v>
      </c>
      <c r="V34" s="172" t="str">
        <f t="shared" si="6"/>
        <v>CO-DC</v>
      </c>
      <c r="W34" s="185" t="str">
        <f t="shared" si="7"/>
        <v>Distrito Capital de Bogotá</v>
      </c>
      <c r="X34" s="186" t="s">
        <v>40</v>
      </c>
      <c r="Y34" s="172">
        <v>2427407</v>
      </c>
      <c r="Z34" s="188" t="s">
        <v>41</v>
      </c>
    </row>
    <row r="35" spans="1:85" s="195" customFormat="1" ht="13.9" customHeight="1" x14ac:dyDescent="0.2">
      <c r="A35" s="171" t="s">
        <v>32</v>
      </c>
      <c r="B35" s="172">
        <v>29</v>
      </c>
      <c r="C35" s="173" t="s">
        <v>46</v>
      </c>
      <c r="D35" s="173" t="s">
        <v>52</v>
      </c>
      <c r="E35" s="174"/>
      <c r="F35" s="174">
        <v>8000000</v>
      </c>
      <c r="G35" s="174"/>
      <c r="H35" s="175" t="s">
        <v>132</v>
      </c>
      <c r="I35" s="176" t="s">
        <v>247</v>
      </c>
      <c r="J35" s="196">
        <v>10</v>
      </c>
      <c r="K35" s="196">
        <v>10</v>
      </c>
      <c r="L35" s="196">
        <v>12</v>
      </c>
      <c r="M35" s="172">
        <f t="shared" si="0"/>
        <v>1</v>
      </c>
      <c r="N35" s="180" t="s">
        <v>53</v>
      </c>
      <c r="O35" s="181" t="str">
        <f>IF(ISBLANK(N35),"",VLOOKUP(N35,[1]Parámetros!$G$2:$H$23,2,FALSE))</f>
        <v>Seléccion abreviada - acuerdo marco</v>
      </c>
      <c r="P35" s="182">
        <f t="shared" si="1"/>
        <v>1</v>
      </c>
      <c r="Q35" s="183">
        <f t="shared" si="2"/>
        <v>8000000</v>
      </c>
      <c r="R35" s="183">
        <f t="shared" si="3"/>
        <v>8000000</v>
      </c>
      <c r="S35" s="184" t="s">
        <v>223</v>
      </c>
      <c r="T35" s="180">
        <f t="shared" si="4"/>
        <v>0</v>
      </c>
      <c r="U35" s="185" t="str">
        <f t="shared" si="5"/>
        <v>SUBDIRECCION DE GESTION CONTRACTUAL</v>
      </c>
      <c r="V35" s="172" t="str">
        <f t="shared" si="6"/>
        <v>CO-DC</v>
      </c>
      <c r="W35" s="185" t="str">
        <f t="shared" si="7"/>
        <v>Distrito Capital de Bogotá</v>
      </c>
      <c r="X35" s="186" t="s">
        <v>40</v>
      </c>
      <c r="Y35" s="172">
        <v>2427408</v>
      </c>
      <c r="Z35" s="188" t="s">
        <v>41</v>
      </c>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9"/>
      <c r="BR35" s="189"/>
      <c r="BS35" s="189"/>
      <c r="BT35" s="189"/>
      <c r="BU35" s="189"/>
      <c r="BV35" s="189"/>
      <c r="BW35" s="189"/>
      <c r="BX35" s="189"/>
      <c r="BY35" s="189"/>
      <c r="BZ35" s="189"/>
      <c r="CA35" s="189"/>
      <c r="CB35" s="189"/>
      <c r="CC35" s="189"/>
      <c r="CD35" s="189"/>
      <c r="CE35" s="189"/>
      <c r="CF35" s="189"/>
      <c r="CG35" s="189"/>
    </row>
    <row r="36" spans="1:85" s="195" customFormat="1" ht="13.9" customHeight="1" x14ac:dyDescent="0.2">
      <c r="A36" s="171" t="s">
        <v>32</v>
      </c>
      <c r="B36" s="172">
        <v>30</v>
      </c>
      <c r="C36" s="173" t="s">
        <v>46</v>
      </c>
      <c r="D36" s="173" t="s">
        <v>55</v>
      </c>
      <c r="E36" s="174"/>
      <c r="F36" s="174">
        <f>595941595-395941595</f>
        <v>200000000</v>
      </c>
      <c r="G36" s="174"/>
      <c r="H36" s="175" t="s">
        <v>801</v>
      </c>
      <c r="I36" s="176" t="s">
        <v>227</v>
      </c>
      <c r="J36" s="193">
        <v>1</v>
      </c>
      <c r="K36" s="193">
        <v>2</v>
      </c>
      <c r="L36" s="193">
        <v>3</v>
      </c>
      <c r="M36" s="172">
        <f t="shared" si="0"/>
        <v>1</v>
      </c>
      <c r="N36" s="180" t="s">
        <v>36</v>
      </c>
      <c r="O36" s="181" t="str">
        <f>IF(ISBLANK(N36),"",VLOOKUP(N36,[1]Parámetros!$G$2:$H$23,2,FALSE))</f>
        <v xml:space="preserve">Contratación directa (con ofertas) </v>
      </c>
      <c r="P36" s="182">
        <f t="shared" si="1"/>
        <v>1</v>
      </c>
      <c r="Q36" s="183">
        <f t="shared" si="2"/>
        <v>200000000</v>
      </c>
      <c r="R36" s="183">
        <f t="shared" si="3"/>
        <v>200000000</v>
      </c>
      <c r="S36" s="184" t="s">
        <v>223</v>
      </c>
      <c r="T36" s="180">
        <f t="shared" si="4"/>
        <v>0</v>
      </c>
      <c r="U36" s="185" t="str">
        <f t="shared" si="5"/>
        <v>SUBDIRECCION DE GESTION CONTRACTUAL</v>
      </c>
      <c r="V36" s="172" t="str">
        <f t="shared" si="6"/>
        <v>CO-DC</v>
      </c>
      <c r="W36" s="185" t="str">
        <f t="shared" si="7"/>
        <v>Distrito Capital de Bogotá</v>
      </c>
      <c r="X36" s="186" t="s">
        <v>40</v>
      </c>
      <c r="Y36" s="172">
        <v>2427409</v>
      </c>
      <c r="Z36" s="188" t="s">
        <v>41</v>
      </c>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89"/>
      <c r="BR36" s="189"/>
      <c r="BS36" s="189"/>
      <c r="BT36" s="189"/>
      <c r="BU36" s="189"/>
      <c r="BV36" s="189"/>
      <c r="BW36" s="189"/>
      <c r="BX36" s="189"/>
      <c r="BY36" s="189"/>
      <c r="BZ36" s="189"/>
      <c r="CA36" s="189"/>
      <c r="CB36" s="189"/>
      <c r="CC36" s="189"/>
      <c r="CD36" s="189"/>
      <c r="CE36" s="189"/>
      <c r="CF36" s="189"/>
      <c r="CG36" s="189"/>
    </row>
    <row r="37" spans="1:85" s="195" customFormat="1" ht="13.9" customHeight="1" x14ac:dyDescent="0.2">
      <c r="A37" s="171" t="s">
        <v>32</v>
      </c>
      <c r="B37" s="172">
        <v>31</v>
      </c>
      <c r="C37" s="173" t="s">
        <v>46</v>
      </c>
      <c r="D37" s="173" t="s">
        <v>56</v>
      </c>
      <c r="E37" s="174"/>
      <c r="F37" s="174">
        <f>91869000+58131000+50000000</f>
        <v>200000000</v>
      </c>
      <c r="G37" s="174"/>
      <c r="H37" s="197" t="s">
        <v>248</v>
      </c>
      <c r="I37" s="176" t="s">
        <v>641</v>
      </c>
      <c r="J37" s="187">
        <v>4</v>
      </c>
      <c r="K37" s="187">
        <v>5</v>
      </c>
      <c r="L37" s="187">
        <v>12</v>
      </c>
      <c r="M37" s="172">
        <f t="shared" si="0"/>
        <v>1</v>
      </c>
      <c r="N37" s="180" t="s">
        <v>329</v>
      </c>
      <c r="O37" s="181" t="str">
        <f>IF(ISBLANK(N37),"",VLOOKUP(N37,[2]Parámetros!$G$2:$H$23,2,FALSE))</f>
        <v>Selección abreviada menor cuantía</v>
      </c>
      <c r="P37" s="182">
        <f t="shared" si="1"/>
        <v>1</v>
      </c>
      <c r="Q37" s="183">
        <f t="shared" si="2"/>
        <v>200000000</v>
      </c>
      <c r="R37" s="183">
        <f t="shared" si="3"/>
        <v>200000000</v>
      </c>
      <c r="S37" s="184" t="s">
        <v>223</v>
      </c>
      <c r="T37" s="180">
        <f t="shared" si="4"/>
        <v>0</v>
      </c>
      <c r="U37" s="185" t="str">
        <f t="shared" si="5"/>
        <v>SUBDIRECCION DE GESTION CONTRACTUAL</v>
      </c>
      <c r="V37" s="172" t="str">
        <f t="shared" si="6"/>
        <v>CO-DC</v>
      </c>
      <c r="W37" s="185" t="str">
        <f t="shared" si="7"/>
        <v>Distrito Capital de Bogotá</v>
      </c>
      <c r="X37" s="186" t="s">
        <v>40</v>
      </c>
      <c r="Y37" s="172">
        <v>2427410</v>
      </c>
      <c r="Z37" s="188" t="s">
        <v>41</v>
      </c>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89"/>
      <c r="BR37" s="189"/>
      <c r="BS37" s="189"/>
      <c r="BT37" s="189"/>
      <c r="BU37" s="189"/>
      <c r="BV37" s="189"/>
      <c r="BW37" s="189"/>
      <c r="BX37" s="189"/>
      <c r="BY37" s="189"/>
      <c r="BZ37" s="189"/>
      <c r="CA37" s="189"/>
      <c r="CB37" s="189"/>
      <c r="CC37" s="189"/>
      <c r="CD37" s="189"/>
      <c r="CE37" s="189"/>
      <c r="CF37" s="189"/>
      <c r="CG37" s="189"/>
    </row>
    <row r="38" spans="1:85" s="195" customFormat="1" ht="13.9" customHeight="1" x14ac:dyDescent="0.2">
      <c r="A38" s="171" t="s">
        <v>32</v>
      </c>
      <c r="B38" s="172">
        <v>32</v>
      </c>
      <c r="C38" s="173" t="s">
        <v>46</v>
      </c>
      <c r="D38" s="173" t="s">
        <v>57</v>
      </c>
      <c r="E38" s="174">
        <f>186825271*3</f>
        <v>560475813</v>
      </c>
      <c r="F38" s="174">
        <v>1850447490</v>
      </c>
      <c r="G38" s="174"/>
      <c r="H38" s="175">
        <v>80131500</v>
      </c>
      <c r="I38" s="176" t="s">
        <v>249</v>
      </c>
      <c r="J38" s="177">
        <v>3</v>
      </c>
      <c r="K38" s="178">
        <v>3</v>
      </c>
      <c r="L38" s="179">
        <v>12</v>
      </c>
      <c r="M38" s="172">
        <f t="shared" si="0"/>
        <v>1</v>
      </c>
      <c r="N38" s="180" t="s">
        <v>36</v>
      </c>
      <c r="O38" s="181" t="str">
        <f>IF(ISBLANK(N38),"",VLOOKUP(N38,[1]Parámetros!$G$2:$H$23,2,FALSE))</f>
        <v xml:space="preserve">Contratación directa (con ofertas) </v>
      </c>
      <c r="P38" s="182">
        <f t="shared" si="1"/>
        <v>1</v>
      </c>
      <c r="Q38" s="183">
        <f t="shared" si="2"/>
        <v>2410923303</v>
      </c>
      <c r="R38" s="183">
        <f t="shared" si="3"/>
        <v>1850447490</v>
      </c>
      <c r="S38" s="184" t="s">
        <v>223</v>
      </c>
      <c r="T38" s="180">
        <f t="shared" si="4"/>
        <v>0</v>
      </c>
      <c r="U38" s="185" t="str">
        <f t="shared" si="5"/>
        <v>SUBDIRECCION DE GESTION CONTRACTUAL</v>
      </c>
      <c r="V38" s="172" t="str">
        <f t="shared" si="6"/>
        <v>CO-DC</v>
      </c>
      <c r="W38" s="185" t="str">
        <f t="shared" si="7"/>
        <v>Distrito Capital de Bogotá</v>
      </c>
      <c r="X38" s="186" t="s">
        <v>40</v>
      </c>
      <c r="Y38" s="172">
        <v>2427411</v>
      </c>
      <c r="Z38" s="188" t="s">
        <v>41</v>
      </c>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89"/>
      <c r="BR38" s="189"/>
      <c r="BS38" s="189"/>
      <c r="BT38" s="189"/>
      <c r="BU38" s="189"/>
      <c r="BV38" s="189"/>
      <c r="BW38" s="189"/>
      <c r="BX38" s="189"/>
      <c r="BY38" s="189"/>
      <c r="BZ38" s="189"/>
      <c r="CA38" s="189"/>
      <c r="CB38" s="189"/>
      <c r="CC38" s="189"/>
      <c r="CD38" s="189"/>
      <c r="CE38" s="189"/>
      <c r="CF38" s="189"/>
      <c r="CG38" s="189"/>
    </row>
    <row r="39" spans="1:85" s="195" customFormat="1" ht="13.9" customHeight="1" x14ac:dyDescent="0.2">
      <c r="A39" s="171" t="s">
        <v>32</v>
      </c>
      <c r="B39" s="172">
        <v>33</v>
      </c>
      <c r="C39" s="173" t="s">
        <v>46</v>
      </c>
      <c r="D39" s="173" t="s">
        <v>58</v>
      </c>
      <c r="E39" s="174"/>
      <c r="F39" s="174">
        <v>675136000</v>
      </c>
      <c r="G39" s="174"/>
      <c r="H39" s="175">
        <v>80111600</v>
      </c>
      <c r="I39" s="176" t="s">
        <v>222</v>
      </c>
      <c r="J39" s="177">
        <v>1</v>
      </c>
      <c r="K39" s="178">
        <v>1</v>
      </c>
      <c r="L39" s="179">
        <v>12</v>
      </c>
      <c r="M39" s="172">
        <f t="shared" si="0"/>
        <v>1</v>
      </c>
      <c r="N39" s="180" t="s">
        <v>216</v>
      </c>
      <c r="O39" s="181" t="str">
        <f>IF(ISBLANK(N39),"",VLOOKUP(N39,[1]Parámetros!$G$2:$H$23,2,FALSE))</f>
        <v>Contratación directa.</v>
      </c>
      <c r="P39" s="182">
        <f t="shared" ref="P39:P75" si="8">IF(ISBLANK(N39),"",1)</f>
        <v>1</v>
      </c>
      <c r="Q39" s="183">
        <f t="shared" si="2"/>
        <v>675136000</v>
      </c>
      <c r="R39" s="183">
        <f t="shared" si="3"/>
        <v>675136000</v>
      </c>
      <c r="S39" s="184" t="s">
        <v>223</v>
      </c>
      <c r="T39" s="180">
        <f t="shared" ref="T39:T75" si="9">IF(ISBLANK(S39),"",IF(VALUE(S39)=0,0,IF(VALUE(S39)=1,3,"")))</f>
        <v>0</v>
      </c>
      <c r="U39" s="185" t="str">
        <f t="shared" si="5"/>
        <v>SUBDIRECCION DE GESTION CONTRACTUAL</v>
      </c>
      <c r="V39" s="172" t="str">
        <f t="shared" ref="V39:V75" si="10">IF(ISBLANK(N39),"","CO-DC")</f>
        <v>CO-DC</v>
      </c>
      <c r="W39" s="185" t="str">
        <f t="shared" ref="W39:W75" si="11">IF(ISBLANK(N39),"","Distrito Capital de Bogotá")</f>
        <v>Distrito Capital de Bogotá</v>
      </c>
      <c r="X39" s="186" t="s">
        <v>40</v>
      </c>
      <c r="Y39" s="172">
        <v>2427412</v>
      </c>
      <c r="Z39" s="188" t="s">
        <v>41</v>
      </c>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89"/>
      <c r="BR39" s="189"/>
      <c r="BS39" s="189"/>
      <c r="BT39" s="189"/>
      <c r="BU39" s="189"/>
      <c r="BV39" s="189"/>
      <c r="BW39" s="189"/>
      <c r="BX39" s="189"/>
      <c r="BY39" s="189"/>
      <c r="BZ39" s="189"/>
      <c r="CA39" s="189"/>
      <c r="CB39" s="189"/>
      <c r="CC39" s="189"/>
      <c r="CD39" s="189"/>
      <c r="CE39" s="189"/>
      <c r="CF39" s="189"/>
      <c r="CG39" s="189"/>
    </row>
    <row r="40" spans="1:85" s="189" customFormat="1" ht="12.75" customHeight="1" x14ac:dyDescent="0.25">
      <c r="A40" s="171" t="s">
        <v>32</v>
      </c>
      <c r="B40" s="172">
        <v>34</v>
      </c>
      <c r="C40" s="173" t="s">
        <v>46</v>
      </c>
      <c r="D40" s="173" t="s">
        <v>59</v>
      </c>
      <c r="E40" s="174"/>
      <c r="F40" s="174">
        <f>162041458-45041458</f>
        <v>117000000</v>
      </c>
      <c r="G40" s="174"/>
      <c r="H40" s="175" t="s">
        <v>121</v>
      </c>
      <c r="I40" s="176" t="s">
        <v>862</v>
      </c>
      <c r="J40" s="193">
        <v>1</v>
      </c>
      <c r="K40" s="193">
        <v>2</v>
      </c>
      <c r="L40" s="193">
        <v>10</v>
      </c>
      <c r="M40" s="172">
        <f t="shared" si="0"/>
        <v>1</v>
      </c>
      <c r="N40" s="180" t="s">
        <v>43</v>
      </c>
      <c r="O40" s="181" t="str">
        <f>IF(ISBLANK(N40),"",VLOOKUP(N40,[1]Parámetros!$G$2:$H$23,2,FALSE))</f>
        <v>Selección abreviada subasta inversa</v>
      </c>
      <c r="P40" s="182">
        <f t="shared" si="8"/>
        <v>1</v>
      </c>
      <c r="Q40" s="183">
        <f t="shared" si="2"/>
        <v>117000000</v>
      </c>
      <c r="R40" s="183">
        <f t="shared" si="3"/>
        <v>117000000</v>
      </c>
      <c r="S40" s="184" t="s">
        <v>223</v>
      </c>
      <c r="T40" s="180">
        <f t="shared" si="9"/>
        <v>0</v>
      </c>
      <c r="U40" s="185" t="str">
        <f t="shared" si="5"/>
        <v>SUBDIRECCION DE GESTION CONTRACTUAL</v>
      </c>
      <c r="V40" s="172" t="str">
        <f t="shared" si="10"/>
        <v>CO-DC</v>
      </c>
      <c r="W40" s="185" t="str">
        <f t="shared" si="11"/>
        <v>Distrito Capital de Bogotá</v>
      </c>
      <c r="X40" s="186" t="s">
        <v>332</v>
      </c>
      <c r="Y40" s="172">
        <v>2427413</v>
      </c>
      <c r="Z40" s="198" t="s">
        <v>94</v>
      </c>
    </row>
    <row r="41" spans="1:85" s="189" customFormat="1" ht="12.75" customHeight="1" x14ac:dyDescent="0.2">
      <c r="A41" s="171" t="s">
        <v>32</v>
      </c>
      <c r="B41" s="172">
        <v>35</v>
      </c>
      <c r="C41" s="173" t="s">
        <v>46</v>
      </c>
      <c r="D41" s="173" t="s">
        <v>60</v>
      </c>
      <c r="E41" s="174">
        <v>188251248</v>
      </c>
      <c r="F41" s="174">
        <f>249309304+14386180</f>
        <v>263695484</v>
      </c>
      <c r="G41" s="174"/>
      <c r="H41" s="175">
        <v>92121500</v>
      </c>
      <c r="I41" s="176" t="s">
        <v>642</v>
      </c>
      <c r="J41" s="187">
        <v>1</v>
      </c>
      <c r="K41" s="187">
        <v>1</v>
      </c>
      <c r="L41" s="187">
        <v>11</v>
      </c>
      <c r="M41" s="172">
        <f t="shared" si="0"/>
        <v>1</v>
      </c>
      <c r="N41" s="180" t="s">
        <v>43</v>
      </c>
      <c r="O41" s="181" t="str">
        <f>IF(ISBLANK(N41),"",VLOOKUP(N41,[2]Parámetros!$G$2:$H$23,2,FALSE))</f>
        <v>Selección abreviada subasta inversa</v>
      </c>
      <c r="P41" s="182">
        <f t="shared" si="8"/>
        <v>1</v>
      </c>
      <c r="Q41" s="183">
        <f t="shared" si="2"/>
        <v>451946732</v>
      </c>
      <c r="R41" s="183">
        <f t="shared" si="3"/>
        <v>263695484</v>
      </c>
      <c r="S41" s="184" t="s">
        <v>223</v>
      </c>
      <c r="T41" s="180">
        <f t="shared" si="9"/>
        <v>0</v>
      </c>
      <c r="U41" s="185" t="str">
        <f t="shared" si="5"/>
        <v>SUBDIRECCION DE GESTION CONTRACTUAL</v>
      </c>
      <c r="V41" s="172" t="str">
        <f t="shared" si="10"/>
        <v>CO-DC</v>
      </c>
      <c r="W41" s="185" t="str">
        <f t="shared" si="11"/>
        <v>Distrito Capital de Bogotá</v>
      </c>
      <c r="X41" s="186" t="s">
        <v>40</v>
      </c>
      <c r="Y41" s="172">
        <v>2427414</v>
      </c>
      <c r="Z41" s="188" t="s">
        <v>41</v>
      </c>
    </row>
    <row r="42" spans="1:85" s="195" customFormat="1" ht="13.9" customHeight="1" x14ac:dyDescent="0.2">
      <c r="A42" s="171" t="s">
        <v>32</v>
      </c>
      <c r="B42" s="172">
        <v>36</v>
      </c>
      <c r="C42" s="173" t="s">
        <v>46</v>
      </c>
      <c r="D42" s="173" t="s">
        <v>60</v>
      </c>
      <c r="E42" s="199">
        <v>96346322.310000002</v>
      </c>
      <c r="F42" s="200">
        <f>79387070+8599621.69</f>
        <v>87986691.689999998</v>
      </c>
      <c r="G42" s="174"/>
      <c r="H42" s="175" t="s">
        <v>251</v>
      </c>
      <c r="I42" s="176" t="s">
        <v>643</v>
      </c>
      <c r="J42" s="187">
        <v>1</v>
      </c>
      <c r="K42" s="187">
        <v>1</v>
      </c>
      <c r="L42" s="187">
        <v>7</v>
      </c>
      <c r="M42" s="172">
        <f t="shared" si="0"/>
        <v>1</v>
      </c>
      <c r="N42" s="180" t="s">
        <v>53</v>
      </c>
      <c r="O42" s="181" t="str">
        <f>IF(ISBLANK(N42),"",VLOOKUP(N42,[1]Parámetros!$G$2:$H$23,2,FALSE))</f>
        <v>Seléccion abreviada - acuerdo marco</v>
      </c>
      <c r="P42" s="182">
        <f t="shared" si="8"/>
        <v>1</v>
      </c>
      <c r="Q42" s="183">
        <f t="shared" si="2"/>
        <v>184333014</v>
      </c>
      <c r="R42" s="183">
        <f t="shared" si="3"/>
        <v>87986691.689999998</v>
      </c>
      <c r="S42" s="184" t="s">
        <v>223</v>
      </c>
      <c r="T42" s="180">
        <f t="shared" si="9"/>
        <v>0</v>
      </c>
      <c r="U42" s="185" t="str">
        <f t="shared" si="5"/>
        <v>SUBDIRECCION DE GESTION CONTRACTUAL</v>
      </c>
      <c r="V42" s="172" t="str">
        <f t="shared" si="10"/>
        <v>CO-DC</v>
      </c>
      <c r="W42" s="185" t="str">
        <f t="shared" si="11"/>
        <v>Distrito Capital de Bogotá</v>
      </c>
      <c r="X42" s="197" t="s">
        <v>504</v>
      </c>
      <c r="Y42" s="187">
        <v>2427400</v>
      </c>
      <c r="Z42" s="201" t="s">
        <v>131</v>
      </c>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89"/>
      <c r="BS42" s="189"/>
      <c r="BT42" s="189"/>
      <c r="BU42" s="189"/>
      <c r="BV42" s="189"/>
      <c r="BW42" s="189"/>
      <c r="BX42" s="189"/>
      <c r="BY42" s="189"/>
      <c r="BZ42" s="189"/>
      <c r="CA42" s="189"/>
      <c r="CB42" s="189"/>
      <c r="CC42" s="189"/>
      <c r="CD42" s="189"/>
      <c r="CE42" s="189"/>
      <c r="CF42" s="189"/>
      <c r="CG42" s="189"/>
    </row>
    <row r="43" spans="1:85" s="195" customFormat="1" ht="13.9" customHeight="1" x14ac:dyDescent="0.2">
      <c r="A43" s="171" t="s">
        <v>32</v>
      </c>
      <c r="B43" s="172">
        <v>37</v>
      </c>
      <c r="C43" s="173" t="s">
        <v>46</v>
      </c>
      <c r="D43" s="173" t="s">
        <v>60</v>
      </c>
      <c r="E43" s="174"/>
      <c r="F43" s="174">
        <f>34000000+71000000</f>
        <v>105000000</v>
      </c>
      <c r="G43" s="174"/>
      <c r="H43" s="175" t="s">
        <v>62</v>
      </c>
      <c r="I43" s="176" t="s">
        <v>645</v>
      </c>
      <c r="J43" s="193">
        <v>1</v>
      </c>
      <c r="K43" s="193">
        <v>1</v>
      </c>
      <c r="L43" s="193">
        <v>10</v>
      </c>
      <c r="M43" s="172">
        <f t="shared" si="0"/>
        <v>1</v>
      </c>
      <c r="N43" s="180" t="s">
        <v>36</v>
      </c>
      <c r="O43" s="181" t="str">
        <f>IF(ISBLANK(N43),"",VLOOKUP(N43,[1]Parámetros!$G$2:$H$23,2,FALSE))</f>
        <v xml:space="preserve">Contratación directa (con ofertas) </v>
      </c>
      <c r="P43" s="182">
        <f t="shared" si="8"/>
        <v>1</v>
      </c>
      <c r="Q43" s="183">
        <f t="shared" si="2"/>
        <v>105000000</v>
      </c>
      <c r="R43" s="183">
        <f t="shared" si="3"/>
        <v>105000000</v>
      </c>
      <c r="S43" s="184" t="s">
        <v>223</v>
      </c>
      <c r="T43" s="180">
        <f t="shared" si="9"/>
        <v>0</v>
      </c>
      <c r="U43" s="185" t="str">
        <f t="shared" si="5"/>
        <v>SUBDIRECCION DE GESTION CONTRACTUAL</v>
      </c>
      <c r="V43" s="172" t="str">
        <f t="shared" si="10"/>
        <v>CO-DC</v>
      </c>
      <c r="W43" s="185" t="str">
        <f t="shared" si="11"/>
        <v>Distrito Capital de Bogotá</v>
      </c>
      <c r="X43" s="186" t="s">
        <v>332</v>
      </c>
      <c r="Y43" s="172">
        <v>2427400</v>
      </c>
      <c r="Z43" s="188" t="s">
        <v>94</v>
      </c>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89"/>
      <c r="BS43" s="189"/>
      <c r="BT43" s="189"/>
      <c r="BU43" s="189"/>
      <c r="BV43" s="189"/>
      <c r="BW43" s="189"/>
      <c r="BX43" s="189"/>
      <c r="BY43" s="189"/>
      <c r="BZ43" s="189"/>
      <c r="CA43" s="189"/>
      <c r="CB43" s="189"/>
      <c r="CC43" s="189"/>
      <c r="CD43" s="189"/>
      <c r="CE43" s="189"/>
      <c r="CF43" s="189"/>
      <c r="CG43" s="189"/>
    </row>
    <row r="44" spans="1:85" s="189" customFormat="1" ht="12.75" customHeight="1" x14ac:dyDescent="0.2">
      <c r="A44" s="171" t="s">
        <v>32</v>
      </c>
      <c r="B44" s="172">
        <v>38</v>
      </c>
      <c r="C44" s="173" t="s">
        <v>46</v>
      </c>
      <c r="D44" s="173" t="s">
        <v>63</v>
      </c>
      <c r="E44" s="174"/>
      <c r="F44" s="174">
        <v>12000000</v>
      </c>
      <c r="G44" s="174"/>
      <c r="H44" s="197" t="s">
        <v>252</v>
      </c>
      <c r="I44" s="176" t="s">
        <v>644</v>
      </c>
      <c r="J44" s="187">
        <v>11</v>
      </c>
      <c r="K44" s="187">
        <v>11</v>
      </c>
      <c r="L44" s="187">
        <v>12</v>
      </c>
      <c r="M44" s="172">
        <f t="shared" si="0"/>
        <v>1</v>
      </c>
      <c r="N44" s="180" t="s">
        <v>53</v>
      </c>
      <c r="O44" s="181" t="str">
        <f>IF(ISBLANK(N44),"",VLOOKUP(N44,[1]Parámetros!$G$2:$H$23,2,FALSE))</f>
        <v>Seléccion abreviada - acuerdo marco</v>
      </c>
      <c r="P44" s="182">
        <f t="shared" si="8"/>
        <v>1</v>
      </c>
      <c r="Q44" s="183">
        <f t="shared" si="2"/>
        <v>12000000</v>
      </c>
      <c r="R44" s="183">
        <f t="shared" si="3"/>
        <v>12000000</v>
      </c>
      <c r="S44" s="184" t="s">
        <v>223</v>
      </c>
      <c r="T44" s="180">
        <f t="shared" si="9"/>
        <v>0</v>
      </c>
      <c r="U44" s="185" t="str">
        <f t="shared" si="5"/>
        <v>SUBDIRECCION DE GESTION CONTRACTUAL</v>
      </c>
      <c r="V44" s="172" t="str">
        <f t="shared" si="10"/>
        <v>CO-DC</v>
      </c>
      <c r="W44" s="185" t="str">
        <f t="shared" si="11"/>
        <v>Distrito Capital de Bogotá</v>
      </c>
      <c r="X44" s="197" t="s">
        <v>515</v>
      </c>
      <c r="Y44" s="187">
        <v>2427400</v>
      </c>
      <c r="Z44" s="201" t="s">
        <v>516</v>
      </c>
    </row>
    <row r="45" spans="1:85" s="195" customFormat="1" ht="13.9" customHeight="1" x14ac:dyDescent="0.2">
      <c r="A45" s="171" t="s">
        <v>32</v>
      </c>
      <c r="B45" s="172">
        <v>39</v>
      </c>
      <c r="C45" s="173" t="s">
        <v>46</v>
      </c>
      <c r="D45" s="173" t="s">
        <v>64</v>
      </c>
      <c r="E45" s="174"/>
      <c r="F45" s="174">
        <v>6384500</v>
      </c>
      <c r="G45" s="174"/>
      <c r="H45" s="175">
        <v>85122201</v>
      </c>
      <c r="I45" s="176" t="s">
        <v>253</v>
      </c>
      <c r="J45" s="187">
        <v>2</v>
      </c>
      <c r="K45" s="187">
        <v>2</v>
      </c>
      <c r="L45" s="187">
        <v>10</v>
      </c>
      <c r="M45" s="172">
        <f t="shared" si="0"/>
        <v>1</v>
      </c>
      <c r="N45" s="180" t="s">
        <v>48</v>
      </c>
      <c r="O45" s="181" t="str">
        <f>IF(ISBLANK(N45),"",VLOOKUP(N45,[1]Parámetros!$G$2:$H$23,2,FALSE))</f>
        <v>Mínima cuantía</v>
      </c>
      <c r="P45" s="182">
        <f t="shared" si="8"/>
        <v>1</v>
      </c>
      <c r="Q45" s="183">
        <f t="shared" si="2"/>
        <v>6384500</v>
      </c>
      <c r="R45" s="183">
        <f t="shared" si="3"/>
        <v>6384500</v>
      </c>
      <c r="S45" s="184" t="s">
        <v>223</v>
      </c>
      <c r="T45" s="180">
        <f t="shared" si="9"/>
        <v>0</v>
      </c>
      <c r="U45" s="185" t="str">
        <f t="shared" si="5"/>
        <v>SUBDIRECCION DE GESTION CONTRACTUAL</v>
      </c>
      <c r="V45" s="172" t="str">
        <f t="shared" si="10"/>
        <v>CO-DC</v>
      </c>
      <c r="W45" s="185" t="str">
        <f t="shared" si="11"/>
        <v>Distrito Capital de Bogotá</v>
      </c>
      <c r="X45" s="186" t="s">
        <v>40</v>
      </c>
      <c r="Y45" s="172">
        <v>2427418</v>
      </c>
      <c r="Z45" s="186" t="s">
        <v>41</v>
      </c>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9"/>
      <c r="BR45" s="189"/>
      <c r="BS45" s="189"/>
      <c r="BT45" s="189"/>
      <c r="BU45" s="189"/>
      <c r="BV45" s="189"/>
      <c r="BW45" s="189"/>
      <c r="BX45" s="189"/>
      <c r="BY45" s="189"/>
      <c r="BZ45" s="189"/>
      <c r="CA45" s="189"/>
      <c r="CB45" s="189"/>
      <c r="CC45" s="189"/>
      <c r="CD45" s="189"/>
      <c r="CE45" s="189"/>
      <c r="CF45" s="189"/>
      <c r="CG45" s="189"/>
    </row>
    <row r="46" spans="1:85" s="195" customFormat="1" ht="13.9" customHeight="1" x14ac:dyDescent="0.2">
      <c r="A46" s="171" t="s">
        <v>32</v>
      </c>
      <c r="B46" s="172">
        <v>40</v>
      </c>
      <c r="C46" s="173" t="s">
        <v>863</v>
      </c>
      <c r="D46" s="173" t="s">
        <v>864</v>
      </c>
      <c r="E46" s="174"/>
      <c r="F46" s="174">
        <v>200000000</v>
      </c>
      <c r="G46" s="174"/>
      <c r="H46" s="175" t="s">
        <v>865</v>
      </c>
      <c r="I46" s="176" t="s">
        <v>227</v>
      </c>
      <c r="J46" s="187">
        <v>1</v>
      </c>
      <c r="K46" s="187">
        <v>2</v>
      </c>
      <c r="L46" s="187">
        <v>3</v>
      </c>
      <c r="M46" s="172">
        <f t="shared" si="0"/>
        <v>1</v>
      </c>
      <c r="N46" s="180" t="s">
        <v>36</v>
      </c>
      <c r="O46" s="181" t="str">
        <f>IF(ISBLANK(N46),"",VLOOKUP(N46,[3]Parámetros!$G$2:$H$23,2,FALSE))</f>
        <v xml:space="preserve">Contratación directa (con ofertas) </v>
      </c>
      <c r="P46" s="182">
        <f t="shared" si="8"/>
        <v>1</v>
      </c>
      <c r="Q46" s="183">
        <f t="shared" ref="Q46:Q50" si="12">IF(VALUE(E46+F46+G46)=0,"",E46+F46+G46)</f>
        <v>200000000</v>
      </c>
      <c r="R46" s="183">
        <f t="shared" ref="R46:R50" si="13">IF(VALUE(F46)=0,"",F46)</f>
        <v>200000000</v>
      </c>
      <c r="S46" s="184" t="s">
        <v>223</v>
      </c>
      <c r="T46" s="180">
        <f t="shared" si="9"/>
        <v>0</v>
      </c>
      <c r="U46" s="185" t="str">
        <f t="shared" si="5"/>
        <v>SUBDIRECCION DE GESTION CONTRACTUAL</v>
      </c>
      <c r="V46" s="172" t="str">
        <f t="shared" si="10"/>
        <v>CO-DC</v>
      </c>
      <c r="W46" s="185" t="str">
        <f t="shared" si="11"/>
        <v>Distrito Capital de Bogotá</v>
      </c>
      <c r="X46" s="186" t="s">
        <v>40</v>
      </c>
      <c r="Y46" s="172">
        <v>2427418</v>
      </c>
      <c r="Z46" s="186" t="s">
        <v>41</v>
      </c>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9"/>
      <c r="BR46" s="189"/>
      <c r="BS46" s="189"/>
      <c r="BT46" s="189"/>
      <c r="BU46" s="189"/>
      <c r="BV46" s="189"/>
      <c r="BW46" s="189"/>
      <c r="BX46" s="189"/>
      <c r="BY46" s="189"/>
      <c r="BZ46" s="189"/>
      <c r="CA46" s="189"/>
      <c r="CB46" s="189"/>
      <c r="CC46" s="189"/>
      <c r="CD46" s="189"/>
      <c r="CE46" s="189"/>
      <c r="CF46" s="189"/>
      <c r="CG46" s="189"/>
    </row>
    <row r="47" spans="1:85" s="195" customFormat="1" ht="13.9" customHeight="1" x14ac:dyDescent="0.2">
      <c r="A47" s="171" t="s">
        <v>32</v>
      </c>
      <c r="B47" s="172">
        <v>41</v>
      </c>
      <c r="C47" s="173" t="s">
        <v>863</v>
      </c>
      <c r="D47" s="173" t="s">
        <v>864</v>
      </c>
      <c r="E47" s="174"/>
      <c r="F47" s="174">
        <v>332987072</v>
      </c>
      <c r="G47" s="174"/>
      <c r="H47" s="175">
        <v>80111600</v>
      </c>
      <c r="I47" s="176" t="s">
        <v>222</v>
      </c>
      <c r="J47" s="187">
        <v>2</v>
      </c>
      <c r="K47" s="187">
        <v>1</v>
      </c>
      <c r="L47" s="187">
        <v>11</v>
      </c>
      <c r="M47" s="172">
        <f t="shared" si="0"/>
        <v>1</v>
      </c>
      <c r="N47" s="180" t="s">
        <v>216</v>
      </c>
      <c r="O47" s="181" t="str">
        <f>IF(ISBLANK(N47),"",VLOOKUP(N47,[3]Parámetros!$G$2:$H$23,2,FALSE))</f>
        <v>Contratación directa.</v>
      </c>
      <c r="P47" s="182">
        <f t="shared" si="8"/>
        <v>1</v>
      </c>
      <c r="Q47" s="183">
        <f t="shared" si="12"/>
        <v>332987072</v>
      </c>
      <c r="R47" s="183">
        <f t="shared" si="13"/>
        <v>332987072</v>
      </c>
      <c r="S47" s="184" t="s">
        <v>223</v>
      </c>
      <c r="T47" s="180">
        <f t="shared" si="9"/>
        <v>0</v>
      </c>
      <c r="U47" s="185" t="str">
        <f t="shared" si="5"/>
        <v>SUBDIRECCION DE GESTION CONTRACTUAL</v>
      </c>
      <c r="V47" s="172" t="str">
        <f t="shared" si="10"/>
        <v>CO-DC</v>
      </c>
      <c r="W47" s="185" t="str">
        <f t="shared" si="11"/>
        <v>Distrito Capital de Bogotá</v>
      </c>
      <c r="X47" s="186" t="s">
        <v>40</v>
      </c>
      <c r="Y47" s="172">
        <v>2427418</v>
      </c>
      <c r="Z47" s="186" t="s">
        <v>41</v>
      </c>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9"/>
      <c r="BR47" s="189"/>
      <c r="BS47" s="189"/>
      <c r="BT47" s="189"/>
      <c r="BU47" s="189"/>
      <c r="BV47" s="189"/>
      <c r="BW47" s="189"/>
      <c r="BX47" s="189"/>
      <c r="BY47" s="189"/>
      <c r="BZ47" s="189"/>
      <c r="CA47" s="189"/>
      <c r="CB47" s="189"/>
      <c r="CC47" s="189"/>
      <c r="CD47" s="189"/>
      <c r="CE47" s="189"/>
      <c r="CF47" s="189"/>
      <c r="CG47" s="189"/>
    </row>
    <row r="48" spans="1:85" s="195" customFormat="1" ht="13.9" customHeight="1" x14ac:dyDescent="0.2">
      <c r="A48" s="171" t="s">
        <v>32</v>
      </c>
      <c r="B48" s="172">
        <v>42</v>
      </c>
      <c r="C48" s="173" t="s">
        <v>863</v>
      </c>
      <c r="D48" s="173" t="s">
        <v>864</v>
      </c>
      <c r="E48" s="174"/>
      <c r="F48" s="174">
        <v>3467012928</v>
      </c>
      <c r="G48" s="174"/>
      <c r="H48" s="175" t="s">
        <v>236</v>
      </c>
      <c r="I48" s="176" t="s">
        <v>866</v>
      </c>
      <c r="J48" s="187">
        <v>2</v>
      </c>
      <c r="K48" s="187">
        <v>2</v>
      </c>
      <c r="L48" s="187">
        <v>10</v>
      </c>
      <c r="M48" s="172">
        <f t="shared" si="0"/>
        <v>1</v>
      </c>
      <c r="N48" s="180" t="s">
        <v>36</v>
      </c>
      <c r="O48" s="181" t="str">
        <f>IF(ISBLANK(N48),"",VLOOKUP(N48,[3]Parámetros!$G$2:$H$23,2,FALSE))</f>
        <v xml:space="preserve">Contratación directa (con ofertas) </v>
      </c>
      <c r="P48" s="182">
        <f t="shared" si="8"/>
        <v>1</v>
      </c>
      <c r="Q48" s="183">
        <f t="shared" si="12"/>
        <v>3467012928</v>
      </c>
      <c r="R48" s="183">
        <f t="shared" si="13"/>
        <v>3467012928</v>
      </c>
      <c r="S48" s="184" t="s">
        <v>223</v>
      </c>
      <c r="T48" s="180">
        <f t="shared" si="9"/>
        <v>0</v>
      </c>
      <c r="U48" s="185" t="str">
        <f t="shared" si="5"/>
        <v>SUBDIRECCION DE GESTION CONTRACTUAL</v>
      </c>
      <c r="V48" s="172" t="str">
        <f t="shared" si="10"/>
        <v>CO-DC</v>
      </c>
      <c r="W48" s="185" t="str">
        <f t="shared" si="11"/>
        <v>Distrito Capital de Bogotá</v>
      </c>
      <c r="X48" s="186" t="s">
        <v>40</v>
      </c>
      <c r="Y48" s="172">
        <v>2427418</v>
      </c>
      <c r="Z48" s="186" t="s">
        <v>41</v>
      </c>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9"/>
      <c r="BR48" s="189"/>
      <c r="BS48" s="189"/>
      <c r="BT48" s="189"/>
      <c r="BU48" s="189"/>
      <c r="BV48" s="189"/>
      <c r="BW48" s="189"/>
      <c r="BX48" s="189"/>
      <c r="BY48" s="189"/>
      <c r="BZ48" s="189"/>
      <c r="CA48" s="189"/>
      <c r="CB48" s="189"/>
      <c r="CC48" s="189"/>
      <c r="CD48" s="189"/>
      <c r="CE48" s="189"/>
      <c r="CF48" s="189"/>
      <c r="CG48" s="189"/>
    </row>
    <row r="49" spans="1:85" s="195" customFormat="1" ht="13.9" customHeight="1" x14ac:dyDescent="0.2">
      <c r="A49" s="171" t="s">
        <v>32</v>
      </c>
      <c r="B49" s="172">
        <v>43</v>
      </c>
      <c r="C49" s="173" t="s">
        <v>46</v>
      </c>
      <c r="D49" s="173" t="s">
        <v>55</v>
      </c>
      <c r="E49" s="174"/>
      <c r="F49" s="174">
        <f>300000000-50000000</f>
        <v>250000000</v>
      </c>
      <c r="G49" s="174"/>
      <c r="H49" s="175" t="s">
        <v>865</v>
      </c>
      <c r="I49" s="176" t="s">
        <v>227</v>
      </c>
      <c r="J49" s="187">
        <v>2</v>
      </c>
      <c r="K49" s="187">
        <v>3</v>
      </c>
      <c r="L49" s="187">
        <v>9</v>
      </c>
      <c r="M49" s="172">
        <f t="shared" si="0"/>
        <v>1</v>
      </c>
      <c r="N49" s="180" t="s">
        <v>234</v>
      </c>
      <c r="O49" s="181" t="str">
        <f>IF(ISBLANK(N49),"",VLOOKUP(N49,[3]Parámetros!$G$2:$H$23,2,FALSE))</f>
        <v>Licitación pública</v>
      </c>
      <c r="P49" s="182">
        <f t="shared" si="8"/>
        <v>1</v>
      </c>
      <c r="Q49" s="183">
        <f t="shared" si="12"/>
        <v>250000000</v>
      </c>
      <c r="R49" s="183">
        <f t="shared" si="13"/>
        <v>250000000</v>
      </c>
      <c r="S49" s="184" t="s">
        <v>223</v>
      </c>
      <c r="T49" s="180">
        <f t="shared" si="9"/>
        <v>0</v>
      </c>
      <c r="U49" s="185" t="str">
        <f t="shared" si="5"/>
        <v>SUBDIRECCION DE GESTION CONTRACTUAL</v>
      </c>
      <c r="V49" s="172" t="str">
        <f t="shared" si="10"/>
        <v>CO-DC</v>
      </c>
      <c r="W49" s="185" t="str">
        <f t="shared" si="11"/>
        <v>Distrito Capital de Bogotá</v>
      </c>
      <c r="X49" s="186" t="s">
        <v>40</v>
      </c>
      <c r="Y49" s="172">
        <v>2427418</v>
      </c>
      <c r="Z49" s="186" t="s">
        <v>41</v>
      </c>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9"/>
      <c r="BR49" s="189"/>
      <c r="BS49" s="189"/>
      <c r="BT49" s="189"/>
      <c r="BU49" s="189"/>
      <c r="BV49" s="189"/>
      <c r="BW49" s="189"/>
      <c r="BX49" s="189"/>
      <c r="BY49" s="189"/>
      <c r="BZ49" s="189"/>
      <c r="CA49" s="189"/>
      <c r="CB49" s="189"/>
      <c r="CC49" s="189"/>
      <c r="CD49" s="189"/>
      <c r="CE49" s="189"/>
      <c r="CF49" s="189"/>
      <c r="CG49" s="189"/>
    </row>
    <row r="50" spans="1:85" s="195" customFormat="1" ht="13.9" customHeight="1" x14ac:dyDescent="0.2">
      <c r="A50" s="171" t="s">
        <v>32</v>
      </c>
      <c r="B50" s="172">
        <v>44</v>
      </c>
      <c r="C50" s="173" t="s">
        <v>239</v>
      </c>
      <c r="D50" s="173" t="s">
        <v>34</v>
      </c>
      <c r="E50" s="174"/>
      <c r="F50" s="174">
        <v>130000000</v>
      </c>
      <c r="G50" s="174"/>
      <c r="H50" s="175" t="s">
        <v>868</v>
      </c>
      <c r="I50" s="176" t="s">
        <v>867</v>
      </c>
      <c r="J50" s="187">
        <v>2</v>
      </c>
      <c r="K50" s="187">
        <v>2</v>
      </c>
      <c r="L50" s="187">
        <v>1</v>
      </c>
      <c r="M50" s="172">
        <f t="shared" si="0"/>
        <v>1</v>
      </c>
      <c r="N50" s="180" t="s">
        <v>53</v>
      </c>
      <c r="O50" s="181" t="str">
        <f>IF(ISBLANK(N50),"",VLOOKUP(N50,[3]Parámetros!$G$2:$H$23,2,FALSE))</f>
        <v>Seléccion abreviada - acuerdo marco</v>
      </c>
      <c r="P50" s="182">
        <f t="shared" si="8"/>
        <v>1</v>
      </c>
      <c r="Q50" s="183">
        <f t="shared" si="12"/>
        <v>130000000</v>
      </c>
      <c r="R50" s="183">
        <f t="shared" si="13"/>
        <v>130000000</v>
      </c>
      <c r="S50" s="184" t="s">
        <v>223</v>
      </c>
      <c r="T50" s="180">
        <f t="shared" si="9"/>
        <v>0</v>
      </c>
      <c r="U50" s="185" t="str">
        <f t="shared" si="5"/>
        <v>SUBDIRECCION DE GESTION CONTRACTUAL</v>
      </c>
      <c r="V50" s="172" t="str">
        <f t="shared" si="10"/>
        <v>CO-DC</v>
      </c>
      <c r="W50" s="185" t="str">
        <f t="shared" si="11"/>
        <v>Distrito Capital de Bogotá</v>
      </c>
      <c r="X50" s="186" t="s">
        <v>40</v>
      </c>
      <c r="Y50" s="172">
        <v>2427418</v>
      </c>
      <c r="Z50" s="186" t="s">
        <v>41</v>
      </c>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89"/>
      <c r="BR50" s="189"/>
      <c r="BS50" s="189"/>
      <c r="BT50" s="189"/>
      <c r="BU50" s="189"/>
      <c r="BV50" s="189"/>
      <c r="BW50" s="189"/>
      <c r="BX50" s="189"/>
      <c r="BY50" s="189"/>
      <c r="BZ50" s="189"/>
      <c r="CA50" s="189"/>
      <c r="CB50" s="189"/>
      <c r="CC50" s="189"/>
      <c r="CD50" s="189"/>
      <c r="CE50" s="189"/>
      <c r="CF50" s="189"/>
      <c r="CG50" s="189"/>
    </row>
    <row r="51" spans="1:85" s="189" customFormat="1" ht="14.25" x14ac:dyDescent="0.2">
      <c r="A51" s="171" t="s">
        <v>176</v>
      </c>
      <c r="B51" s="172">
        <v>1</v>
      </c>
      <c r="C51" s="173" t="s">
        <v>254</v>
      </c>
      <c r="D51" s="173" t="s">
        <v>88</v>
      </c>
      <c r="E51" s="174"/>
      <c r="F51" s="174">
        <v>270000000</v>
      </c>
      <c r="G51" s="174"/>
      <c r="H51" s="175">
        <v>80111600</v>
      </c>
      <c r="I51" s="176" t="s">
        <v>255</v>
      </c>
      <c r="J51" s="177">
        <v>1</v>
      </c>
      <c r="K51" s="178">
        <v>1</v>
      </c>
      <c r="L51" s="179">
        <v>12</v>
      </c>
      <c r="M51" s="172">
        <f t="shared" si="0"/>
        <v>1</v>
      </c>
      <c r="N51" s="180" t="s">
        <v>216</v>
      </c>
      <c r="O51" s="181" t="str">
        <f>IF(ISBLANK(N51),"",VLOOKUP(N51,[4]Parámetros!$G$2:$H$23,2,FALSE))</f>
        <v>Contratación directa.</v>
      </c>
      <c r="P51" s="182">
        <f t="shared" si="8"/>
        <v>1</v>
      </c>
      <c r="Q51" s="183">
        <f t="shared" si="2"/>
        <v>270000000</v>
      </c>
      <c r="R51" s="183">
        <f t="shared" si="3"/>
        <v>270000000</v>
      </c>
      <c r="S51" s="184" t="s">
        <v>223</v>
      </c>
      <c r="T51" s="180">
        <f t="shared" si="9"/>
        <v>0</v>
      </c>
      <c r="U51" s="185" t="str">
        <f t="shared" si="5"/>
        <v>SUBDIRECCION DE GESTION CONTRACTUAL</v>
      </c>
      <c r="V51" s="172" t="str">
        <f t="shared" si="10"/>
        <v>CO-DC</v>
      </c>
      <c r="W51" s="185" t="str">
        <f t="shared" si="11"/>
        <v>Distrito Capital de Bogotá</v>
      </c>
      <c r="X51" s="186" t="s">
        <v>177</v>
      </c>
      <c r="Y51" s="172">
        <v>2427400</v>
      </c>
      <c r="Z51" s="188" t="s">
        <v>178</v>
      </c>
    </row>
    <row r="52" spans="1:85" s="189" customFormat="1" ht="12.75" customHeight="1" x14ac:dyDescent="0.2">
      <c r="A52" s="171" t="s">
        <v>176</v>
      </c>
      <c r="B52" s="172">
        <v>2</v>
      </c>
      <c r="C52" s="173" t="s">
        <v>254</v>
      </c>
      <c r="D52" s="173" t="s">
        <v>88</v>
      </c>
      <c r="E52" s="174"/>
      <c r="F52" s="174">
        <v>400000000</v>
      </c>
      <c r="G52" s="174"/>
      <c r="H52" s="175" t="s">
        <v>801</v>
      </c>
      <c r="I52" s="176" t="s">
        <v>256</v>
      </c>
      <c r="J52" s="177">
        <v>2</v>
      </c>
      <c r="K52" s="178">
        <v>3</v>
      </c>
      <c r="L52" s="179">
        <v>9</v>
      </c>
      <c r="M52" s="172">
        <f t="shared" si="0"/>
        <v>1</v>
      </c>
      <c r="N52" s="180" t="s">
        <v>234</v>
      </c>
      <c r="O52" s="181" t="str">
        <f>IF(ISBLANK(N52),"",VLOOKUP(N52,[4]Parámetros!$G$2:$H$23,2,FALSE))</f>
        <v>Licitación pública</v>
      </c>
      <c r="P52" s="182">
        <f t="shared" si="8"/>
        <v>1</v>
      </c>
      <c r="Q52" s="183">
        <f t="shared" si="2"/>
        <v>400000000</v>
      </c>
      <c r="R52" s="183">
        <f t="shared" si="3"/>
        <v>400000000</v>
      </c>
      <c r="S52" s="184" t="s">
        <v>223</v>
      </c>
      <c r="T52" s="180">
        <f t="shared" si="9"/>
        <v>0</v>
      </c>
      <c r="U52" s="185" t="str">
        <f t="shared" si="5"/>
        <v>SUBDIRECCION DE GESTION CONTRACTUAL</v>
      </c>
      <c r="V52" s="172" t="str">
        <f t="shared" si="10"/>
        <v>CO-DC</v>
      </c>
      <c r="W52" s="185" t="str">
        <f t="shared" si="11"/>
        <v>Distrito Capital de Bogotá</v>
      </c>
      <c r="X52" s="186" t="s">
        <v>177</v>
      </c>
      <c r="Y52" s="172">
        <v>2427400</v>
      </c>
      <c r="Z52" s="188" t="s">
        <v>178</v>
      </c>
    </row>
    <row r="53" spans="1:85" s="189" customFormat="1" ht="12.75" customHeight="1" x14ac:dyDescent="0.2">
      <c r="A53" s="171" t="s">
        <v>176</v>
      </c>
      <c r="B53" s="172">
        <v>3</v>
      </c>
      <c r="C53" s="173" t="s">
        <v>254</v>
      </c>
      <c r="D53" s="173" t="s">
        <v>88</v>
      </c>
      <c r="E53" s="174"/>
      <c r="F53" s="174">
        <v>6174796609</v>
      </c>
      <c r="G53" s="174"/>
      <c r="H53" s="175" t="s">
        <v>802</v>
      </c>
      <c r="I53" s="176" t="s">
        <v>257</v>
      </c>
      <c r="J53" s="177">
        <v>3</v>
      </c>
      <c r="K53" s="178">
        <v>4</v>
      </c>
      <c r="L53" s="179">
        <v>8</v>
      </c>
      <c r="M53" s="172">
        <f t="shared" si="0"/>
        <v>1</v>
      </c>
      <c r="N53" s="180" t="s">
        <v>36</v>
      </c>
      <c r="O53" s="181" t="str">
        <f>IF(ISBLANK(N53),"",VLOOKUP(N53,[4]Parámetros!$G$2:$H$23,2,FALSE))</f>
        <v xml:space="preserve">Contratación directa (con ofertas) </v>
      </c>
      <c r="P53" s="182">
        <f t="shared" si="8"/>
        <v>1</v>
      </c>
      <c r="Q53" s="183">
        <f t="shared" si="2"/>
        <v>6174796609</v>
      </c>
      <c r="R53" s="183">
        <f t="shared" si="3"/>
        <v>6174796609</v>
      </c>
      <c r="S53" s="184" t="s">
        <v>223</v>
      </c>
      <c r="T53" s="180">
        <f t="shared" si="9"/>
        <v>0</v>
      </c>
      <c r="U53" s="185" t="str">
        <f t="shared" si="5"/>
        <v>SUBDIRECCION DE GESTION CONTRACTUAL</v>
      </c>
      <c r="V53" s="172" t="str">
        <f t="shared" si="10"/>
        <v>CO-DC</v>
      </c>
      <c r="W53" s="185" t="str">
        <f t="shared" si="11"/>
        <v>Distrito Capital de Bogotá</v>
      </c>
      <c r="X53" s="186" t="s">
        <v>177</v>
      </c>
      <c r="Y53" s="172">
        <v>2427400</v>
      </c>
      <c r="Z53" s="188" t="s">
        <v>178</v>
      </c>
    </row>
    <row r="54" spans="1:85" s="189" customFormat="1" ht="12.75" customHeight="1" x14ac:dyDescent="0.2">
      <c r="A54" s="171" t="s">
        <v>176</v>
      </c>
      <c r="B54" s="172">
        <v>4</v>
      </c>
      <c r="C54" s="173" t="s">
        <v>254</v>
      </c>
      <c r="D54" s="173" t="s">
        <v>88</v>
      </c>
      <c r="E54" s="174"/>
      <c r="F54" s="174">
        <v>50000000</v>
      </c>
      <c r="G54" s="174"/>
      <c r="H54" s="175" t="s">
        <v>42</v>
      </c>
      <c r="I54" s="176" t="s">
        <v>279</v>
      </c>
      <c r="J54" s="177">
        <v>3</v>
      </c>
      <c r="K54" s="178">
        <v>4</v>
      </c>
      <c r="L54" s="179">
        <v>9</v>
      </c>
      <c r="M54" s="172">
        <f t="shared" si="0"/>
        <v>1</v>
      </c>
      <c r="N54" s="180" t="s">
        <v>61</v>
      </c>
      <c r="O54" s="181" t="str">
        <f>IF(ISBLANK(N54),"",VLOOKUP(N54,[1]Parámetros!$G$2:$H$23,2,FALSE))</f>
        <v>Contratación régimen especial - Selección de comisionista</v>
      </c>
      <c r="P54" s="182">
        <f t="shared" si="8"/>
        <v>1</v>
      </c>
      <c r="Q54" s="183">
        <f t="shared" si="2"/>
        <v>50000000</v>
      </c>
      <c r="R54" s="183">
        <f t="shared" si="3"/>
        <v>50000000</v>
      </c>
      <c r="S54" s="184" t="s">
        <v>223</v>
      </c>
      <c r="T54" s="180">
        <f t="shared" si="9"/>
        <v>0</v>
      </c>
      <c r="U54" s="185" t="str">
        <f t="shared" si="5"/>
        <v>SUBDIRECCION DE GESTION CONTRACTUAL</v>
      </c>
      <c r="V54" s="172" t="str">
        <f t="shared" si="10"/>
        <v>CO-DC</v>
      </c>
      <c r="W54" s="185" t="str">
        <f t="shared" si="11"/>
        <v>Distrito Capital de Bogotá</v>
      </c>
      <c r="X54" s="186" t="s">
        <v>359</v>
      </c>
      <c r="Y54" s="172">
        <v>2427400</v>
      </c>
      <c r="Z54" s="188" t="s">
        <v>75</v>
      </c>
    </row>
    <row r="55" spans="1:85" s="189" customFormat="1" ht="12.75" customHeight="1" x14ac:dyDescent="0.2">
      <c r="A55" s="171" t="s">
        <v>176</v>
      </c>
      <c r="B55" s="172">
        <v>5</v>
      </c>
      <c r="C55" s="173" t="s">
        <v>258</v>
      </c>
      <c r="D55" s="173" t="s">
        <v>179</v>
      </c>
      <c r="E55" s="174"/>
      <c r="F55" s="174">
        <v>2000000000</v>
      </c>
      <c r="G55" s="174"/>
      <c r="H55" s="175">
        <v>80111600</v>
      </c>
      <c r="I55" s="176" t="s">
        <v>255</v>
      </c>
      <c r="J55" s="177">
        <v>1</v>
      </c>
      <c r="K55" s="178">
        <v>1</v>
      </c>
      <c r="L55" s="179">
        <v>12</v>
      </c>
      <c r="M55" s="172">
        <f t="shared" si="0"/>
        <v>1</v>
      </c>
      <c r="N55" s="180" t="s">
        <v>216</v>
      </c>
      <c r="O55" s="181" t="str">
        <f>IF(ISBLANK(N55),"",VLOOKUP(N55,[4]Parámetros!$G$2:$H$23,2,FALSE))</f>
        <v>Contratación directa.</v>
      </c>
      <c r="P55" s="182">
        <f t="shared" si="8"/>
        <v>1</v>
      </c>
      <c r="Q55" s="183">
        <f t="shared" si="2"/>
        <v>2000000000</v>
      </c>
      <c r="R55" s="183">
        <f t="shared" si="3"/>
        <v>2000000000</v>
      </c>
      <c r="S55" s="184" t="s">
        <v>223</v>
      </c>
      <c r="T55" s="180">
        <f t="shared" si="9"/>
        <v>0</v>
      </c>
      <c r="U55" s="185" t="str">
        <f t="shared" si="5"/>
        <v>SUBDIRECCION DE GESTION CONTRACTUAL</v>
      </c>
      <c r="V55" s="172" t="str">
        <f t="shared" si="10"/>
        <v>CO-DC</v>
      </c>
      <c r="W55" s="185" t="str">
        <f t="shared" si="11"/>
        <v>Distrito Capital de Bogotá</v>
      </c>
      <c r="X55" s="186" t="s">
        <v>177</v>
      </c>
      <c r="Y55" s="172">
        <v>2427400</v>
      </c>
      <c r="Z55" s="188" t="s">
        <v>178</v>
      </c>
    </row>
    <row r="56" spans="1:85" s="189" customFormat="1" ht="12.75" customHeight="1" x14ac:dyDescent="0.2">
      <c r="A56" s="171" t="s">
        <v>176</v>
      </c>
      <c r="B56" s="172">
        <v>6</v>
      </c>
      <c r="C56" s="173" t="s">
        <v>258</v>
      </c>
      <c r="D56" s="173" t="s">
        <v>179</v>
      </c>
      <c r="E56" s="174"/>
      <c r="F56" s="174">
        <v>950000000</v>
      </c>
      <c r="G56" s="174"/>
      <c r="H56" s="175" t="s">
        <v>801</v>
      </c>
      <c r="I56" s="176" t="s">
        <v>256</v>
      </c>
      <c r="J56" s="177">
        <v>2</v>
      </c>
      <c r="K56" s="178">
        <v>3</v>
      </c>
      <c r="L56" s="179">
        <v>9</v>
      </c>
      <c r="M56" s="172">
        <f t="shared" si="0"/>
        <v>1</v>
      </c>
      <c r="N56" s="180" t="s">
        <v>234</v>
      </c>
      <c r="O56" s="181" t="str">
        <f>IF(ISBLANK(N56),"",VLOOKUP(N56,[4]Parámetros!$G$2:$H$23,2,FALSE))</f>
        <v>Licitación pública</v>
      </c>
      <c r="P56" s="182">
        <f t="shared" si="8"/>
        <v>1</v>
      </c>
      <c r="Q56" s="183">
        <f t="shared" si="2"/>
        <v>950000000</v>
      </c>
      <c r="R56" s="183">
        <f t="shared" si="3"/>
        <v>950000000</v>
      </c>
      <c r="S56" s="184" t="s">
        <v>223</v>
      </c>
      <c r="T56" s="180">
        <f t="shared" si="9"/>
        <v>0</v>
      </c>
      <c r="U56" s="185" t="str">
        <f t="shared" si="5"/>
        <v>SUBDIRECCION DE GESTION CONTRACTUAL</v>
      </c>
      <c r="V56" s="172" t="str">
        <f t="shared" si="10"/>
        <v>CO-DC</v>
      </c>
      <c r="W56" s="185" t="str">
        <f t="shared" si="11"/>
        <v>Distrito Capital de Bogotá</v>
      </c>
      <c r="X56" s="186" t="s">
        <v>177</v>
      </c>
      <c r="Y56" s="172">
        <v>2427400</v>
      </c>
      <c r="Z56" s="188" t="s">
        <v>178</v>
      </c>
    </row>
    <row r="57" spans="1:85" s="189" customFormat="1" ht="12.75" customHeight="1" x14ac:dyDescent="0.2">
      <c r="A57" s="171" t="s">
        <v>176</v>
      </c>
      <c r="B57" s="172">
        <v>7</v>
      </c>
      <c r="C57" s="173" t="s">
        <v>258</v>
      </c>
      <c r="D57" s="173" t="s">
        <v>179</v>
      </c>
      <c r="E57" s="174"/>
      <c r="F57" s="174">
        <v>350000000</v>
      </c>
      <c r="G57" s="174"/>
      <c r="H57" s="175" t="s">
        <v>802</v>
      </c>
      <c r="I57" s="176" t="s">
        <v>259</v>
      </c>
      <c r="J57" s="177">
        <v>4</v>
      </c>
      <c r="K57" s="178">
        <v>5</v>
      </c>
      <c r="L57" s="179">
        <v>6</v>
      </c>
      <c r="M57" s="172">
        <f t="shared" si="0"/>
        <v>1</v>
      </c>
      <c r="N57" s="180" t="s">
        <v>36</v>
      </c>
      <c r="O57" s="181" t="str">
        <f>IF(ISBLANK(N57),"",VLOOKUP(N57,[4]Parámetros!$G$2:$H$23,2,FALSE))</f>
        <v xml:space="preserve">Contratación directa (con ofertas) </v>
      </c>
      <c r="P57" s="182">
        <f t="shared" si="8"/>
        <v>1</v>
      </c>
      <c r="Q57" s="183">
        <f t="shared" si="2"/>
        <v>350000000</v>
      </c>
      <c r="R57" s="183">
        <f t="shared" si="3"/>
        <v>350000000</v>
      </c>
      <c r="S57" s="184" t="s">
        <v>223</v>
      </c>
      <c r="T57" s="180">
        <f t="shared" si="9"/>
        <v>0</v>
      </c>
      <c r="U57" s="185" t="str">
        <f t="shared" si="5"/>
        <v>SUBDIRECCION DE GESTION CONTRACTUAL</v>
      </c>
      <c r="V57" s="172" t="str">
        <f t="shared" si="10"/>
        <v>CO-DC</v>
      </c>
      <c r="W57" s="185" t="str">
        <f t="shared" si="11"/>
        <v>Distrito Capital de Bogotá</v>
      </c>
      <c r="X57" s="186" t="s">
        <v>177</v>
      </c>
      <c r="Y57" s="172">
        <v>2427400</v>
      </c>
      <c r="Z57" s="188" t="s">
        <v>178</v>
      </c>
    </row>
    <row r="58" spans="1:85" s="189" customFormat="1" ht="12.75" customHeight="1" x14ac:dyDescent="0.2">
      <c r="A58" s="171" t="s">
        <v>176</v>
      </c>
      <c r="B58" s="172">
        <v>8</v>
      </c>
      <c r="C58" s="173" t="s">
        <v>258</v>
      </c>
      <c r="D58" s="173" t="s">
        <v>179</v>
      </c>
      <c r="E58" s="174"/>
      <c r="F58" s="174">
        <v>200000000</v>
      </c>
      <c r="G58" s="174"/>
      <c r="H58" s="175" t="s">
        <v>802</v>
      </c>
      <c r="I58" s="176" t="s">
        <v>260</v>
      </c>
      <c r="J58" s="177">
        <v>4</v>
      </c>
      <c r="K58" s="178">
        <v>5</v>
      </c>
      <c r="L58" s="179">
        <v>6</v>
      </c>
      <c r="M58" s="172">
        <f t="shared" si="0"/>
        <v>1</v>
      </c>
      <c r="N58" s="180" t="s">
        <v>36</v>
      </c>
      <c r="O58" s="181" t="str">
        <f>IF(ISBLANK(N58),"",VLOOKUP(N58,[4]Parámetros!$G$2:$H$23,2,FALSE))</f>
        <v xml:space="preserve">Contratación directa (con ofertas) </v>
      </c>
      <c r="P58" s="182">
        <f t="shared" si="8"/>
        <v>1</v>
      </c>
      <c r="Q58" s="183">
        <f t="shared" si="2"/>
        <v>200000000</v>
      </c>
      <c r="R58" s="183">
        <f t="shared" si="3"/>
        <v>200000000</v>
      </c>
      <c r="S58" s="184" t="s">
        <v>223</v>
      </c>
      <c r="T58" s="180">
        <f t="shared" si="9"/>
        <v>0</v>
      </c>
      <c r="U58" s="185" t="str">
        <f t="shared" si="5"/>
        <v>SUBDIRECCION DE GESTION CONTRACTUAL</v>
      </c>
      <c r="V58" s="172" t="str">
        <f t="shared" si="10"/>
        <v>CO-DC</v>
      </c>
      <c r="W58" s="185" t="str">
        <f t="shared" si="11"/>
        <v>Distrito Capital de Bogotá</v>
      </c>
      <c r="X58" s="186" t="s">
        <v>177</v>
      </c>
      <c r="Y58" s="172">
        <v>2427400</v>
      </c>
      <c r="Z58" s="188" t="s">
        <v>178</v>
      </c>
    </row>
    <row r="59" spans="1:85" s="189" customFormat="1" ht="12.75" customHeight="1" x14ac:dyDescent="0.2">
      <c r="A59" s="171" t="s">
        <v>176</v>
      </c>
      <c r="B59" s="172">
        <v>9</v>
      </c>
      <c r="C59" s="173" t="s">
        <v>258</v>
      </c>
      <c r="D59" s="173" t="s">
        <v>179</v>
      </c>
      <c r="E59" s="174"/>
      <c r="F59" s="174">
        <v>800000000</v>
      </c>
      <c r="G59" s="174"/>
      <c r="H59" s="175" t="s">
        <v>802</v>
      </c>
      <c r="I59" s="176" t="s">
        <v>261</v>
      </c>
      <c r="J59" s="177">
        <v>4</v>
      </c>
      <c r="K59" s="178">
        <v>5</v>
      </c>
      <c r="L59" s="179">
        <v>6</v>
      </c>
      <c r="M59" s="172">
        <f t="shared" si="0"/>
        <v>1</v>
      </c>
      <c r="N59" s="180" t="s">
        <v>36</v>
      </c>
      <c r="O59" s="181" t="str">
        <f>IF(ISBLANK(N59),"",VLOOKUP(N59,[4]Parámetros!$G$2:$H$23,2,FALSE))</f>
        <v xml:space="preserve">Contratación directa (con ofertas) </v>
      </c>
      <c r="P59" s="182">
        <f t="shared" si="8"/>
        <v>1</v>
      </c>
      <c r="Q59" s="183">
        <f t="shared" si="2"/>
        <v>800000000</v>
      </c>
      <c r="R59" s="183">
        <f t="shared" si="3"/>
        <v>800000000</v>
      </c>
      <c r="S59" s="184" t="s">
        <v>223</v>
      </c>
      <c r="T59" s="180">
        <f t="shared" si="9"/>
        <v>0</v>
      </c>
      <c r="U59" s="185" t="str">
        <f t="shared" si="5"/>
        <v>SUBDIRECCION DE GESTION CONTRACTUAL</v>
      </c>
      <c r="V59" s="172" t="str">
        <f t="shared" si="10"/>
        <v>CO-DC</v>
      </c>
      <c r="W59" s="185" t="str">
        <f t="shared" si="11"/>
        <v>Distrito Capital de Bogotá</v>
      </c>
      <c r="X59" s="186" t="s">
        <v>177</v>
      </c>
      <c r="Y59" s="172">
        <v>2427400</v>
      </c>
      <c r="Z59" s="188" t="s">
        <v>178</v>
      </c>
    </row>
    <row r="60" spans="1:85" s="189" customFormat="1" ht="12.75" customHeight="1" x14ac:dyDescent="0.2">
      <c r="A60" s="171" t="s">
        <v>176</v>
      </c>
      <c r="B60" s="172">
        <v>10</v>
      </c>
      <c r="C60" s="173" t="s">
        <v>262</v>
      </c>
      <c r="D60" s="173" t="s">
        <v>179</v>
      </c>
      <c r="E60" s="174"/>
      <c r="F60" s="174">
        <v>2060000000</v>
      </c>
      <c r="G60" s="174"/>
      <c r="H60" s="175">
        <v>80111600</v>
      </c>
      <c r="I60" s="176" t="s">
        <v>255</v>
      </c>
      <c r="J60" s="177">
        <v>1</v>
      </c>
      <c r="K60" s="178">
        <v>1</v>
      </c>
      <c r="L60" s="179">
        <v>12</v>
      </c>
      <c r="M60" s="172">
        <f t="shared" si="0"/>
        <v>1</v>
      </c>
      <c r="N60" s="180" t="s">
        <v>216</v>
      </c>
      <c r="O60" s="181" t="str">
        <f>IF(ISBLANK(N60),"",VLOOKUP(N60,[4]Parámetros!$G$2:$H$23,2,FALSE))</f>
        <v>Contratación directa.</v>
      </c>
      <c r="P60" s="182">
        <f t="shared" si="8"/>
        <v>1</v>
      </c>
      <c r="Q60" s="183">
        <f t="shared" si="2"/>
        <v>2060000000</v>
      </c>
      <c r="R60" s="183">
        <f t="shared" si="3"/>
        <v>2060000000</v>
      </c>
      <c r="S60" s="184" t="s">
        <v>223</v>
      </c>
      <c r="T60" s="180">
        <f t="shared" si="9"/>
        <v>0</v>
      </c>
      <c r="U60" s="185" t="str">
        <f t="shared" si="5"/>
        <v>SUBDIRECCION DE GESTION CONTRACTUAL</v>
      </c>
      <c r="V60" s="172" t="str">
        <f t="shared" si="10"/>
        <v>CO-DC</v>
      </c>
      <c r="W60" s="185" t="str">
        <f t="shared" si="11"/>
        <v>Distrito Capital de Bogotá</v>
      </c>
      <c r="X60" s="186" t="s">
        <v>177</v>
      </c>
      <c r="Y60" s="172">
        <v>2427400</v>
      </c>
      <c r="Z60" s="188" t="s">
        <v>178</v>
      </c>
    </row>
    <row r="61" spans="1:85" s="189" customFormat="1" ht="12.75" customHeight="1" x14ac:dyDescent="0.2">
      <c r="A61" s="171" t="s">
        <v>176</v>
      </c>
      <c r="B61" s="172">
        <v>11</v>
      </c>
      <c r="C61" s="173" t="s">
        <v>262</v>
      </c>
      <c r="D61" s="173" t="s">
        <v>179</v>
      </c>
      <c r="E61" s="174"/>
      <c r="F61" s="174">
        <f>2719000000-500000000</f>
        <v>2219000000</v>
      </c>
      <c r="G61" s="174"/>
      <c r="H61" s="175" t="s">
        <v>801</v>
      </c>
      <c r="I61" s="176" t="s">
        <v>256</v>
      </c>
      <c r="J61" s="177">
        <v>2</v>
      </c>
      <c r="K61" s="178">
        <v>3</v>
      </c>
      <c r="L61" s="179">
        <v>9</v>
      </c>
      <c r="M61" s="172">
        <f t="shared" si="0"/>
        <v>1</v>
      </c>
      <c r="N61" s="180" t="s">
        <v>234</v>
      </c>
      <c r="O61" s="181" t="str">
        <f>IF(ISBLANK(N61),"",VLOOKUP(N61,[4]Parámetros!$G$2:$H$23,2,FALSE))</f>
        <v>Licitación pública</v>
      </c>
      <c r="P61" s="182">
        <f t="shared" si="8"/>
        <v>1</v>
      </c>
      <c r="Q61" s="183">
        <f t="shared" si="2"/>
        <v>2219000000</v>
      </c>
      <c r="R61" s="183">
        <f t="shared" si="3"/>
        <v>2219000000</v>
      </c>
      <c r="S61" s="184" t="s">
        <v>223</v>
      </c>
      <c r="T61" s="180">
        <f t="shared" si="9"/>
        <v>0</v>
      </c>
      <c r="U61" s="185" t="str">
        <f t="shared" si="5"/>
        <v>SUBDIRECCION DE GESTION CONTRACTUAL</v>
      </c>
      <c r="V61" s="172" t="str">
        <f t="shared" si="10"/>
        <v>CO-DC</v>
      </c>
      <c r="W61" s="185" t="str">
        <f t="shared" si="11"/>
        <v>Distrito Capital de Bogotá</v>
      </c>
      <c r="X61" s="186" t="s">
        <v>177</v>
      </c>
      <c r="Y61" s="172">
        <v>2427400</v>
      </c>
      <c r="Z61" s="188" t="s">
        <v>178</v>
      </c>
    </row>
    <row r="62" spans="1:85" s="189" customFormat="1" ht="12.75" customHeight="1" x14ac:dyDescent="0.2">
      <c r="A62" s="171" t="s">
        <v>176</v>
      </c>
      <c r="B62" s="172">
        <v>12</v>
      </c>
      <c r="C62" s="173" t="s">
        <v>262</v>
      </c>
      <c r="D62" s="173" t="s">
        <v>179</v>
      </c>
      <c r="E62" s="174"/>
      <c r="F62" s="174">
        <v>1500000000</v>
      </c>
      <c r="G62" s="174"/>
      <c r="H62" s="175" t="s">
        <v>802</v>
      </c>
      <c r="I62" s="176" t="s">
        <v>263</v>
      </c>
      <c r="J62" s="177">
        <v>4</v>
      </c>
      <c r="K62" s="178">
        <v>5</v>
      </c>
      <c r="L62" s="179">
        <v>6</v>
      </c>
      <c r="M62" s="172">
        <f t="shared" si="0"/>
        <v>1</v>
      </c>
      <c r="N62" s="180" t="s">
        <v>36</v>
      </c>
      <c r="O62" s="181" t="str">
        <f>IF(ISBLANK(N62),"",VLOOKUP(N62,[4]Parámetros!$G$2:$H$23,2,FALSE))</f>
        <v xml:space="preserve">Contratación directa (con ofertas) </v>
      </c>
      <c r="P62" s="182">
        <f t="shared" si="8"/>
        <v>1</v>
      </c>
      <c r="Q62" s="183">
        <f t="shared" si="2"/>
        <v>1500000000</v>
      </c>
      <c r="R62" s="183">
        <f t="shared" si="3"/>
        <v>1500000000</v>
      </c>
      <c r="S62" s="184" t="s">
        <v>223</v>
      </c>
      <c r="T62" s="180">
        <f t="shared" si="9"/>
        <v>0</v>
      </c>
      <c r="U62" s="185" t="str">
        <f t="shared" si="5"/>
        <v>SUBDIRECCION DE GESTION CONTRACTUAL</v>
      </c>
      <c r="V62" s="172" t="str">
        <f t="shared" si="10"/>
        <v>CO-DC</v>
      </c>
      <c r="W62" s="185" t="str">
        <f t="shared" si="11"/>
        <v>Distrito Capital de Bogotá</v>
      </c>
      <c r="X62" s="186" t="s">
        <v>177</v>
      </c>
      <c r="Y62" s="172">
        <v>2427400</v>
      </c>
      <c r="Z62" s="188" t="s">
        <v>178</v>
      </c>
    </row>
    <row r="63" spans="1:85" s="189" customFormat="1" ht="12.75" customHeight="1" x14ac:dyDescent="0.2">
      <c r="A63" s="171" t="s">
        <v>176</v>
      </c>
      <c r="B63" s="172">
        <v>13</v>
      </c>
      <c r="C63" s="173" t="s">
        <v>262</v>
      </c>
      <c r="D63" s="173" t="s">
        <v>179</v>
      </c>
      <c r="E63" s="174"/>
      <c r="F63" s="174">
        <v>1500000000</v>
      </c>
      <c r="G63" s="174"/>
      <c r="H63" s="175" t="s">
        <v>802</v>
      </c>
      <c r="I63" s="176" t="s">
        <v>264</v>
      </c>
      <c r="J63" s="177">
        <v>4</v>
      </c>
      <c r="K63" s="178">
        <v>5</v>
      </c>
      <c r="L63" s="179">
        <v>6</v>
      </c>
      <c r="M63" s="172">
        <f t="shared" si="0"/>
        <v>1</v>
      </c>
      <c r="N63" s="180" t="s">
        <v>36</v>
      </c>
      <c r="O63" s="181" t="str">
        <f>IF(ISBLANK(N63),"",VLOOKUP(N63,[4]Parámetros!$G$2:$H$23,2,FALSE))</f>
        <v xml:space="preserve">Contratación directa (con ofertas) </v>
      </c>
      <c r="P63" s="182">
        <f t="shared" si="8"/>
        <v>1</v>
      </c>
      <c r="Q63" s="183">
        <f t="shared" si="2"/>
        <v>1500000000</v>
      </c>
      <c r="R63" s="183">
        <f t="shared" si="3"/>
        <v>1500000000</v>
      </c>
      <c r="S63" s="184" t="s">
        <v>223</v>
      </c>
      <c r="T63" s="180">
        <f t="shared" si="9"/>
        <v>0</v>
      </c>
      <c r="U63" s="185" t="str">
        <f t="shared" si="5"/>
        <v>SUBDIRECCION DE GESTION CONTRACTUAL</v>
      </c>
      <c r="V63" s="172" t="str">
        <f t="shared" si="10"/>
        <v>CO-DC</v>
      </c>
      <c r="W63" s="185" t="str">
        <f t="shared" si="11"/>
        <v>Distrito Capital de Bogotá</v>
      </c>
      <c r="X63" s="186" t="s">
        <v>177</v>
      </c>
      <c r="Y63" s="172">
        <v>2427400</v>
      </c>
      <c r="Z63" s="188" t="s">
        <v>178</v>
      </c>
    </row>
    <row r="64" spans="1:85" s="189" customFormat="1" ht="12.75" customHeight="1" x14ac:dyDescent="0.2">
      <c r="A64" s="171" t="s">
        <v>176</v>
      </c>
      <c r="B64" s="172">
        <v>14</v>
      </c>
      <c r="C64" s="173" t="s">
        <v>262</v>
      </c>
      <c r="D64" s="173" t="s">
        <v>179</v>
      </c>
      <c r="E64" s="174"/>
      <c r="F64" s="174">
        <v>500000000</v>
      </c>
      <c r="G64" s="174"/>
      <c r="H64" s="175" t="s">
        <v>802</v>
      </c>
      <c r="I64" s="176" t="s">
        <v>265</v>
      </c>
      <c r="J64" s="177">
        <v>4</v>
      </c>
      <c r="K64" s="178">
        <v>5</v>
      </c>
      <c r="L64" s="179">
        <v>6</v>
      </c>
      <c r="M64" s="172">
        <f t="shared" si="0"/>
        <v>1</v>
      </c>
      <c r="N64" s="180" t="s">
        <v>36</v>
      </c>
      <c r="O64" s="181" t="str">
        <f>IF(ISBLANK(N64),"",VLOOKUP(N64,[4]Parámetros!$G$2:$H$23,2,FALSE))</f>
        <v xml:space="preserve">Contratación directa (con ofertas) </v>
      </c>
      <c r="P64" s="182">
        <f t="shared" si="8"/>
        <v>1</v>
      </c>
      <c r="Q64" s="183">
        <f t="shared" si="2"/>
        <v>500000000</v>
      </c>
      <c r="R64" s="183">
        <f t="shared" si="3"/>
        <v>500000000</v>
      </c>
      <c r="S64" s="184" t="s">
        <v>223</v>
      </c>
      <c r="T64" s="180">
        <f t="shared" si="9"/>
        <v>0</v>
      </c>
      <c r="U64" s="185" t="str">
        <f t="shared" si="5"/>
        <v>SUBDIRECCION DE GESTION CONTRACTUAL</v>
      </c>
      <c r="V64" s="172" t="str">
        <f t="shared" si="10"/>
        <v>CO-DC</v>
      </c>
      <c r="W64" s="185" t="str">
        <f t="shared" si="11"/>
        <v>Distrito Capital de Bogotá</v>
      </c>
      <c r="X64" s="186" t="s">
        <v>177</v>
      </c>
      <c r="Y64" s="172">
        <v>2427400</v>
      </c>
      <c r="Z64" s="188" t="s">
        <v>178</v>
      </c>
    </row>
    <row r="65" spans="1:26" s="189" customFormat="1" ht="12.75" customHeight="1" x14ac:dyDescent="0.2">
      <c r="A65" s="171" t="s">
        <v>176</v>
      </c>
      <c r="B65" s="172">
        <v>15</v>
      </c>
      <c r="C65" s="173" t="s">
        <v>262</v>
      </c>
      <c r="D65" s="173" t="s">
        <v>179</v>
      </c>
      <c r="E65" s="174"/>
      <c r="F65" s="174">
        <v>400000000</v>
      </c>
      <c r="G65" s="174"/>
      <c r="H65" s="175" t="s">
        <v>802</v>
      </c>
      <c r="I65" s="176" t="s">
        <v>266</v>
      </c>
      <c r="J65" s="177">
        <v>5</v>
      </c>
      <c r="K65" s="178">
        <v>6</v>
      </c>
      <c r="L65" s="179">
        <v>5</v>
      </c>
      <c r="M65" s="172">
        <f t="shared" si="0"/>
        <v>1</v>
      </c>
      <c r="N65" s="180" t="s">
        <v>36</v>
      </c>
      <c r="O65" s="181" t="str">
        <f>IF(ISBLANK(N65),"",VLOOKUP(N65,[4]Parámetros!$G$2:$H$23,2,FALSE))</f>
        <v xml:space="preserve">Contratación directa (con ofertas) </v>
      </c>
      <c r="P65" s="182">
        <f t="shared" si="8"/>
        <v>1</v>
      </c>
      <c r="Q65" s="183">
        <f t="shared" si="2"/>
        <v>400000000</v>
      </c>
      <c r="R65" s="183">
        <f t="shared" si="3"/>
        <v>400000000</v>
      </c>
      <c r="S65" s="184" t="s">
        <v>223</v>
      </c>
      <c r="T65" s="180">
        <f t="shared" si="9"/>
        <v>0</v>
      </c>
      <c r="U65" s="185" t="str">
        <f t="shared" si="5"/>
        <v>SUBDIRECCION DE GESTION CONTRACTUAL</v>
      </c>
      <c r="V65" s="172" t="str">
        <f t="shared" si="10"/>
        <v>CO-DC</v>
      </c>
      <c r="W65" s="185" t="str">
        <f t="shared" si="11"/>
        <v>Distrito Capital de Bogotá</v>
      </c>
      <c r="X65" s="186" t="s">
        <v>177</v>
      </c>
      <c r="Y65" s="172">
        <v>2427400</v>
      </c>
      <c r="Z65" s="188" t="s">
        <v>178</v>
      </c>
    </row>
    <row r="66" spans="1:26" s="189" customFormat="1" ht="12.75" customHeight="1" x14ac:dyDescent="0.2">
      <c r="A66" s="171" t="s">
        <v>176</v>
      </c>
      <c r="B66" s="172">
        <v>16</v>
      </c>
      <c r="C66" s="173" t="s">
        <v>254</v>
      </c>
      <c r="D66" s="173" t="s">
        <v>179</v>
      </c>
      <c r="E66" s="174"/>
      <c r="F66" s="174">
        <v>1600000000</v>
      </c>
      <c r="G66" s="174"/>
      <c r="H66" s="175">
        <v>80111600</v>
      </c>
      <c r="I66" s="176" t="s">
        <v>255</v>
      </c>
      <c r="J66" s="177">
        <v>1</v>
      </c>
      <c r="K66" s="178">
        <v>1</v>
      </c>
      <c r="L66" s="179">
        <v>12</v>
      </c>
      <c r="M66" s="172">
        <f t="shared" si="0"/>
        <v>1</v>
      </c>
      <c r="N66" s="180" t="s">
        <v>216</v>
      </c>
      <c r="O66" s="181" t="str">
        <f>IF(ISBLANK(N66),"",VLOOKUP(N66,[4]Parámetros!$G$2:$H$23,2,FALSE))</f>
        <v>Contratación directa.</v>
      </c>
      <c r="P66" s="182">
        <f t="shared" si="8"/>
        <v>1</v>
      </c>
      <c r="Q66" s="183">
        <f t="shared" si="2"/>
        <v>1600000000</v>
      </c>
      <c r="R66" s="183">
        <f t="shared" si="3"/>
        <v>1600000000</v>
      </c>
      <c r="S66" s="184" t="s">
        <v>223</v>
      </c>
      <c r="T66" s="180">
        <f t="shared" si="9"/>
        <v>0</v>
      </c>
      <c r="U66" s="185" t="str">
        <f t="shared" si="5"/>
        <v>SUBDIRECCION DE GESTION CONTRACTUAL</v>
      </c>
      <c r="V66" s="172" t="str">
        <f t="shared" si="10"/>
        <v>CO-DC</v>
      </c>
      <c r="W66" s="185" t="str">
        <f t="shared" si="11"/>
        <v>Distrito Capital de Bogotá</v>
      </c>
      <c r="X66" s="186" t="s">
        <v>177</v>
      </c>
      <c r="Y66" s="172">
        <v>2427400</v>
      </c>
      <c r="Z66" s="188" t="s">
        <v>178</v>
      </c>
    </row>
    <row r="67" spans="1:26" s="189" customFormat="1" ht="12.75" customHeight="1" x14ac:dyDescent="0.2">
      <c r="A67" s="171" t="s">
        <v>176</v>
      </c>
      <c r="B67" s="172">
        <v>17</v>
      </c>
      <c r="C67" s="173" t="s">
        <v>254</v>
      </c>
      <c r="D67" s="173" t="s">
        <v>179</v>
      </c>
      <c r="E67" s="174"/>
      <c r="F67" s="174">
        <v>1100000000</v>
      </c>
      <c r="G67" s="174"/>
      <c r="H67" s="175" t="s">
        <v>801</v>
      </c>
      <c r="I67" s="176" t="s">
        <v>256</v>
      </c>
      <c r="J67" s="177">
        <v>2</v>
      </c>
      <c r="K67" s="178">
        <v>3</v>
      </c>
      <c r="L67" s="179">
        <v>9</v>
      </c>
      <c r="M67" s="172">
        <f t="shared" si="0"/>
        <v>1</v>
      </c>
      <c r="N67" s="180" t="s">
        <v>234</v>
      </c>
      <c r="O67" s="181" t="str">
        <f>IF(ISBLANK(N67),"",VLOOKUP(N67,[4]Parámetros!$G$2:$H$23,2,FALSE))</f>
        <v>Licitación pública</v>
      </c>
      <c r="P67" s="182">
        <f t="shared" si="8"/>
        <v>1</v>
      </c>
      <c r="Q67" s="183">
        <f t="shared" si="2"/>
        <v>1100000000</v>
      </c>
      <c r="R67" s="183">
        <f t="shared" si="3"/>
        <v>1100000000</v>
      </c>
      <c r="S67" s="184" t="s">
        <v>223</v>
      </c>
      <c r="T67" s="180">
        <f t="shared" si="9"/>
        <v>0</v>
      </c>
      <c r="U67" s="185" t="str">
        <f t="shared" si="5"/>
        <v>SUBDIRECCION DE GESTION CONTRACTUAL</v>
      </c>
      <c r="V67" s="172" t="str">
        <f t="shared" si="10"/>
        <v>CO-DC</v>
      </c>
      <c r="W67" s="185" t="str">
        <f t="shared" si="11"/>
        <v>Distrito Capital de Bogotá</v>
      </c>
      <c r="X67" s="186" t="s">
        <v>177</v>
      </c>
      <c r="Y67" s="172">
        <v>2427400</v>
      </c>
      <c r="Z67" s="188" t="s">
        <v>178</v>
      </c>
    </row>
    <row r="68" spans="1:26" s="189" customFormat="1" ht="12.75" customHeight="1" x14ac:dyDescent="0.2">
      <c r="A68" s="171" t="s">
        <v>176</v>
      </c>
      <c r="B68" s="172">
        <v>18</v>
      </c>
      <c r="C68" s="173" t="s">
        <v>254</v>
      </c>
      <c r="D68" s="173" t="s">
        <v>179</v>
      </c>
      <c r="E68" s="174"/>
      <c r="F68" s="174">
        <v>900000000</v>
      </c>
      <c r="G68" s="174"/>
      <c r="H68" s="175" t="s">
        <v>802</v>
      </c>
      <c r="I68" s="176" t="s">
        <v>263</v>
      </c>
      <c r="J68" s="177">
        <v>4</v>
      </c>
      <c r="K68" s="178">
        <v>5</v>
      </c>
      <c r="L68" s="179">
        <v>6</v>
      </c>
      <c r="M68" s="172">
        <f t="shared" si="0"/>
        <v>1</v>
      </c>
      <c r="N68" s="180" t="s">
        <v>36</v>
      </c>
      <c r="O68" s="181" t="str">
        <f>IF(ISBLANK(N68),"",VLOOKUP(N68,[4]Parámetros!$G$2:$H$23,2,FALSE))</f>
        <v xml:space="preserve">Contratación directa (con ofertas) </v>
      </c>
      <c r="P68" s="182">
        <f t="shared" si="8"/>
        <v>1</v>
      </c>
      <c r="Q68" s="183">
        <f t="shared" si="2"/>
        <v>900000000</v>
      </c>
      <c r="R68" s="183">
        <f t="shared" si="3"/>
        <v>900000000</v>
      </c>
      <c r="S68" s="184" t="s">
        <v>223</v>
      </c>
      <c r="T68" s="180">
        <f t="shared" si="9"/>
        <v>0</v>
      </c>
      <c r="U68" s="185" t="str">
        <f t="shared" si="5"/>
        <v>SUBDIRECCION DE GESTION CONTRACTUAL</v>
      </c>
      <c r="V68" s="172" t="str">
        <f t="shared" si="10"/>
        <v>CO-DC</v>
      </c>
      <c r="W68" s="185" t="str">
        <f t="shared" si="11"/>
        <v>Distrito Capital de Bogotá</v>
      </c>
      <c r="X68" s="186" t="s">
        <v>177</v>
      </c>
      <c r="Y68" s="172">
        <v>2427400</v>
      </c>
      <c r="Z68" s="188" t="s">
        <v>178</v>
      </c>
    </row>
    <row r="69" spans="1:26" s="189" customFormat="1" ht="12.75" customHeight="1" x14ac:dyDescent="0.2">
      <c r="A69" s="171" t="s">
        <v>176</v>
      </c>
      <c r="B69" s="172">
        <v>19</v>
      </c>
      <c r="C69" s="173" t="s">
        <v>254</v>
      </c>
      <c r="D69" s="173" t="s">
        <v>179</v>
      </c>
      <c r="E69" s="174"/>
      <c r="F69" s="174">
        <v>1700000000</v>
      </c>
      <c r="G69" s="174"/>
      <c r="H69" s="175" t="s">
        <v>802</v>
      </c>
      <c r="I69" s="176" t="s">
        <v>264</v>
      </c>
      <c r="J69" s="177">
        <v>4</v>
      </c>
      <c r="K69" s="178">
        <v>5</v>
      </c>
      <c r="L69" s="179">
        <v>6</v>
      </c>
      <c r="M69" s="172">
        <f t="shared" si="0"/>
        <v>1</v>
      </c>
      <c r="N69" s="180" t="s">
        <v>36</v>
      </c>
      <c r="O69" s="181" t="str">
        <f>IF(ISBLANK(N69),"",VLOOKUP(N69,[4]Parámetros!$G$2:$H$23,2,FALSE))</f>
        <v xml:space="preserve">Contratación directa (con ofertas) </v>
      </c>
      <c r="P69" s="182">
        <f t="shared" si="8"/>
        <v>1</v>
      </c>
      <c r="Q69" s="183">
        <f t="shared" si="2"/>
        <v>1700000000</v>
      </c>
      <c r="R69" s="183">
        <f t="shared" si="3"/>
        <v>1700000000</v>
      </c>
      <c r="S69" s="184" t="s">
        <v>223</v>
      </c>
      <c r="T69" s="180">
        <f t="shared" si="9"/>
        <v>0</v>
      </c>
      <c r="U69" s="185" t="str">
        <f t="shared" si="5"/>
        <v>SUBDIRECCION DE GESTION CONTRACTUAL</v>
      </c>
      <c r="V69" s="172" t="str">
        <f t="shared" si="10"/>
        <v>CO-DC</v>
      </c>
      <c r="W69" s="185" t="str">
        <f t="shared" si="11"/>
        <v>Distrito Capital de Bogotá</v>
      </c>
      <c r="X69" s="186" t="s">
        <v>177</v>
      </c>
      <c r="Y69" s="172">
        <v>2427400</v>
      </c>
      <c r="Z69" s="188" t="s">
        <v>178</v>
      </c>
    </row>
    <row r="70" spans="1:26" s="189" customFormat="1" ht="12.75" customHeight="1" x14ac:dyDescent="0.2">
      <c r="A70" s="171" t="s">
        <v>176</v>
      </c>
      <c r="B70" s="172">
        <v>20</v>
      </c>
      <c r="C70" s="173" t="s">
        <v>254</v>
      </c>
      <c r="D70" s="173" t="s">
        <v>179</v>
      </c>
      <c r="E70" s="174"/>
      <c r="F70" s="174">
        <v>180000000</v>
      </c>
      <c r="G70" s="174"/>
      <c r="H70" s="175" t="s">
        <v>802</v>
      </c>
      <c r="I70" s="176" t="s">
        <v>266</v>
      </c>
      <c r="J70" s="177">
        <v>5</v>
      </c>
      <c r="K70" s="178">
        <v>6</v>
      </c>
      <c r="L70" s="179">
        <v>5</v>
      </c>
      <c r="M70" s="172">
        <f t="shared" si="0"/>
        <v>1</v>
      </c>
      <c r="N70" s="180" t="s">
        <v>36</v>
      </c>
      <c r="O70" s="181" t="str">
        <f>IF(ISBLANK(N70),"",VLOOKUP(N70,[4]Parámetros!$G$2:$H$23,2,FALSE))</f>
        <v xml:space="preserve">Contratación directa (con ofertas) </v>
      </c>
      <c r="P70" s="182">
        <f t="shared" si="8"/>
        <v>1</v>
      </c>
      <c r="Q70" s="183">
        <f t="shared" si="2"/>
        <v>180000000</v>
      </c>
      <c r="R70" s="183">
        <f t="shared" si="3"/>
        <v>180000000</v>
      </c>
      <c r="S70" s="184" t="s">
        <v>223</v>
      </c>
      <c r="T70" s="180">
        <f t="shared" si="9"/>
        <v>0</v>
      </c>
      <c r="U70" s="185" t="str">
        <f t="shared" si="5"/>
        <v>SUBDIRECCION DE GESTION CONTRACTUAL</v>
      </c>
      <c r="V70" s="172" t="str">
        <f t="shared" si="10"/>
        <v>CO-DC</v>
      </c>
      <c r="W70" s="185" t="str">
        <f t="shared" si="11"/>
        <v>Distrito Capital de Bogotá</v>
      </c>
      <c r="X70" s="186" t="s">
        <v>177</v>
      </c>
      <c r="Y70" s="172">
        <v>2427400</v>
      </c>
      <c r="Z70" s="188" t="s">
        <v>178</v>
      </c>
    </row>
    <row r="71" spans="1:26" s="189" customFormat="1" ht="12.75" customHeight="1" x14ac:dyDescent="0.2">
      <c r="A71" s="171" t="s">
        <v>176</v>
      </c>
      <c r="B71" s="172">
        <v>21</v>
      </c>
      <c r="C71" s="173" t="s">
        <v>254</v>
      </c>
      <c r="D71" s="173" t="s">
        <v>179</v>
      </c>
      <c r="E71" s="174"/>
      <c r="F71" s="174">
        <v>250000000</v>
      </c>
      <c r="G71" s="174"/>
      <c r="H71" s="175" t="s">
        <v>802</v>
      </c>
      <c r="I71" s="176" t="s">
        <v>267</v>
      </c>
      <c r="J71" s="177">
        <v>4</v>
      </c>
      <c r="K71" s="178">
        <v>5</v>
      </c>
      <c r="L71" s="179">
        <v>6</v>
      </c>
      <c r="M71" s="172">
        <f t="shared" si="0"/>
        <v>1</v>
      </c>
      <c r="N71" s="180" t="s">
        <v>36</v>
      </c>
      <c r="O71" s="181" t="str">
        <f>IF(ISBLANK(N71),"",VLOOKUP(N71,[4]Parámetros!$G$2:$H$23,2,FALSE))</f>
        <v xml:space="preserve">Contratación directa (con ofertas) </v>
      </c>
      <c r="P71" s="182">
        <f t="shared" si="8"/>
        <v>1</v>
      </c>
      <c r="Q71" s="183">
        <f t="shared" si="2"/>
        <v>250000000</v>
      </c>
      <c r="R71" s="183">
        <f t="shared" si="3"/>
        <v>250000000</v>
      </c>
      <c r="S71" s="184" t="s">
        <v>223</v>
      </c>
      <c r="T71" s="180">
        <f t="shared" si="9"/>
        <v>0</v>
      </c>
      <c r="U71" s="185" t="str">
        <f t="shared" si="5"/>
        <v>SUBDIRECCION DE GESTION CONTRACTUAL</v>
      </c>
      <c r="V71" s="172" t="str">
        <f t="shared" si="10"/>
        <v>CO-DC</v>
      </c>
      <c r="W71" s="185" t="str">
        <f t="shared" si="11"/>
        <v>Distrito Capital de Bogotá</v>
      </c>
      <c r="X71" s="186" t="s">
        <v>177</v>
      </c>
      <c r="Y71" s="172">
        <v>2427400</v>
      </c>
      <c r="Z71" s="188" t="s">
        <v>178</v>
      </c>
    </row>
    <row r="72" spans="1:26" s="189" customFormat="1" ht="12.75" customHeight="1" x14ac:dyDescent="0.2">
      <c r="A72" s="171" t="s">
        <v>176</v>
      </c>
      <c r="B72" s="172">
        <v>22</v>
      </c>
      <c r="C72" s="173" t="s">
        <v>268</v>
      </c>
      <c r="D72" s="173" t="s">
        <v>860</v>
      </c>
      <c r="E72" s="174"/>
      <c r="F72" s="174">
        <v>400000000</v>
      </c>
      <c r="G72" s="174"/>
      <c r="H72" s="175" t="s">
        <v>802</v>
      </c>
      <c r="I72" s="176" t="s">
        <v>267</v>
      </c>
      <c r="J72" s="177">
        <v>4</v>
      </c>
      <c r="K72" s="178">
        <v>5</v>
      </c>
      <c r="L72" s="179">
        <v>6</v>
      </c>
      <c r="M72" s="172">
        <f t="shared" si="0"/>
        <v>1</v>
      </c>
      <c r="N72" s="180" t="s">
        <v>36</v>
      </c>
      <c r="O72" s="181" t="str">
        <f>IF(ISBLANK(N72),"",VLOOKUP(N72,[4]Parámetros!$G$2:$H$23,2,FALSE))</f>
        <v xml:space="preserve">Contratación directa (con ofertas) </v>
      </c>
      <c r="P72" s="182">
        <f t="shared" si="8"/>
        <v>1</v>
      </c>
      <c r="Q72" s="183">
        <f t="shared" si="2"/>
        <v>400000000</v>
      </c>
      <c r="R72" s="183">
        <f t="shared" si="3"/>
        <v>400000000</v>
      </c>
      <c r="S72" s="184" t="s">
        <v>223</v>
      </c>
      <c r="T72" s="180">
        <f t="shared" si="9"/>
        <v>0</v>
      </c>
      <c r="U72" s="185" t="str">
        <f t="shared" si="5"/>
        <v>SUBDIRECCION DE GESTION CONTRACTUAL</v>
      </c>
      <c r="V72" s="172" t="str">
        <f t="shared" si="10"/>
        <v>CO-DC</v>
      </c>
      <c r="W72" s="185" t="str">
        <f t="shared" si="11"/>
        <v>Distrito Capital de Bogotá</v>
      </c>
      <c r="X72" s="186" t="s">
        <v>177</v>
      </c>
      <c r="Y72" s="172">
        <v>2427400</v>
      </c>
      <c r="Z72" s="188" t="s">
        <v>178</v>
      </c>
    </row>
    <row r="73" spans="1:26" s="189" customFormat="1" ht="12.75" customHeight="1" x14ac:dyDescent="0.2">
      <c r="A73" s="171" t="s">
        <v>176</v>
      </c>
      <c r="B73" s="172">
        <v>23</v>
      </c>
      <c r="C73" s="173" t="s">
        <v>254</v>
      </c>
      <c r="D73" s="173" t="s">
        <v>860</v>
      </c>
      <c r="E73" s="174"/>
      <c r="F73" s="174">
        <v>500000000</v>
      </c>
      <c r="G73" s="174"/>
      <c r="H73" s="175" t="s">
        <v>802</v>
      </c>
      <c r="I73" s="176" t="s">
        <v>263</v>
      </c>
      <c r="J73" s="177">
        <v>4</v>
      </c>
      <c r="K73" s="178">
        <v>5</v>
      </c>
      <c r="L73" s="179">
        <v>6</v>
      </c>
      <c r="M73" s="172">
        <f t="shared" si="0"/>
        <v>1</v>
      </c>
      <c r="N73" s="180" t="s">
        <v>36</v>
      </c>
      <c r="O73" s="181" t="str">
        <f>IF(ISBLANK(N73),"",VLOOKUP(N73,[4]Parámetros!$G$2:$H$23,2,FALSE))</f>
        <v xml:space="preserve">Contratación directa (con ofertas) </v>
      </c>
      <c r="P73" s="182">
        <f t="shared" si="8"/>
        <v>1</v>
      </c>
      <c r="Q73" s="183">
        <f t="shared" si="2"/>
        <v>500000000</v>
      </c>
      <c r="R73" s="183">
        <f t="shared" si="3"/>
        <v>500000000</v>
      </c>
      <c r="S73" s="184" t="s">
        <v>223</v>
      </c>
      <c r="T73" s="180">
        <f t="shared" si="9"/>
        <v>0</v>
      </c>
      <c r="U73" s="185" t="str">
        <f t="shared" si="5"/>
        <v>SUBDIRECCION DE GESTION CONTRACTUAL</v>
      </c>
      <c r="V73" s="172" t="str">
        <f t="shared" si="10"/>
        <v>CO-DC</v>
      </c>
      <c r="W73" s="185" t="str">
        <f t="shared" si="11"/>
        <v>Distrito Capital de Bogotá</v>
      </c>
      <c r="X73" s="186" t="s">
        <v>177</v>
      </c>
      <c r="Y73" s="172">
        <v>2427400</v>
      </c>
      <c r="Z73" s="188" t="s">
        <v>178</v>
      </c>
    </row>
    <row r="74" spans="1:26" s="189" customFormat="1" ht="12.75" customHeight="1" x14ac:dyDescent="0.2">
      <c r="A74" s="171" t="s">
        <v>176</v>
      </c>
      <c r="B74" s="172">
        <v>24</v>
      </c>
      <c r="C74" s="173" t="s">
        <v>268</v>
      </c>
      <c r="D74" s="173" t="s">
        <v>860</v>
      </c>
      <c r="E74" s="174"/>
      <c r="F74" s="174">
        <v>21615000000</v>
      </c>
      <c r="G74" s="174"/>
      <c r="H74" s="175" t="s">
        <v>802</v>
      </c>
      <c r="I74" s="176" t="s">
        <v>269</v>
      </c>
      <c r="J74" s="177">
        <v>2</v>
      </c>
      <c r="K74" s="178">
        <v>3</v>
      </c>
      <c r="L74" s="179">
        <v>9</v>
      </c>
      <c r="M74" s="172">
        <f t="shared" si="0"/>
        <v>1</v>
      </c>
      <c r="N74" s="180" t="s">
        <v>36</v>
      </c>
      <c r="O74" s="181" t="str">
        <f>IF(ISBLANK(N74),"",VLOOKUP(N74,[4]Parámetros!$G$2:$H$23,2,FALSE))</f>
        <v xml:space="preserve">Contratación directa (con ofertas) </v>
      </c>
      <c r="P74" s="182">
        <f t="shared" si="8"/>
        <v>1</v>
      </c>
      <c r="Q74" s="183">
        <f t="shared" si="2"/>
        <v>21615000000</v>
      </c>
      <c r="R74" s="183">
        <f t="shared" si="3"/>
        <v>21615000000</v>
      </c>
      <c r="S74" s="184" t="s">
        <v>223</v>
      </c>
      <c r="T74" s="180">
        <f t="shared" si="9"/>
        <v>0</v>
      </c>
      <c r="U74" s="185" t="str">
        <f t="shared" si="5"/>
        <v>SUBDIRECCION DE GESTION CONTRACTUAL</v>
      </c>
      <c r="V74" s="172" t="str">
        <f t="shared" si="10"/>
        <v>CO-DC</v>
      </c>
      <c r="W74" s="185" t="str">
        <f t="shared" si="11"/>
        <v>Distrito Capital de Bogotá</v>
      </c>
      <c r="X74" s="186" t="s">
        <v>177</v>
      </c>
      <c r="Y74" s="172">
        <v>2427400</v>
      </c>
      <c r="Z74" s="188" t="s">
        <v>178</v>
      </c>
    </row>
    <row r="75" spans="1:26" s="189" customFormat="1" ht="12.75" customHeight="1" x14ac:dyDescent="0.2">
      <c r="A75" s="171" t="s">
        <v>176</v>
      </c>
      <c r="B75" s="172">
        <v>25</v>
      </c>
      <c r="C75" s="173" t="s">
        <v>268</v>
      </c>
      <c r="D75" s="173" t="s">
        <v>860</v>
      </c>
      <c r="E75" s="174"/>
      <c r="F75" s="174">
        <v>3615000000</v>
      </c>
      <c r="G75" s="174"/>
      <c r="H75" s="175">
        <v>80111608</v>
      </c>
      <c r="I75" s="176" t="s">
        <v>270</v>
      </c>
      <c r="J75" s="177">
        <v>4</v>
      </c>
      <c r="K75" s="178">
        <v>5</v>
      </c>
      <c r="L75" s="179">
        <v>6</v>
      </c>
      <c r="M75" s="172">
        <f t="shared" si="0"/>
        <v>1</v>
      </c>
      <c r="N75" s="180" t="s">
        <v>36</v>
      </c>
      <c r="O75" s="181" t="str">
        <f>IF(ISBLANK(N75),"",VLOOKUP(N75,[4]Parámetros!$G$2:$H$23,2,FALSE))</f>
        <v xml:space="preserve">Contratación directa (con ofertas) </v>
      </c>
      <c r="P75" s="182">
        <f t="shared" si="8"/>
        <v>1</v>
      </c>
      <c r="Q75" s="183">
        <f t="shared" si="2"/>
        <v>3615000000</v>
      </c>
      <c r="R75" s="183">
        <f t="shared" si="3"/>
        <v>3615000000</v>
      </c>
      <c r="S75" s="184" t="s">
        <v>223</v>
      </c>
      <c r="T75" s="180">
        <f t="shared" si="9"/>
        <v>0</v>
      </c>
      <c r="U75" s="185" t="str">
        <f t="shared" si="5"/>
        <v>SUBDIRECCION DE GESTION CONTRACTUAL</v>
      </c>
      <c r="V75" s="172" t="str">
        <f t="shared" si="10"/>
        <v>CO-DC</v>
      </c>
      <c r="W75" s="185" t="str">
        <f t="shared" si="11"/>
        <v>Distrito Capital de Bogotá</v>
      </c>
      <c r="X75" s="186" t="s">
        <v>177</v>
      </c>
      <c r="Y75" s="172">
        <v>2427400</v>
      </c>
      <c r="Z75" s="188" t="s">
        <v>178</v>
      </c>
    </row>
    <row r="76" spans="1:26" s="189" customFormat="1" ht="12.75" customHeight="1" x14ac:dyDescent="0.2">
      <c r="A76" s="171" t="s">
        <v>176</v>
      </c>
      <c r="B76" s="172">
        <v>26</v>
      </c>
      <c r="C76" s="173" t="s">
        <v>268</v>
      </c>
      <c r="D76" s="173" t="s">
        <v>860</v>
      </c>
      <c r="E76" s="174"/>
      <c r="F76" s="174">
        <v>200000000</v>
      </c>
      <c r="G76" s="174"/>
      <c r="H76" s="175" t="s">
        <v>802</v>
      </c>
      <c r="I76" s="176" t="s">
        <v>271</v>
      </c>
      <c r="J76" s="177">
        <v>4</v>
      </c>
      <c r="K76" s="178">
        <v>5</v>
      </c>
      <c r="L76" s="179">
        <v>6</v>
      </c>
      <c r="M76" s="172">
        <f t="shared" ref="M76:M139" si="14">IF(ISBLANK(J76),"",1)</f>
        <v>1</v>
      </c>
      <c r="N76" s="180" t="s">
        <v>36</v>
      </c>
      <c r="O76" s="181" t="str">
        <f>IF(ISBLANK(N76),"",VLOOKUP(N76,[4]Parámetros!$G$2:$H$23,2,FALSE))</f>
        <v xml:space="preserve">Contratación directa (con ofertas) </v>
      </c>
      <c r="P76" s="182">
        <f t="shared" ref="P76:P94" si="15">IF(ISBLANK(N76),"",1)</f>
        <v>1</v>
      </c>
      <c r="Q76" s="183">
        <f t="shared" ref="Q76:Q139" si="16">+E76+F76+G76</f>
        <v>200000000</v>
      </c>
      <c r="R76" s="183">
        <f t="shared" ref="R76:R139" si="17">+F76</f>
        <v>200000000</v>
      </c>
      <c r="S76" s="184" t="s">
        <v>223</v>
      </c>
      <c r="T76" s="180">
        <f t="shared" ref="T76:T94" si="18">IF(ISBLANK(S76),"",IF(VALUE(S76)=0,0,IF(VALUE(S76)=1,3,"")))</f>
        <v>0</v>
      </c>
      <c r="U76" s="185" t="str">
        <f t="shared" ref="U76:U139" si="19">IF(ISBLANK(N76),"","SUBDIRECCION DE GESTION CONTRACTUAL")</f>
        <v>SUBDIRECCION DE GESTION CONTRACTUAL</v>
      </c>
      <c r="V76" s="172" t="str">
        <f t="shared" ref="V76:V94" si="20">IF(ISBLANK(N76),"","CO-DC")</f>
        <v>CO-DC</v>
      </c>
      <c r="W76" s="185" t="str">
        <f t="shared" ref="W76:W94" si="21">IF(ISBLANK(N76),"","Distrito Capital de Bogotá")</f>
        <v>Distrito Capital de Bogotá</v>
      </c>
      <c r="X76" s="186" t="s">
        <v>177</v>
      </c>
      <c r="Y76" s="172">
        <v>2427400</v>
      </c>
      <c r="Z76" s="188" t="s">
        <v>178</v>
      </c>
    </row>
    <row r="77" spans="1:26" s="189" customFormat="1" ht="12.75" customHeight="1" x14ac:dyDescent="0.2">
      <c r="A77" s="171" t="s">
        <v>176</v>
      </c>
      <c r="B77" s="172">
        <v>27</v>
      </c>
      <c r="C77" s="173" t="s">
        <v>258</v>
      </c>
      <c r="D77" s="173" t="s">
        <v>860</v>
      </c>
      <c r="E77" s="174"/>
      <c r="F77" s="174">
        <v>300000000</v>
      </c>
      <c r="G77" s="174"/>
      <c r="H77" s="175" t="s">
        <v>802</v>
      </c>
      <c r="I77" s="176" t="s">
        <v>261</v>
      </c>
      <c r="J77" s="177">
        <v>4</v>
      </c>
      <c r="K77" s="178">
        <v>5</v>
      </c>
      <c r="L77" s="179">
        <v>6</v>
      </c>
      <c r="M77" s="172">
        <f t="shared" si="14"/>
        <v>1</v>
      </c>
      <c r="N77" s="180" t="s">
        <v>36</v>
      </c>
      <c r="O77" s="181" t="str">
        <f>IF(ISBLANK(N77),"",VLOOKUP(N77,[4]Parámetros!$G$2:$H$23,2,FALSE))</f>
        <v xml:space="preserve">Contratación directa (con ofertas) </v>
      </c>
      <c r="P77" s="182">
        <f t="shared" si="15"/>
        <v>1</v>
      </c>
      <c r="Q77" s="183">
        <f t="shared" si="16"/>
        <v>300000000</v>
      </c>
      <c r="R77" s="183">
        <f t="shared" si="17"/>
        <v>300000000</v>
      </c>
      <c r="S77" s="184" t="s">
        <v>223</v>
      </c>
      <c r="T77" s="180">
        <f t="shared" si="18"/>
        <v>0</v>
      </c>
      <c r="U77" s="185" t="str">
        <f t="shared" si="19"/>
        <v>SUBDIRECCION DE GESTION CONTRACTUAL</v>
      </c>
      <c r="V77" s="172" t="str">
        <f t="shared" si="20"/>
        <v>CO-DC</v>
      </c>
      <c r="W77" s="185" t="str">
        <f t="shared" si="21"/>
        <v>Distrito Capital de Bogotá</v>
      </c>
      <c r="X77" s="186" t="s">
        <v>177</v>
      </c>
      <c r="Y77" s="172">
        <v>2427400</v>
      </c>
      <c r="Z77" s="188" t="s">
        <v>178</v>
      </c>
    </row>
    <row r="78" spans="1:26" s="189" customFormat="1" ht="12.75" customHeight="1" x14ac:dyDescent="0.2">
      <c r="A78" s="171" t="s">
        <v>176</v>
      </c>
      <c r="B78" s="172">
        <v>28</v>
      </c>
      <c r="C78" s="173" t="s">
        <v>268</v>
      </c>
      <c r="D78" s="173" t="s">
        <v>860</v>
      </c>
      <c r="E78" s="174"/>
      <c r="F78" s="174">
        <v>2000000000</v>
      </c>
      <c r="G78" s="174"/>
      <c r="H78" s="175" t="s">
        <v>802</v>
      </c>
      <c r="I78" s="176" t="s">
        <v>264</v>
      </c>
      <c r="J78" s="177">
        <v>4</v>
      </c>
      <c r="K78" s="178">
        <v>5</v>
      </c>
      <c r="L78" s="179">
        <v>6</v>
      </c>
      <c r="M78" s="172">
        <f t="shared" si="14"/>
        <v>1</v>
      </c>
      <c r="N78" s="180" t="s">
        <v>36</v>
      </c>
      <c r="O78" s="181" t="str">
        <f>IF(ISBLANK(N78),"",VLOOKUP(N78,[4]Parámetros!$G$2:$H$23,2,FALSE))</f>
        <v xml:space="preserve">Contratación directa (con ofertas) </v>
      </c>
      <c r="P78" s="182">
        <f t="shared" si="15"/>
        <v>1</v>
      </c>
      <c r="Q78" s="183">
        <f t="shared" si="16"/>
        <v>2000000000</v>
      </c>
      <c r="R78" s="183">
        <f t="shared" si="17"/>
        <v>2000000000</v>
      </c>
      <c r="S78" s="184" t="s">
        <v>223</v>
      </c>
      <c r="T78" s="180">
        <f t="shared" si="18"/>
        <v>0</v>
      </c>
      <c r="U78" s="185" t="str">
        <f t="shared" si="19"/>
        <v>SUBDIRECCION DE GESTION CONTRACTUAL</v>
      </c>
      <c r="V78" s="172" t="str">
        <f t="shared" si="20"/>
        <v>CO-DC</v>
      </c>
      <c r="W78" s="185" t="str">
        <f t="shared" si="21"/>
        <v>Distrito Capital de Bogotá</v>
      </c>
      <c r="X78" s="186" t="s">
        <v>177</v>
      </c>
      <c r="Y78" s="172">
        <v>2427400</v>
      </c>
      <c r="Z78" s="188" t="s">
        <v>178</v>
      </c>
    </row>
    <row r="79" spans="1:26" s="189" customFormat="1" ht="12.75" customHeight="1" x14ac:dyDescent="0.2">
      <c r="A79" s="171" t="s">
        <v>176</v>
      </c>
      <c r="B79" s="172">
        <v>29</v>
      </c>
      <c r="C79" s="173" t="s">
        <v>268</v>
      </c>
      <c r="D79" s="173" t="s">
        <v>860</v>
      </c>
      <c r="E79" s="174"/>
      <c r="F79" s="174">
        <v>3050000000</v>
      </c>
      <c r="G79" s="174"/>
      <c r="H79" s="175" t="s">
        <v>801</v>
      </c>
      <c r="I79" s="176" t="s">
        <v>256</v>
      </c>
      <c r="J79" s="177">
        <v>2</v>
      </c>
      <c r="K79" s="178">
        <v>3</v>
      </c>
      <c r="L79" s="179">
        <v>9</v>
      </c>
      <c r="M79" s="172">
        <f t="shared" si="14"/>
        <v>1</v>
      </c>
      <c r="N79" s="180" t="s">
        <v>234</v>
      </c>
      <c r="O79" s="181" t="str">
        <f>IF(ISBLANK(N79),"",VLOOKUP(N79,[4]Parámetros!$G$2:$H$23,2,FALSE))</f>
        <v>Licitación pública</v>
      </c>
      <c r="P79" s="182">
        <f t="shared" si="15"/>
        <v>1</v>
      </c>
      <c r="Q79" s="183">
        <f t="shared" si="16"/>
        <v>3050000000</v>
      </c>
      <c r="R79" s="183">
        <f t="shared" si="17"/>
        <v>3050000000</v>
      </c>
      <c r="S79" s="184" t="s">
        <v>223</v>
      </c>
      <c r="T79" s="180">
        <f t="shared" si="18"/>
        <v>0</v>
      </c>
      <c r="U79" s="185" t="str">
        <f t="shared" si="19"/>
        <v>SUBDIRECCION DE GESTION CONTRACTUAL</v>
      </c>
      <c r="V79" s="172" t="str">
        <f t="shared" si="20"/>
        <v>CO-DC</v>
      </c>
      <c r="W79" s="185" t="str">
        <f t="shared" si="21"/>
        <v>Distrito Capital de Bogotá</v>
      </c>
      <c r="X79" s="186" t="s">
        <v>177</v>
      </c>
      <c r="Y79" s="172">
        <v>2427400</v>
      </c>
      <c r="Z79" s="188" t="s">
        <v>178</v>
      </c>
    </row>
    <row r="80" spans="1:26" s="189" customFormat="1" ht="12.75" customHeight="1" x14ac:dyDescent="0.2">
      <c r="A80" s="171" t="s">
        <v>176</v>
      </c>
      <c r="B80" s="172">
        <v>30</v>
      </c>
      <c r="C80" s="173" t="s">
        <v>268</v>
      </c>
      <c r="D80" s="173" t="s">
        <v>860</v>
      </c>
      <c r="E80" s="174"/>
      <c r="F80" s="174">
        <v>300000000</v>
      </c>
      <c r="G80" s="174"/>
      <c r="H80" s="175" t="s">
        <v>802</v>
      </c>
      <c r="I80" s="176" t="s">
        <v>272</v>
      </c>
      <c r="J80" s="177">
        <v>4</v>
      </c>
      <c r="K80" s="178">
        <v>5</v>
      </c>
      <c r="L80" s="179">
        <v>6</v>
      </c>
      <c r="M80" s="172">
        <f t="shared" si="14"/>
        <v>1</v>
      </c>
      <c r="N80" s="180" t="s">
        <v>36</v>
      </c>
      <c r="O80" s="181" t="str">
        <f>IF(ISBLANK(N80),"",VLOOKUP(N80,[4]Parámetros!$G$2:$H$23,2,FALSE))</f>
        <v xml:space="preserve">Contratación directa (con ofertas) </v>
      </c>
      <c r="P80" s="182">
        <f t="shared" si="15"/>
        <v>1</v>
      </c>
      <c r="Q80" s="183">
        <f t="shared" si="16"/>
        <v>300000000</v>
      </c>
      <c r="R80" s="183">
        <f t="shared" si="17"/>
        <v>300000000</v>
      </c>
      <c r="S80" s="184" t="s">
        <v>223</v>
      </c>
      <c r="T80" s="180">
        <f t="shared" si="18"/>
        <v>0</v>
      </c>
      <c r="U80" s="185" t="str">
        <f t="shared" si="19"/>
        <v>SUBDIRECCION DE GESTION CONTRACTUAL</v>
      </c>
      <c r="V80" s="172" t="str">
        <f t="shared" si="20"/>
        <v>CO-DC</v>
      </c>
      <c r="W80" s="185" t="str">
        <f t="shared" si="21"/>
        <v>Distrito Capital de Bogotá</v>
      </c>
      <c r="X80" s="186" t="s">
        <v>177</v>
      </c>
      <c r="Y80" s="172">
        <v>2427400</v>
      </c>
      <c r="Z80" s="188" t="s">
        <v>178</v>
      </c>
    </row>
    <row r="81" spans="1:26" s="189" customFormat="1" ht="12.75" customHeight="1" x14ac:dyDescent="0.2">
      <c r="A81" s="171" t="s">
        <v>176</v>
      </c>
      <c r="B81" s="172">
        <v>31</v>
      </c>
      <c r="C81" s="173" t="s">
        <v>268</v>
      </c>
      <c r="D81" s="173" t="s">
        <v>860</v>
      </c>
      <c r="E81" s="174"/>
      <c r="F81" s="174">
        <v>300000000</v>
      </c>
      <c r="G81" s="174"/>
      <c r="H81" s="175" t="s">
        <v>802</v>
      </c>
      <c r="I81" s="176" t="s">
        <v>273</v>
      </c>
      <c r="J81" s="177">
        <v>3</v>
      </c>
      <c r="K81" s="178">
        <v>4</v>
      </c>
      <c r="L81" s="179">
        <v>7</v>
      </c>
      <c r="M81" s="172">
        <f t="shared" si="14"/>
        <v>1</v>
      </c>
      <c r="N81" s="180" t="s">
        <v>36</v>
      </c>
      <c r="O81" s="181" t="str">
        <f>IF(ISBLANK(N81),"",VLOOKUP(N81,[4]Parámetros!$G$2:$H$23,2,FALSE))</f>
        <v xml:space="preserve">Contratación directa (con ofertas) </v>
      </c>
      <c r="P81" s="182">
        <f t="shared" si="15"/>
        <v>1</v>
      </c>
      <c r="Q81" s="183">
        <f t="shared" si="16"/>
        <v>300000000</v>
      </c>
      <c r="R81" s="183">
        <f t="shared" si="17"/>
        <v>300000000</v>
      </c>
      <c r="S81" s="184" t="s">
        <v>223</v>
      </c>
      <c r="T81" s="180">
        <f t="shared" si="18"/>
        <v>0</v>
      </c>
      <c r="U81" s="185" t="str">
        <f t="shared" si="19"/>
        <v>SUBDIRECCION DE GESTION CONTRACTUAL</v>
      </c>
      <c r="V81" s="172" t="str">
        <f t="shared" si="20"/>
        <v>CO-DC</v>
      </c>
      <c r="W81" s="185" t="str">
        <f t="shared" si="21"/>
        <v>Distrito Capital de Bogotá</v>
      </c>
      <c r="X81" s="186" t="s">
        <v>177</v>
      </c>
      <c r="Y81" s="172">
        <v>2427400</v>
      </c>
      <c r="Z81" s="188" t="s">
        <v>178</v>
      </c>
    </row>
    <row r="82" spans="1:26" s="189" customFormat="1" ht="12.75" customHeight="1" x14ac:dyDescent="0.2">
      <c r="A82" s="171" t="s">
        <v>176</v>
      </c>
      <c r="B82" s="172">
        <v>32</v>
      </c>
      <c r="C82" s="173" t="s">
        <v>268</v>
      </c>
      <c r="D82" s="173" t="s">
        <v>860</v>
      </c>
      <c r="E82" s="174"/>
      <c r="F82" s="174">
        <v>300000000</v>
      </c>
      <c r="G82" s="174"/>
      <c r="H82" s="175" t="s">
        <v>802</v>
      </c>
      <c r="I82" s="176" t="s">
        <v>274</v>
      </c>
      <c r="J82" s="177">
        <v>4</v>
      </c>
      <c r="K82" s="178">
        <v>5</v>
      </c>
      <c r="L82" s="179">
        <v>6</v>
      </c>
      <c r="M82" s="172">
        <f t="shared" si="14"/>
        <v>1</v>
      </c>
      <c r="N82" s="180" t="s">
        <v>36</v>
      </c>
      <c r="O82" s="181" t="str">
        <f>IF(ISBLANK(N82),"",VLOOKUP(N82,[4]Parámetros!$G$2:$H$23,2,FALSE))</f>
        <v xml:space="preserve">Contratación directa (con ofertas) </v>
      </c>
      <c r="P82" s="182">
        <f t="shared" si="15"/>
        <v>1</v>
      </c>
      <c r="Q82" s="183">
        <f t="shared" si="16"/>
        <v>300000000</v>
      </c>
      <c r="R82" s="183">
        <f t="shared" si="17"/>
        <v>300000000</v>
      </c>
      <c r="S82" s="184" t="s">
        <v>223</v>
      </c>
      <c r="T82" s="180">
        <f t="shared" si="18"/>
        <v>0</v>
      </c>
      <c r="U82" s="185" t="str">
        <f t="shared" si="19"/>
        <v>SUBDIRECCION DE GESTION CONTRACTUAL</v>
      </c>
      <c r="V82" s="172" t="str">
        <f t="shared" si="20"/>
        <v>CO-DC</v>
      </c>
      <c r="W82" s="185" t="str">
        <f t="shared" si="21"/>
        <v>Distrito Capital de Bogotá</v>
      </c>
      <c r="X82" s="186" t="s">
        <v>177</v>
      </c>
      <c r="Y82" s="172">
        <v>2427400</v>
      </c>
      <c r="Z82" s="188" t="s">
        <v>178</v>
      </c>
    </row>
    <row r="83" spans="1:26" s="189" customFormat="1" ht="12.75" customHeight="1" x14ac:dyDescent="0.2">
      <c r="A83" s="171" t="s">
        <v>176</v>
      </c>
      <c r="B83" s="172">
        <v>33</v>
      </c>
      <c r="C83" s="173" t="s">
        <v>275</v>
      </c>
      <c r="D83" s="173" t="s">
        <v>860</v>
      </c>
      <c r="E83" s="174"/>
      <c r="F83" s="174">
        <v>300000000</v>
      </c>
      <c r="G83" s="174"/>
      <c r="H83" s="175" t="s">
        <v>802</v>
      </c>
      <c r="I83" s="176" t="s">
        <v>276</v>
      </c>
      <c r="J83" s="177">
        <v>4</v>
      </c>
      <c r="K83" s="178">
        <v>5</v>
      </c>
      <c r="L83" s="179">
        <v>6</v>
      </c>
      <c r="M83" s="172">
        <f t="shared" si="14"/>
        <v>1</v>
      </c>
      <c r="N83" s="180" t="s">
        <v>36</v>
      </c>
      <c r="O83" s="181" t="str">
        <f>IF(ISBLANK(N83),"",VLOOKUP(N83,[4]Parámetros!$G$2:$H$23,2,FALSE))</f>
        <v xml:space="preserve">Contratación directa (con ofertas) </v>
      </c>
      <c r="P83" s="182">
        <f t="shared" si="15"/>
        <v>1</v>
      </c>
      <c r="Q83" s="183">
        <f t="shared" si="16"/>
        <v>300000000</v>
      </c>
      <c r="R83" s="183">
        <f t="shared" si="17"/>
        <v>300000000</v>
      </c>
      <c r="S83" s="184" t="s">
        <v>223</v>
      </c>
      <c r="T83" s="180">
        <f t="shared" si="18"/>
        <v>0</v>
      </c>
      <c r="U83" s="185" t="str">
        <f t="shared" si="19"/>
        <v>SUBDIRECCION DE GESTION CONTRACTUAL</v>
      </c>
      <c r="V83" s="172" t="str">
        <f t="shared" si="20"/>
        <v>CO-DC</v>
      </c>
      <c r="W83" s="185" t="str">
        <f t="shared" si="21"/>
        <v>Distrito Capital de Bogotá</v>
      </c>
      <c r="X83" s="186" t="s">
        <v>177</v>
      </c>
      <c r="Y83" s="172">
        <v>2427400</v>
      </c>
      <c r="Z83" s="188" t="s">
        <v>178</v>
      </c>
    </row>
    <row r="84" spans="1:26" s="189" customFormat="1" ht="12.75" customHeight="1" x14ac:dyDescent="0.2">
      <c r="A84" s="171" t="s">
        <v>176</v>
      </c>
      <c r="B84" s="172">
        <v>34</v>
      </c>
      <c r="C84" s="173" t="s">
        <v>268</v>
      </c>
      <c r="D84" s="173" t="s">
        <v>860</v>
      </c>
      <c r="E84" s="174"/>
      <c r="F84" s="174">
        <v>240000000</v>
      </c>
      <c r="G84" s="174"/>
      <c r="H84" s="175">
        <v>80111600</v>
      </c>
      <c r="I84" s="176" t="s">
        <v>255</v>
      </c>
      <c r="J84" s="177">
        <v>1</v>
      </c>
      <c r="K84" s="178">
        <v>1</v>
      </c>
      <c r="L84" s="179">
        <v>12</v>
      </c>
      <c r="M84" s="172">
        <f t="shared" si="14"/>
        <v>1</v>
      </c>
      <c r="N84" s="180" t="s">
        <v>216</v>
      </c>
      <c r="O84" s="181" t="str">
        <f>IF(ISBLANK(N84),"",VLOOKUP(N84,[4]Parámetros!$G$2:$H$23,2,FALSE))</f>
        <v>Contratación directa.</v>
      </c>
      <c r="P84" s="182">
        <f t="shared" si="15"/>
        <v>1</v>
      </c>
      <c r="Q84" s="183">
        <f t="shared" si="16"/>
        <v>240000000</v>
      </c>
      <c r="R84" s="183">
        <f t="shared" si="17"/>
        <v>240000000</v>
      </c>
      <c r="S84" s="184" t="s">
        <v>223</v>
      </c>
      <c r="T84" s="180">
        <f t="shared" si="18"/>
        <v>0</v>
      </c>
      <c r="U84" s="185" t="str">
        <f t="shared" si="19"/>
        <v>SUBDIRECCION DE GESTION CONTRACTUAL</v>
      </c>
      <c r="V84" s="172" t="str">
        <f t="shared" si="20"/>
        <v>CO-DC</v>
      </c>
      <c r="W84" s="185" t="str">
        <f t="shared" si="21"/>
        <v>Distrito Capital de Bogotá</v>
      </c>
      <c r="X84" s="186" t="s">
        <v>177</v>
      </c>
      <c r="Y84" s="172">
        <v>2427400</v>
      </c>
      <c r="Z84" s="188" t="s">
        <v>178</v>
      </c>
    </row>
    <row r="85" spans="1:26" s="189" customFormat="1" ht="12.75" customHeight="1" x14ac:dyDescent="0.2">
      <c r="A85" s="171" t="s">
        <v>176</v>
      </c>
      <c r="B85" s="172">
        <v>35</v>
      </c>
      <c r="C85" s="173" t="s">
        <v>268</v>
      </c>
      <c r="D85" s="173" t="s">
        <v>860</v>
      </c>
      <c r="E85" s="174"/>
      <c r="F85" s="174">
        <v>880000000</v>
      </c>
      <c r="G85" s="174"/>
      <c r="H85" s="175">
        <v>80111600</v>
      </c>
      <c r="I85" s="176" t="s">
        <v>255</v>
      </c>
      <c r="J85" s="177">
        <v>1</v>
      </c>
      <c r="K85" s="178">
        <v>1</v>
      </c>
      <c r="L85" s="179">
        <v>12</v>
      </c>
      <c r="M85" s="172">
        <f t="shared" si="14"/>
        <v>1</v>
      </c>
      <c r="N85" s="180" t="s">
        <v>216</v>
      </c>
      <c r="O85" s="181" t="str">
        <f>IF(ISBLANK(N85),"",VLOOKUP(N85,[4]Parámetros!$G$2:$H$23,2,FALSE))</f>
        <v>Contratación directa.</v>
      </c>
      <c r="P85" s="182">
        <f t="shared" si="15"/>
        <v>1</v>
      </c>
      <c r="Q85" s="183">
        <f t="shared" si="16"/>
        <v>880000000</v>
      </c>
      <c r="R85" s="183">
        <f t="shared" si="17"/>
        <v>880000000</v>
      </c>
      <c r="S85" s="184" t="s">
        <v>223</v>
      </c>
      <c r="T85" s="180">
        <f t="shared" si="18"/>
        <v>0</v>
      </c>
      <c r="U85" s="185" t="str">
        <f t="shared" si="19"/>
        <v>SUBDIRECCION DE GESTION CONTRACTUAL</v>
      </c>
      <c r="V85" s="172" t="str">
        <f t="shared" si="20"/>
        <v>CO-DC</v>
      </c>
      <c r="W85" s="185" t="str">
        <f t="shared" si="21"/>
        <v>Distrito Capital de Bogotá</v>
      </c>
      <c r="X85" s="186" t="s">
        <v>177</v>
      </c>
      <c r="Y85" s="172">
        <v>2427400</v>
      </c>
      <c r="Z85" s="188" t="s">
        <v>178</v>
      </c>
    </row>
    <row r="86" spans="1:26" s="189" customFormat="1" ht="12.75" customHeight="1" x14ac:dyDescent="0.2">
      <c r="A86" s="171" t="s">
        <v>176</v>
      </c>
      <c r="B86" s="172">
        <v>36</v>
      </c>
      <c r="C86" s="173" t="s">
        <v>275</v>
      </c>
      <c r="D86" s="173" t="s">
        <v>179</v>
      </c>
      <c r="E86" s="174"/>
      <c r="F86" s="174">
        <f>3781000000-500000000</f>
        <v>3281000000</v>
      </c>
      <c r="G86" s="174"/>
      <c r="H86" s="175" t="s">
        <v>801</v>
      </c>
      <c r="I86" s="176" t="s">
        <v>256</v>
      </c>
      <c r="J86" s="177">
        <v>2</v>
      </c>
      <c r="K86" s="178">
        <v>3</v>
      </c>
      <c r="L86" s="179">
        <v>9</v>
      </c>
      <c r="M86" s="172">
        <f t="shared" si="14"/>
        <v>1</v>
      </c>
      <c r="N86" s="180" t="s">
        <v>234</v>
      </c>
      <c r="O86" s="181" t="str">
        <f>IF(ISBLANK(N86),"",VLOOKUP(N86,[4]Parámetros!$G$2:$H$23,2,FALSE))</f>
        <v>Licitación pública</v>
      </c>
      <c r="P86" s="182">
        <f t="shared" si="15"/>
        <v>1</v>
      </c>
      <c r="Q86" s="183">
        <f t="shared" si="16"/>
        <v>3281000000</v>
      </c>
      <c r="R86" s="183">
        <f t="shared" si="17"/>
        <v>3281000000</v>
      </c>
      <c r="S86" s="184" t="s">
        <v>223</v>
      </c>
      <c r="T86" s="180">
        <f t="shared" si="18"/>
        <v>0</v>
      </c>
      <c r="U86" s="185" t="str">
        <f t="shared" si="19"/>
        <v>SUBDIRECCION DE GESTION CONTRACTUAL</v>
      </c>
      <c r="V86" s="172" t="str">
        <f t="shared" si="20"/>
        <v>CO-DC</v>
      </c>
      <c r="W86" s="185" t="str">
        <f t="shared" si="21"/>
        <v>Distrito Capital de Bogotá</v>
      </c>
      <c r="X86" s="186" t="s">
        <v>177</v>
      </c>
      <c r="Y86" s="172">
        <v>2427400</v>
      </c>
      <c r="Z86" s="188" t="s">
        <v>178</v>
      </c>
    </row>
    <row r="87" spans="1:26" s="189" customFormat="1" ht="12.75" customHeight="1" x14ac:dyDescent="0.2">
      <c r="A87" s="171" t="s">
        <v>176</v>
      </c>
      <c r="B87" s="172">
        <v>37</v>
      </c>
      <c r="C87" s="173" t="s">
        <v>275</v>
      </c>
      <c r="D87" s="173" t="s">
        <v>179</v>
      </c>
      <c r="E87" s="174"/>
      <c r="F87" s="174">
        <v>350000000</v>
      </c>
      <c r="G87" s="174"/>
      <c r="H87" s="175" t="s">
        <v>103</v>
      </c>
      <c r="I87" s="176" t="s">
        <v>632</v>
      </c>
      <c r="J87" s="177">
        <v>2</v>
      </c>
      <c r="K87" s="178">
        <v>3</v>
      </c>
      <c r="L87" s="179">
        <v>10</v>
      </c>
      <c r="M87" s="172">
        <f t="shared" si="14"/>
        <v>1</v>
      </c>
      <c r="N87" s="180" t="s">
        <v>36</v>
      </c>
      <c r="O87" s="181" t="str">
        <f>IF(ISBLANK(N87),"",VLOOKUP(N87,[1]Parámetros!$G$2:$H$23,2,FALSE))</f>
        <v xml:space="preserve">Contratación directa (con ofertas) </v>
      </c>
      <c r="P87" s="182">
        <f t="shared" si="15"/>
        <v>1</v>
      </c>
      <c r="Q87" s="183">
        <f t="shared" si="16"/>
        <v>350000000</v>
      </c>
      <c r="R87" s="183">
        <f t="shared" si="17"/>
        <v>350000000</v>
      </c>
      <c r="S87" s="184" t="s">
        <v>223</v>
      </c>
      <c r="T87" s="180">
        <f t="shared" si="18"/>
        <v>0</v>
      </c>
      <c r="U87" s="185" t="str">
        <f t="shared" si="19"/>
        <v>SUBDIRECCION DE GESTION CONTRACTUAL</v>
      </c>
      <c r="V87" s="172" t="str">
        <f t="shared" si="20"/>
        <v>CO-DC</v>
      </c>
      <c r="W87" s="185" t="str">
        <f t="shared" si="21"/>
        <v>Distrito Capital de Bogotá</v>
      </c>
      <c r="X87" s="186" t="s">
        <v>177</v>
      </c>
      <c r="Y87" s="172">
        <v>2427400</v>
      </c>
      <c r="Z87" s="188" t="s">
        <v>178</v>
      </c>
    </row>
    <row r="88" spans="1:26" s="189" customFormat="1" ht="12.75" customHeight="1" x14ac:dyDescent="0.2">
      <c r="A88" s="171" t="s">
        <v>176</v>
      </c>
      <c r="B88" s="172">
        <v>38</v>
      </c>
      <c r="C88" s="173" t="s">
        <v>275</v>
      </c>
      <c r="D88" s="173" t="s">
        <v>179</v>
      </c>
      <c r="E88" s="174"/>
      <c r="F88" s="174">
        <v>15000000</v>
      </c>
      <c r="G88" s="174"/>
      <c r="H88" s="175" t="s">
        <v>51</v>
      </c>
      <c r="I88" s="176" t="s">
        <v>277</v>
      </c>
      <c r="J88" s="177">
        <v>4</v>
      </c>
      <c r="K88" s="178">
        <v>6</v>
      </c>
      <c r="L88" s="179">
        <v>1</v>
      </c>
      <c r="M88" s="172">
        <f t="shared" si="14"/>
        <v>1</v>
      </c>
      <c r="N88" s="180" t="s">
        <v>43</v>
      </c>
      <c r="O88" s="181" t="str">
        <f>IF(ISBLANK(N88),"",VLOOKUP(N88,[4]Parámetros!$G$2:$H$23,2,FALSE))</f>
        <v>Selección abreviada subasta inversa</v>
      </c>
      <c r="P88" s="182">
        <f t="shared" si="15"/>
        <v>1</v>
      </c>
      <c r="Q88" s="183">
        <f t="shared" si="16"/>
        <v>15000000</v>
      </c>
      <c r="R88" s="183">
        <f t="shared" si="17"/>
        <v>15000000</v>
      </c>
      <c r="S88" s="184" t="s">
        <v>223</v>
      </c>
      <c r="T88" s="180">
        <f t="shared" si="18"/>
        <v>0</v>
      </c>
      <c r="U88" s="185" t="str">
        <f t="shared" si="19"/>
        <v>SUBDIRECCION DE GESTION CONTRACTUAL</v>
      </c>
      <c r="V88" s="172" t="str">
        <f t="shared" si="20"/>
        <v>CO-DC</v>
      </c>
      <c r="W88" s="185" t="str">
        <f t="shared" si="21"/>
        <v>Distrito Capital de Bogotá</v>
      </c>
      <c r="X88" s="186" t="s">
        <v>73</v>
      </c>
      <c r="Y88" s="172">
        <v>2427400</v>
      </c>
      <c r="Z88" s="188" t="s">
        <v>74</v>
      </c>
    </row>
    <row r="89" spans="1:26" s="189" customFormat="1" ht="12.75" customHeight="1" x14ac:dyDescent="0.2">
      <c r="A89" s="171" t="s">
        <v>176</v>
      </c>
      <c r="B89" s="172">
        <v>39</v>
      </c>
      <c r="C89" s="173" t="s">
        <v>275</v>
      </c>
      <c r="D89" s="173" t="s">
        <v>179</v>
      </c>
      <c r="E89" s="174"/>
      <c r="F89" s="174">
        <v>300000000</v>
      </c>
      <c r="G89" s="174"/>
      <c r="H89" s="175" t="s">
        <v>240</v>
      </c>
      <c r="I89" s="176" t="s">
        <v>278</v>
      </c>
      <c r="J89" s="177">
        <v>2</v>
      </c>
      <c r="K89" s="178">
        <v>3</v>
      </c>
      <c r="L89" s="179">
        <v>4</v>
      </c>
      <c r="M89" s="172">
        <f t="shared" si="14"/>
        <v>1</v>
      </c>
      <c r="N89" s="180" t="s">
        <v>43</v>
      </c>
      <c r="O89" s="181" t="str">
        <f>IF(ISBLANK(N89),"",VLOOKUP(N89,[4]Parámetros!$G$2:$H$23,2,FALSE))</f>
        <v>Selección abreviada subasta inversa</v>
      </c>
      <c r="P89" s="182">
        <f t="shared" si="15"/>
        <v>1</v>
      </c>
      <c r="Q89" s="183">
        <f t="shared" si="16"/>
        <v>300000000</v>
      </c>
      <c r="R89" s="183">
        <f t="shared" si="17"/>
        <v>300000000</v>
      </c>
      <c r="S89" s="184" t="s">
        <v>223</v>
      </c>
      <c r="T89" s="180">
        <f t="shared" si="18"/>
        <v>0</v>
      </c>
      <c r="U89" s="185" t="str">
        <f t="shared" si="19"/>
        <v>SUBDIRECCION DE GESTION CONTRACTUAL</v>
      </c>
      <c r="V89" s="172" t="str">
        <f t="shared" si="20"/>
        <v>CO-DC</v>
      </c>
      <c r="W89" s="185" t="str">
        <f t="shared" si="21"/>
        <v>Distrito Capital de Bogotá</v>
      </c>
      <c r="X89" s="186" t="s">
        <v>332</v>
      </c>
      <c r="Y89" s="172">
        <v>2427400</v>
      </c>
      <c r="Z89" s="188" t="s">
        <v>94</v>
      </c>
    </row>
    <row r="90" spans="1:26" s="189" customFormat="1" ht="12.75" customHeight="1" x14ac:dyDescent="0.2">
      <c r="A90" s="171" t="s">
        <v>176</v>
      </c>
      <c r="B90" s="172">
        <v>40</v>
      </c>
      <c r="C90" s="173" t="s">
        <v>275</v>
      </c>
      <c r="D90" s="173" t="s">
        <v>179</v>
      </c>
      <c r="E90" s="174"/>
      <c r="F90" s="174">
        <v>600000000</v>
      </c>
      <c r="G90" s="174"/>
      <c r="H90" s="175" t="s">
        <v>42</v>
      </c>
      <c r="I90" s="176" t="s">
        <v>279</v>
      </c>
      <c r="J90" s="177">
        <v>3</v>
      </c>
      <c r="K90" s="178">
        <v>4</v>
      </c>
      <c r="L90" s="179">
        <v>9</v>
      </c>
      <c r="M90" s="172">
        <f t="shared" si="14"/>
        <v>1</v>
      </c>
      <c r="N90" s="180" t="s">
        <v>61</v>
      </c>
      <c r="O90" s="181" t="str">
        <f>IF(ISBLANK(N90),"",VLOOKUP(N90,[4]Parámetros!$G$2:$H$23,2,FALSE))</f>
        <v>Contratación régimen especial - Selección de comisionista</v>
      </c>
      <c r="P90" s="182">
        <f t="shared" si="15"/>
        <v>1</v>
      </c>
      <c r="Q90" s="183">
        <f t="shared" si="16"/>
        <v>600000000</v>
      </c>
      <c r="R90" s="183">
        <f t="shared" si="17"/>
        <v>600000000</v>
      </c>
      <c r="S90" s="184" t="s">
        <v>223</v>
      </c>
      <c r="T90" s="180">
        <f t="shared" si="18"/>
        <v>0</v>
      </c>
      <c r="U90" s="185" t="str">
        <f t="shared" si="19"/>
        <v>SUBDIRECCION DE GESTION CONTRACTUAL</v>
      </c>
      <c r="V90" s="172" t="str">
        <f t="shared" si="20"/>
        <v>CO-DC</v>
      </c>
      <c r="W90" s="185" t="str">
        <f t="shared" si="21"/>
        <v>Distrito Capital de Bogotá</v>
      </c>
      <c r="X90" s="186" t="s">
        <v>359</v>
      </c>
      <c r="Y90" s="172">
        <v>2427400</v>
      </c>
      <c r="Z90" s="188" t="s">
        <v>75</v>
      </c>
    </row>
    <row r="91" spans="1:26" s="189" customFormat="1" ht="12.75" customHeight="1" x14ac:dyDescent="0.2">
      <c r="A91" s="171" t="s">
        <v>176</v>
      </c>
      <c r="B91" s="172">
        <v>41</v>
      </c>
      <c r="C91" s="173" t="s">
        <v>275</v>
      </c>
      <c r="D91" s="173" t="s">
        <v>179</v>
      </c>
      <c r="E91" s="174"/>
      <c r="F91" s="174">
        <v>20000000</v>
      </c>
      <c r="G91" s="174"/>
      <c r="H91" s="175" t="s">
        <v>280</v>
      </c>
      <c r="I91" s="176" t="s">
        <v>281</v>
      </c>
      <c r="J91" s="177">
        <v>5</v>
      </c>
      <c r="K91" s="178">
        <v>6</v>
      </c>
      <c r="L91" s="179">
        <v>1</v>
      </c>
      <c r="M91" s="172">
        <f t="shared" si="14"/>
        <v>1</v>
      </c>
      <c r="N91" s="180" t="s">
        <v>53</v>
      </c>
      <c r="O91" s="181" t="str">
        <f>IF(ISBLANK(N91),"",VLOOKUP(N91,[4]Parámetros!$G$2:$H$23,2,FALSE))</f>
        <v>Seléccion abreviada - acuerdo marco</v>
      </c>
      <c r="P91" s="182">
        <f t="shared" si="15"/>
        <v>1</v>
      </c>
      <c r="Q91" s="183">
        <f t="shared" si="16"/>
        <v>20000000</v>
      </c>
      <c r="R91" s="183">
        <f t="shared" si="17"/>
        <v>20000000</v>
      </c>
      <c r="S91" s="184" t="s">
        <v>223</v>
      </c>
      <c r="T91" s="180">
        <f t="shared" si="18"/>
        <v>0</v>
      </c>
      <c r="U91" s="185" t="str">
        <f t="shared" si="19"/>
        <v>SUBDIRECCION DE GESTION CONTRACTUAL</v>
      </c>
      <c r="V91" s="172" t="str">
        <f t="shared" si="20"/>
        <v>CO-DC</v>
      </c>
      <c r="W91" s="185" t="str">
        <f t="shared" si="21"/>
        <v>Distrito Capital de Bogotá</v>
      </c>
      <c r="X91" s="186" t="s">
        <v>77</v>
      </c>
      <c r="Y91" s="172">
        <v>2427400</v>
      </c>
      <c r="Z91" s="188" t="s">
        <v>282</v>
      </c>
    </row>
    <row r="92" spans="1:26" s="189" customFormat="1" ht="12.75" customHeight="1" x14ac:dyDescent="0.2">
      <c r="A92" s="171" t="s">
        <v>176</v>
      </c>
      <c r="B92" s="172">
        <v>42</v>
      </c>
      <c r="C92" s="173" t="s">
        <v>275</v>
      </c>
      <c r="D92" s="173" t="s">
        <v>179</v>
      </c>
      <c r="E92" s="174"/>
      <c r="F92" s="174">
        <v>300000000</v>
      </c>
      <c r="G92" s="174"/>
      <c r="H92" s="175" t="s">
        <v>650</v>
      </c>
      <c r="I92" s="176" t="s">
        <v>283</v>
      </c>
      <c r="J92" s="177">
        <v>2</v>
      </c>
      <c r="K92" s="178">
        <v>2</v>
      </c>
      <c r="L92" s="179">
        <v>10</v>
      </c>
      <c r="M92" s="172">
        <f t="shared" si="14"/>
        <v>1</v>
      </c>
      <c r="N92" s="180" t="s">
        <v>36</v>
      </c>
      <c r="O92" s="181" t="str">
        <f>IF(ISBLANK(N92),"",VLOOKUP(N92,[4]Parámetros!$G$2:$H$23,2,FALSE))</f>
        <v xml:space="preserve">Contratación directa (con ofertas) </v>
      </c>
      <c r="P92" s="182">
        <f t="shared" si="15"/>
        <v>1</v>
      </c>
      <c r="Q92" s="183">
        <f t="shared" si="16"/>
        <v>300000000</v>
      </c>
      <c r="R92" s="183">
        <f t="shared" si="17"/>
        <v>300000000</v>
      </c>
      <c r="S92" s="184" t="s">
        <v>223</v>
      </c>
      <c r="T92" s="180">
        <f t="shared" si="18"/>
        <v>0</v>
      </c>
      <c r="U92" s="185" t="str">
        <f t="shared" si="19"/>
        <v>SUBDIRECCION DE GESTION CONTRACTUAL</v>
      </c>
      <c r="V92" s="172" t="str">
        <f t="shared" si="20"/>
        <v>CO-DC</v>
      </c>
      <c r="W92" s="185" t="str">
        <f t="shared" si="21"/>
        <v>Distrito Capital de Bogotá</v>
      </c>
      <c r="X92" s="186" t="s">
        <v>332</v>
      </c>
      <c r="Y92" s="172">
        <v>2427400</v>
      </c>
      <c r="Z92" s="188" t="s">
        <v>94</v>
      </c>
    </row>
    <row r="93" spans="1:26" s="189" customFormat="1" ht="12.75" customHeight="1" x14ac:dyDescent="0.2">
      <c r="A93" s="171" t="s">
        <v>176</v>
      </c>
      <c r="B93" s="172">
        <v>43</v>
      </c>
      <c r="C93" s="173" t="s">
        <v>275</v>
      </c>
      <c r="D93" s="173" t="s">
        <v>179</v>
      </c>
      <c r="E93" s="174"/>
      <c r="F93" s="174">
        <v>2950000000</v>
      </c>
      <c r="G93" s="174"/>
      <c r="H93" s="175">
        <v>80111600</v>
      </c>
      <c r="I93" s="176" t="s">
        <v>255</v>
      </c>
      <c r="J93" s="177">
        <v>1</v>
      </c>
      <c r="K93" s="178">
        <v>1</v>
      </c>
      <c r="L93" s="179">
        <v>12</v>
      </c>
      <c r="M93" s="172">
        <f t="shared" si="14"/>
        <v>1</v>
      </c>
      <c r="N93" s="180" t="s">
        <v>216</v>
      </c>
      <c r="O93" s="181" t="str">
        <f>IF(ISBLANK(N93),"",VLOOKUP(N93,[4]Parámetros!$G$2:$H$23,2,FALSE))</f>
        <v>Contratación directa.</v>
      </c>
      <c r="P93" s="182">
        <f t="shared" si="15"/>
        <v>1</v>
      </c>
      <c r="Q93" s="183">
        <f t="shared" si="16"/>
        <v>2950000000</v>
      </c>
      <c r="R93" s="183">
        <f t="shared" si="17"/>
        <v>2950000000</v>
      </c>
      <c r="S93" s="184" t="s">
        <v>223</v>
      </c>
      <c r="T93" s="180">
        <f t="shared" si="18"/>
        <v>0</v>
      </c>
      <c r="U93" s="185" t="str">
        <f t="shared" si="19"/>
        <v>SUBDIRECCION DE GESTION CONTRACTUAL</v>
      </c>
      <c r="V93" s="172" t="str">
        <f t="shared" si="20"/>
        <v>CO-DC</v>
      </c>
      <c r="W93" s="185" t="str">
        <f t="shared" si="21"/>
        <v>Distrito Capital de Bogotá</v>
      </c>
      <c r="X93" s="186" t="s">
        <v>177</v>
      </c>
      <c r="Y93" s="172">
        <v>2427400</v>
      </c>
      <c r="Z93" s="188" t="s">
        <v>178</v>
      </c>
    </row>
    <row r="94" spans="1:26" s="189" customFormat="1" ht="12.75" customHeight="1" x14ac:dyDescent="0.2">
      <c r="A94" s="171" t="s">
        <v>176</v>
      </c>
      <c r="B94" s="172">
        <v>44</v>
      </c>
      <c r="C94" s="173" t="s">
        <v>275</v>
      </c>
      <c r="D94" s="173" t="s">
        <v>179</v>
      </c>
      <c r="E94" s="174"/>
      <c r="F94" s="174">
        <v>500000000</v>
      </c>
      <c r="G94" s="174"/>
      <c r="H94" s="175" t="s">
        <v>801</v>
      </c>
      <c r="I94" s="176" t="s">
        <v>256</v>
      </c>
      <c r="J94" s="202">
        <v>1</v>
      </c>
      <c r="K94" s="202">
        <v>2</v>
      </c>
      <c r="L94" s="202">
        <v>3</v>
      </c>
      <c r="M94" s="172">
        <f t="shared" si="14"/>
        <v>1</v>
      </c>
      <c r="N94" s="180" t="s">
        <v>36</v>
      </c>
      <c r="O94" s="181" t="str">
        <f>IF(ISBLANK(N94),"",VLOOKUP(N94,[4]Parámetros!$G$2:$H$23,2,FALSE))</f>
        <v xml:space="preserve">Contratación directa (con ofertas) </v>
      </c>
      <c r="P94" s="182">
        <f t="shared" si="15"/>
        <v>1</v>
      </c>
      <c r="Q94" s="183">
        <f t="shared" si="16"/>
        <v>500000000</v>
      </c>
      <c r="R94" s="183">
        <f t="shared" si="17"/>
        <v>500000000</v>
      </c>
      <c r="S94" s="184" t="s">
        <v>223</v>
      </c>
      <c r="T94" s="180">
        <f t="shared" si="18"/>
        <v>0</v>
      </c>
      <c r="U94" s="185" t="str">
        <f t="shared" si="19"/>
        <v>SUBDIRECCION DE GESTION CONTRACTUAL</v>
      </c>
      <c r="V94" s="172" t="str">
        <f t="shared" si="20"/>
        <v>CO-DC</v>
      </c>
      <c r="W94" s="185" t="str">
        <f t="shared" si="21"/>
        <v>Distrito Capital de Bogotá</v>
      </c>
      <c r="X94" s="186" t="s">
        <v>177</v>
      </c>
      <c r="Y94" s="172">
        <v>2427400</v>
      </c>
      <c r="Z94" s="188" t="s">
        <v>178</v>
      </c>
    </row>
    <row r="95" spans="1:26" s="189" customFormat="1" ht="12.75" customHeight="1" x14ac:dyDescent="0.2">
      <c r="A95" s="171" t="s">
        <v>176</v>
      </c>
      <c r="B95" s="172">
        <v>45</v>
      </c>
      <c r="C95" s="173" t="s">
        <v>262</v>
      </c>
      <c r="D95" s="173" t="s">
        <v>179</v>
      </c>
      <c r="E95" s="174"/>
      <c r="F95" s="174">
        <v>500000000</v>
      </c>
      <c r="G95" s="174"/>
      <c r="H95" s="175" t="s">
        <v>801</v>
      </c>
      <c r="I95" s="176" t="s">
        <v>256</v>
      </c>
      <c r="J95" s="202">
        <v>1</v>
      </c>
      <c r="K95" s="202">
        <v>2</v>
      </c>
      <c r="L95" s="202">
        <v>3</v>
      </c>
      <c r="M95" s="172">
        <f t="shared" si="14"/>
        <v>1</v>
      </c>
      <c r="N95" s="180" t="s">
        <v>36</v>
      </c>
      <c r="O95" s="181" t="str">
        <f>IF(ISBLANK(N95),"",VLOOKUP(N95,[4]Parámetros!$G$2:$H$23,2,FALSE))</f>
        <v xml:space="preserve">Contratación directa (con ofertas) </v>
      </c>
      <c r="P95" s="182">
        <v>1</v>
      </c>
      <c r="Q95" s="183">
        <f t="shared" si="16"/>
        <v>500000000</v>
      </c>
      <c r="R95" s="183">
        <f t="shared" si="17"/>
        <v>500000000</v>
      </c>
      <c r="S95" s="184" t="s">
        <v>223</v>
      </c>
      <c r="T95" s="180">
        <v>0</v>
      </c>
      <c r="U95" s="185" t="str">
        <f t="shared" si="19"/>
        <v>SUBDIRECCION DE GESTION CONTRACTUAL</v>
      </c>
      <c r="V95" s="172" t="s">
        <v>39</v>
      </c>
      <c r="W95" s="185" t="s">
        <v>38</v>
      </c>
      <c r="X95" s="186" t="s">
        <v>177</v>
      </c>
      <c r="Y95" s="172">
        <v>2427400</v>
      </c>
      <c r="Z95" s="188" t="s">
        <v>178</v>
      </c>
    </row>
    <row r="96" spans="1:26" s="189" customFormat="1" ht="12.75" customHeight="1" x14ac:dyDescent="0.2">
      <c r="A96" s="171" t="s">
        <v>67</v>
      </c>
      <c r="B96" s="172">
        <v>1</v>
      </c>
      <c r="C96" s="173" t="s">
        <v>284</v>
      </c>
      <c r="D96" s="173" t="s">
        <v>88</v>
      </c>
      <c r="E96" s="174"/>
      <c r="F96" s="174">
        <v>10263157661</v>
      </c>
      <c r="G96" s="174"/>
      <c r="H96" s="175" t="s">
        <v>68</v>
      </c>
      <c r="I96" s="176" t="s">
        <v>306</v>
      </c>
      <c r="J96" s="177">
        <v>3</v>
      </c>
      <c r="K96" s="178">
        <v>4</v>
      </c>
      <c r="L96" s="179">
        <v>8</v>
      </c>
      <c r="M96" s="172">
        <f t="shared" si="14"/>
        <v>1</v>
      </c>
      <c r="N96" s="180" t="s">
        <v>36</v>
      </c>
      <c r="O96" s="181" t="str">
        <f>IF(ISBLANK(N96),"",VLOOKUP(N96,[5]Parámetros!$G$2:$H$23,2,FALSE))</f>
        <v xml:space="preserve">Contratación directa (con ofertas) </v>
      </c>
      <c r="P96" s="182">
        <f t="shared" ref="P96:P127" si="22">IF(ISBLANK(N96),"",1)</f>
        <v>1</v>
      </c>
      <c r="Q96" s="183">
        <f t="shared" si="16"/>
        <v>10263157661</v>
      </c>
      <c r="R96" s="183">
        <f t="shared" si="17"/>
        <v>10263157661</v>
      </c>
      <c r="S96" s="184" t="s">
        <v>223</v>
      </c>
      <c r="T96" s="180">
        <f t="shared" ref="T96:T127" si="23">IF(ISBLANK(S96),"",IF(VALUE(S96)=0,0,IF(VALUE(S96)=1,3,"")))</f>
        <v>0</v>
      </c>
      <c r="U96" s="185" t="str">
        <f t="shared" si="19"/>
        <v>SUBDIRECCION DE GESTION CONTRACTUAL</v>
      </c>
      <c r="V96" s="172" t="str">
        <f t="shared" ref="V96:V160" si="24">IF(ISBLANK(N96),"","CO-DC")</f>
        <v>CO-DC</v>
      </c>
      <c r="W96" s="185" t="str">
        <f t="shared" ref="W96:W160" si="25">IF(ISBLANK(N96),"","Distrito Capital de Bogotá")</f>
        <v>Distrito Capital de Bogotá</v>
      </c>
      <c r="X96" s="186" t="s">
        <v>69</v>
      </c>
      <c r="Y96" s="172">
        <v>2427401</v>
      </c>
      <c r="Z96" s="188" t="s">
        <v>70</v>
      </c>
    </row>
    <row r="97" spans="1:26" s="189" customFormat="1" ht="12.75" customHeight="1" x14ac:dyDescent="0.2">
      <c r="A97" s="171" t="s">
        <v>67</v>
      </c>
      <c r="B97" s="172">
        <v>2</v>
      </c>
      <c r="C97" s="173" t="s">
        <v>286</v>
      </c>
      <c r="D97" s="173" t="s">
        <v>71</v>
      </c>
      <c r="E97" s="174"/>
      <c r="F97" s="174">
        <v>70044339442</v>
      </c>
      <c r="G97" s="174"/>
      <c r="H97" s="175" t="s">
        <v>68</v>
      </c>
      <c r="I97" s="176" t="s">
        <v>307</v>
      </c>
      <c r="J97" s="177">
        <v>3</v>
      </c>
      <c r="K97" s="178">
        <v>4</v>
      </c>
      <c r="L97" s="179">
        <v>8</v>
      </c>
      <c r="M97" s="172">
        <f t="shared" si="14"/>
        <v>1</v>
      </c>
      <c r="N97" s="180" t="s">
        <v>36</v>
      </c>
      <c r="O97" s="181" t="str">
        <f>IF(ISBLANK(N97),"",VLOOKUP(N97,[5]Parámetros!$G$2:$H$23,2,FALSE))</f>
        <v xml:space="preserve">Contratación directa (con ofertas) </v>
      </c>
      <c r="P97" s="182">
        <f t="shared" si="22"/>
        <v>1</v>
      </c>
      <c r="Q97" s="183">
        <f t="shared" si="16"/>
        <v>70044339442</v>
      </c>
      <c r="R97" s="183">
        <f t="shared" si="17"/>
        <v>70044339442</v>
      </c>
      <c r="S97" s="184" t="s">
        <v>223</v>
      </c>
      <c r="T97" s="180">
        <f t="shared" si="23"/>
        <v>0</v>
      </c>
      <c r="U97" s="185" t="str">
        <f t="shared" si="19"/>
        <v>SUBDIRECCION DE GESTION CONTRACTUAL</v>
      </c>
      <c r="V97" s="172" t="str">
        <f t="shared" si="24"/>
        <v>CO-DC</v>
      </c>
      <c r="W97" s="185" t="str">
        <f t="shared" si="25"/>
        <v>Distrito Capital de Bogotá</v>
      </c>
      <c r="X97" s="186" t="s">
        <v>69</v>
      </c>
      <c r="Y97" s="172">
        <v>2427401</v>
      </c>
      <c r="Z97" s="188" t="s">
        <v>70</v>
      </c>
    </row>
    <row r="98" spans="1:26" s="189" customFormat="1" ht="12.75" customHeight="1" x14ac:dyDescent="0.2">
      <c r="A98" s="171" t="s">
        <v>67</v>
      </c>
      <c r="B98" s="172">
        <v>3</v>
      </c>
      <c r="C98" s="173" t="s">
        <v>287</v>
      </c>
      <c r="D98" s="173" t="s">
        <v>71</v>
      </c>
      <c r="E98" s="174"/>
      <c r="F98" s="174">
        <v>3400000000</v>
      </c>
      <c r="G98" s="174"/>
      <c r="H98" s="175" t="s">
        <v>68</v>
      </c>
      <c r="I98" s="176" t="s">
        <v>307</v>
      </c>
      <c r="J98" s="177">
        <v>3</v>
      </c>
      <c r="K98" s="178">
        <v>4</v>
      </c>
      <c r="L98" s="179">
        <v>8</v>
      </c>
      <c r="M98" s="172">
        <f t="shared" si="14"/>
        <v>1</v>
      </c>
      <c r="N98" s="180" t="s">
        <v>36</v>
      </c>
      <c r="O98" s="181" t="str">
        <f>IF(ISBLANK(N98),"",VLOOKUP(N98,[5]Parámetros!$G$2:$H$23,2,FALSE))</f>
        <v xml:space="preserve">Contratación directa (con ofertas) </v>
      </c>
      <c r="P98" s="182">
        <f t="shared" si="22"/>
        <v>1</v>
      </c>
      <c r="Q98" s="183">
        <f t="shared" si="16"/>
        <v>3400000000</v>
      </c>
      <c r="R98" s="183">
        <f t="shared" si="17"/>
        <v>3400000000</v>
      </c>
      <c r="S98" s="184" t="s">
        <v>223</v>
      </c>
      <c r="T98" s="180">
        <f t="shared" si="23"/>
        <v>0</v>
      </c>
      <c r="U98" s="185" t="str">
        <f t="shared" si="19"/>
        <v>SUBDIRECCION DE GESTION CONTRACTUAL</v>
      </c>
      <c r="V98" s="172" t="str">
        <f t="shared" si="24"/>
        <v>CO-DC</v>
      </c>
      <c r="W98" s="185" t="str">
        <f t="shared" si="25"/>
        <v>Distrito Capital de Bogotá</v>
      </c>
      <c r="X98" s="186" t="s">
        <v>69</v>
      </c>
      <c r="Y98" s="172">
        <v>2427401</v>
      </c>
      <c r="Z98" s="188" t="s">
        <v>70</v>
      </c>
    </row>
    <row r="99" spans="1:26" s="189" customFormat="1" ht="12.75" customHeight="1" x14ac:dyDescent="0.2">
      <c r="A99" s="171" t="s">
        <v>67</v>
      </c>
      <c r="B99" s="172">
        <v>4</v>
      </c>
      <c r="C99" s="173" t="s">
        <v>288</v>
      </c>
      <c r="D99" s="173" t="s">
        <v>71</v>
      </c>
      <c r="E99" s="174"/>
      <c r="F99" s="174">
        <v>550000000</v>
      </c>
      <c r="G99" s="174"/>
      <c r="H99" s="175" t="s">
        <v>801</v>
      </c>
      <c r="I99" s="176" t="s">
        <v>625</v>
      </c>
      <c r="J99" s="177">
        <v>2</v>
      </c>
      <c r="K99" s="178">
        <v>3</v>
      </c>
      <c r="L99" s="179">
        <v>9</v>
      </c>
      <c r="M99" s="172">
        <f t="shared" si="14"/>
        <v>1</v>
      </c>
      <c r="N99" s="180" t="s">
        <v>234</v>
      </c>
      <c r="O99" s="181" t="str">
        <f>IF(ISBLANK(N99),"",VLOOKUP(N99,[5]Parámetros!$G$2:$H$23,2,FALSE))</f>
        <v>Licitación pública</v>
      </c>
      <c r="P99" s="182">
        <f t="shared" si="22"/>
        <v>1</v>
      </c>
      <c r="Q99" s="183">
        <f t="shared" si="16"/>
        <v>550000000</v>
      </c>
      <c r="R99" s="183">
        <f t="shared" si="17"/>
        <v>550000000</v>
      </c>
      <c r="S99" s="184" t="s">
        <v>223</v>
      </c>
      <c r="T99" s="180">
        <f t="shared" si="23"/>
        <v>0</v>
      </c>
      <c r="U99" s="185" t="str">
        <f t="shared" si="19"/>
        <v>SUBDIRECCION DE GESTION CONTRACTUAL</v>
      </c>
      <c r="V99" s="172" t="str">
        <f t="shared" si="24"/>
        <v>CO-DC</v>
      </c>
      <c r="W99" s="185" t="str">
        <f t="shared" si="25"/>
        <v>Distrito Capital de Bogotá</v>
      </c>
      <c r="X99" s="186" t="s">
        <v>69</v>
      </c>
      <c r="Y99" s="172">
        <v>2427401</v>
      </c>
      <c r="Z99" s="188" t="s">
        <v>70</v>
      </c>
    </row>
    <row r="100" spans="1:26" s="189" customFormat="1" ht="12.75" customHeight="1" x14ac:dyDescent="0.2">
      <c r="A100" s="171" t="s">
        <v>67</v>
      </c>
      <c r="B100" s="172">
        <v>5</v>
      </c>
      <c r="C100" s="173" t="s">
        <v>289</v>
      </c>
      <c r="D100" s="173" t="s">
        <v>71</v>
      </c>
      <c r="E100" s="174"/>
      <c r="F100" s="174">
        <v>4800000000</v>
      </c>
      <c r="G100" s="174"/>
      <c r="H100" s="175" t="s">
        <v>801</v>
      </c>
      <c r="I100" s="176" t="s">
        <v>625</v>
      </c>
      <c r="J100" s="177">
        <v>2</v>
      </c>
      <c r="K100" s="178">
        <v>3</v>
      </c>
      <c r="L100" s="179">
        <v>9</v>
      </c>
      <c r="M100" s="172">
        <f t="shared" si="14"/>
        <v>1</v>
      </c>
      <c r="N100" s="180" t="s">
        <v>234</v>
      </c>
      <c r="O100" s="181" t="str">
        <f>IF(ISBLANK(N100),"",VLOOKUP(N100,[5]Parámetros!$G$2:$H$23,2,FALSE))</f>
        <v>Licitación pública</v>
      </c>
      <c r="P100" s="182">
        <f t="shared" si="22"/>
        <v>1</v>
      </c>
      <c r="Q100" s="183">
        <f t="shared" si="16"/>
        <v>4800000000</v>
      </c>
      <c r="R100" s="183">
        <f t="shared" si="17"/>
        <v>4800000000</v>
      </c>
      <c r="S100" s="184" t="s">
        <v>223</v>
      </c>
      <c r="T100" s="180">
        <f t="shared" si="23"/>
        <v>0</v>
      </c>
      <c r="U100" s="185" t="str">
        <f t="shared" si="19"/>
        <v>SUBDIRECCION DE GESTION CONTRACTUAL</v>
      </c>
      <c r="V100" s="172" t="str">
        <f t="shared" si="24"/>
        <v>CO-DC</v>
      </c>
      <c r="W100" s="185" t="str">
        <f t="shared" si="25"/>
        <v>Distrito Capital de Bogotá</v>
      </c>
      <c r="X100" s="186" t="s">
        <v>69</v>
      </c>
      <c r="Y100" s="172">
        <v>2427401</v>
      </c>
      <c r="Z100" s="188" t="s">
        <v>70</v>
      </c>
    </row>
    <row r="101" spans="1:26" s="189" customFormat="1" ht="12.75" customHeight="1" x14ac:dyDescent="0.2">
      <c r="A101" s="171" t="s">
        <v>67</v>
      </c>
      <c r="B101" s="172">
        <v>6</v>
      </c>
      <c r="C101" s="173" t="s">
        <v>290</v>
      </c>
      <c r="D101" s="173" t="s">
        <v>71</v>
      </c>
      <c r="E101" s="174"/>
      <c r="F101" s="174">
        <v>1500000000</v>
      </c>
      <c r="G101" s="174"/>
      <c r="H101" s="175" t="s">
        <v>801</v>
      </c>
      <c r="I101" s="176" t="s">
        <v>625</v>
      </c>
      <c r="J101" s="202">
        <v>1</v>
      </c>
      <c r="K101" s="202">
        <v>2</v>
      </c>
      <c r="L101" s="202">
        <v>3</v>
      </c>
      <c r="M101" s="172">
        <f t="shared" si="14"/>
        <v>1</v>
      </c>
      <c r="N101" s="180" t="s">
        <v>36</v>
      </c>
      <c r="O101" s="181" t="str">
        <f>IF(ISBLANK(N101),"",VLOOKUP(N101,[5]Parámetros!$G$2:$H$23,2,FALSE))</f>
        <v xml:space="preserve">Contratación directa (con ofertas) </v>
      </c>
      <c r="P101" s="182">
        <f t="shared" si="22"/>
        <v>1</v>
      </c>
      <c r="Q101" s="183">
        <f t="shared" si="16"/>
        <v>1500000000</v>
      </c>
      <c r="R101" s="183">
        <f t="shared" si="17"/>
        <v>1500000000</v>
      </c>
      <c r="S101" s="184" t="s">
        <v>223</v>
      </c>
      <c r="T101" s="180">
        <f t="shared" si="23"/>
        <v>0</v>
      </c>
      <c r="U101" s="185" t="str">
        <f t="shared" si="19"/>
        <v>SUBDIRECCION DE GESTION CONTRACTUAL</v>
      </c>
      <c r="V101" s="172" t="str">
        <f t="shared" si="24"/>
        <v>CO-DC</v>
      </c>
      <c r="W101" s="185" t="str">
        <f t="shared" si="25"/>
        <v>Distrito Capital de Bogotá</v>
      </c>
      <c r="X101" s="186" t="s">
        <v>69</v>
      </c>
      <c r="Y101" s="172">
        <v>2427401</v>
      </c>
      <c r="Z101" s="188" t="s">
        <v>70</v>
      </c>
    </row>
    <row r="102" spans="1:26" s="189" customFormat="1" ht="12.75" customHeight="1" x14ac:dyDescent="0.2">
      <c r="A102" s="171" t="s">
        <v>67</v>
      </c>
      <c r="B102" s="172">
        <v>7</v>
      </c>
      <c r="C102" s="173" t="s">
        <v>291</v>
      </c>
      <c r="D102" s="173" t="s">
        <v>71</v>
      </c>
      <c r="E102" s="174"/>
      <c r="F102" s="174">
        <v>100000000</v>
      </c>
      <c r="G102" s="174"/>
      <c r="H102" s="175" t="s">
        <v>801</v>
      </c>
      <c r="I102" s="176" t="s">
        <v>625</v>
      </c>
      <c r="J102" s="177">
        <v>2</v>
      </c>
      <c r="K102" s="178">
        <v>3</v>
      </c>
      <c r="L102" s="179">
        <v>9</v>
      </c>
      <c r="M102" s="172">
        <f t="shared" si="14"/>
        <v>1</v>
      </c>
      <c r="N102" s="180" t="s">
        <v>234</v>
      </c>
      <c r="O102" s="181" t="str">
        <f>IF(ISBLANK(N102),"",VLOOKUP(N102,[5]Parámetros!$G$2:$H$23,2,FALSE))</f>
        <v>Licitación pública</v>
      </c>
      <c r="P102" s="182">
        <f t="shared" si="22"/>
        <v>1</v>
      </c>
      <c r="Q102" s="183">
        <f t="shared" si="16"/>
        <v>100000000</v>
      </c>
      <c r="R102" s="183">
        <f t="shared" si="17"/>
        <v>100000000</v>
      </c>
      <c r="S102" s="184" t="s">
        <v>223</v>
      </c>
      <c r="T102" s="180">
        <f t="shared" si="23"/>
        <v>0</v>
      </c>
      <c r="U102" s="185" t="str">
        <f t="shared" si="19"/>
        <v>SUBDIRECCION DE GESTION CONTRACTUAL</v>
      </c>
      <c r="V102" s="172" t="str">
        <f t="shared" si="24"/>
        <v>CO-DC</v>
      </c>
      <c r="W102" s="185" t="str">
        <f t="shared" si="25"/>
        <v>Distrito Capital de Bogotá</v>
      </c>
      <c r="X102" s="186" t="s">
        <v>69</v>
      </c>
      <c r="Y102" s="172">
        <v>2427401</v>
      </c>
      <c r="Z102" s="188" t="s">
        <v>70</v>
      </c>
    </row>
    <row r="103" spans="1:26" s="189" customFormat="1" ht="12.75" customHeight="1" x14ac:dyDescent="0.2">
      <c r="A103" s="171" t="s">
        <v>67</v>
      </c>
      <c r="B103" s="172">
        <v>8</v>
      </c>
      <c r="C103" s="173" t="s">
        <v>292</v>
      </c>
      <c r="D103" s="173" t="s">
        <v>71</v>
      </c>
      <c r="E103" s="174"/>
      <c r="F103" s="174">
        <v>10000000000</v>
      </c>
      <c r="G103" s="174"/>
      <c r="H103" s="175">
        <v>80111600</v>
      </c>
      <c r="I103" s="176" t="s">
        <v>308</v>
      </c>
      <c r="J103" s="177">
        <v>1</v>
      </c>
      <c r="K103" s="178">
        <v>1</v>
      </c>
      <c r="L103" s="179">
        <v>12</v>
      </c>
      <c r="M103" s="172">
        <f t="shared" si="14"/>
        <v>1</v>
      </c>
      <c r="N103" s="180" t="s">
        <v>216</v>
      </c>
      <c r="O103" s="181" t="str">
        <f>IF(ISBLANK(N103),"",VLOOKUP(N103,[5]Parámetros!$G$2:$H$23,2,FALSE))</f>
        <v>Contratación directa.</v>
      </c>
      <c r="P103" s="182">
        <f t="shared" si="22"/>
        <v>1</v>
      </c>
      <c r="Q103" s="183">
        <f t="shared" si="16"/>
        <v>10000000000</v>
      </c>
      <c r="R103" s="183">
        <f t="shared" si="17"/>
        <v>10000000000</v>
      </c>
      <c r="S103" s="184" t="s">
        <v>223</v>
      </c>
      <c r="T103" s="180">
        <f t="shared" si="23"/>
        <v>0</v>
      </c>
      <c r="U103" s="185" t="str">
        <f t="shared" si="19"/>
        <v>SUBDIRECCION DE GESTION CONTRACTUAL</v>
      </c>
      <c r="V103" s="172" t="str">
        <f t="shared" si="24"/>
        <v>CO-DC</v>
      </c>
      <c r="W103" s="185" t="str">
        <f t="shared" si="25"/>
        <v>Distrito Capital de Bogotá</v>
      </c>
      <c r="X103" s="186" t="s">
        <v>69</v>
      </c>
      <c r="Y103" s="172">
        <v>2427401</v>
      </c>
      <c r="Z103" s="188" t="s">
        <v>70</v>
      </c>
    </row>
    <row r="104" spans="1:26" s="189" customFormat="1" ht="12.75" customHeight="1" x14ac:dyDescent="0.2">
      <c r="A104" s="171" t="s">
        <v>67</v>
      </c>
      <c r="B104" s="172">
        <v>9</v>
      </c>
      <c r="C104" s="173" t="s">
        <v>292</v>
      </c>
      <c r="D104" s="173" t="s">
        <v>71</v>
      </c>
      <c r="E104" s="174"/>
      <c r="F104" s="174">
        <v>1000000000</v>
      </c>
      <c r="G104" s="174"/>
      <c r="H104" s="175" t="s">
        <v>103</v>
      </c>
      <c r="I104" s="176" t="s">
        <v>633</v>
      </c>
      <c r="J104" s="177">
        <v>2</v>
      </c>
      <c r="K104" s="178">
        <v>3</v>
      </c>
      <c r="L104" s="179">
        <v>10</v>
      </c>
      <c r="M104" s="172">
        <f t="shared" si="14"/>
        <v>1</v>
      </c>
      <c r="N104" s="180" t="s">
        <v>36</v>
      </c>
      <c r="O104" s="181" t="str">
        <f>IF(ISBLANK(N104),"",VLOOKUP(N104,[1]Parámetros!$G$2:$H$23,2,FALSE))</f>
        <v xml:space="preserve">Contratación directa (con ofertas) </v>
      </c>
      <c r="P104" s="182">
        <f t="shared" si="22"/>
        <v>1</v>
      </c>
      <c r="Q104" s="183">
        <f t="shared" si="16"/>
        <v>1000000000</v>
      </c>
      <c r="R104" s="183">
        <f t="shared" si="17"/>
        <v>1000000000</v>
      </c>
      <c r="S104" s="184" t="s">
        <v>223</v>
      </c>
      <c r="T104" s="180">
        <f t="shared" si="23"/>
        <v>0</v>
      </c>
      <c r="U104" s="185" t="str">
        <f t="shared" si="19"/>
        <v>SUBDIRECCION DE GESTION CONTRACTUAL</v>
      </c>
      <c r="V104" s="172" t="str">
        <f t="shared" si="24"/>
        <v>CO-DC</v>
      </c>
      <c r="W104" s="185" t="str">
        <f t="shared" si="25"/>
        <v>Distrito Capital de Bogotá</v>
      </c>
      <c r="X104" s="186" t="s">
        <v>69</v>
      </c>
      <c r="Y104" s="172">
        <v>2427401</v>
      </c>
      <c r="Z104" s="188" t="s">
        <v>70</v>
      </c>
    </row>
    <row r="105" spans="1:26" s="189" customFormat="1" ht="12.75" customHeight="1" x14ac:dyDescent="0.2">
      <c r="A105" s="171" t="s">
        <v>67</v>
      </c>
      <c r="B105" s="172">
        <v>10</v>
      </c>
      <c r="C105" s="173" t="s">
        <v>292</v>
      </c>
      <c r="D105" s="173" t="s">
        <v>71</v>
      </c>
      <c r="E105" s="174"/>
      <c r="F105" s="174">
        <v>800000000</v>
      </c>
      <c r="G105" s="174"/>
      <c r="H105" s="175" t="s">
        <v>42</v>
      </c>
      <c r="I105" s="176" t="s">
        <v>630</v>
      </c>
      <c r="J105" s="177">
        <v>3</v>
      </c>
      <c r="K105" s="178">
        <v>4</v>
      </c>
      <c r="L105" s="179">
        <v>9</v>
      </c>
      <c r="M105" s="172">
        <f t="shared" si="14"/>
        <v>1</v>
      </c>
      <c r="N105" s="180" t="s">
        <v>61</v>
      </c>
      <c r="O105" s="181" t="str">
        <f>IF(ISBLANK(N105),"",VLOOKUP(N105,[5]Parámetros!$G$2:$H$23,2,FALSE))</f>
        <v>Contratación régimen especial - Selección de comisionista</v>
      </c>
      <c r="P105" s="182">
        <f t="shared" si="22"/>
        <v>1</v>
      </c>
      <c r="Q105" s="183">
        <f t="shared" si="16"/>
        <v>800000000</v>
      </c>
      <c r="R105" s="183">
        <f t="shared" si="17"/>
        <v>800000000</v>
      </c>
      <c r="S105" s="184" t="s">
        <v>223</v>
      </c>
      <c r="T105" s="180">
        <f t="shared" si="23"/>
        <v>0</v>
      </c>
      <c r="U105" s="185" t="str">
        <f t="shared" si="19"/>
        <v>SUBDIRECCION DE GESTION CONTRACTUAL</v>
      </c>
      <c r="V105" s="172" t="str">
        <f t="shared" si="24"/>
        <v>CO-DC</v>
      </c>
      <c r="W105" s="185" t="str">
        <f t="shared" si="25"/>
        <v>Distrito Capital de Bogotá</v>
      </c>
      <c r="X105" s="186" t="s">
        <v>69</v>
      </c>
      <c r="Y105" s="172">
        <v>2427401</v>
      </c>
      <c r="Z105" s="188" t="s">
        <v>70</v>
      </c>
    </row>
    <row r="106" spans="1:26" s="189" customFormat="1" ht="12.75" customHeight="1" x14ac:dyDescent="0.2">
      <c r="A106" s="171" t="s">
        <v>67</v>
      </c>
      <c r="B106" s="172">
        <v>11</v>
      </c>
      <c r="C106" s="173" t="s">
        <v>294</v>
      </c>
      <c r="D106" s="173" t="s">
        <v>71</v>
      </c>
      <c r="E106" s="174"/>
      <c r="F106" s="174">
        <v>500000000</v>
      </c>
      <c r="G106" s="174"/>
      <c r="H106" s="175" t="s">
        <v>801</v>
      </c>
      <c r="I106" s="176" t="s">
        <v>625</v>
      </c>
      <c r="J106" s="177">
        <v>2</v>
      </c>
      <c r="K106" s="178">
        <v>3</v>
      </c>
      <c r="L106" s="179">
        <v>9</v>
      </c>
      <c r="M106" s="172">
        <f t="shared" si="14"/>
        <v>1</v>
      </c>
      <c r="N106" s="180" t="s">
        <v>234</v>
      </c>
      <c r="O106" s="181" t="str">
        <f>IF(ISBLANK(N106),"",VLOOKUP(N106,[5]Parámetros!$G$2:$H$23,2,FALSE))</f>
        <v>Licitación pública</v>
      </c>
      <c r="P106" s="182">
        <f t="shared" si="22"/>
        <v>1</v>
      </c>
      <c r="Q106" s="183">
        <f t="shared" si="16"/>
        <v>500000000</v>
      </c>
      <c r="R106" s="183">
        <f t="shared" si="17"/>
        <v>500000000</v>
      </c>
      <c r="S106" s="184" t="s">
        <v>223</v>
      </c>
      <c r="T106" s="180">
        <f t="shared" si="23"/>
        <v>0</v>
      </c>
      <c r="U106" s="185" t="str">
        <f t="shared" si="19"/>
        <v>SUBDIRECCION DE GESTION CONTRACTUAL</v>
      </c>
      <c r="V106" s="172" t="str">
        <f t="shared" si="24"/>
        <v>CO-DC</v>
      </c>
      <c r="W106" s="185" t="str">
        <f t="shared" si="25"/>
        <v>Distrito Capital de Bogotá</v>
      </c>
      <c r="X106" s="186" t="s">
        <v>69</v>
      </c>
      <c r="Y106" s="172">
        <v>2427401</v>
      </c>
      <c r="Z106" s="188" t="s">
        <v>70</v>
      </c>
    </row>
    <row r="107" spans="1:26" s="189" customFormat="1" ht="12.75" customHeight="1" x14ac:dyDescent="0.2">
      <c r="A107" s="171" t="s">
        <v>67</v>
      </c>
      <c r="B107" s="172">
        <v>12</v>
      </c>
      <c r="C107" s="173" t="s">
        <v>295</v>
      </c>
      <c r="D107" s="173" t="s">
        <v>71</v>
      </c>
      <c r="E107" s="174"/>
      <c r="F107" s="174">
        <v>350000000</v>
      </c>
      <c r="G107" s="174"/>
      <c r="H107" s="175" t="s">
        <v>801</v>
      </c>
      <c r="I107" s="176" t="s">
        <v>625</v>
      </c>
      <c r="J107" s="177">
        <v>2</v>
      </c>
      <c r="K107" s="178">
        <v>3</v>
      </c>
      <c r="L107" s="179">
        <v>9</v>
      </c>
      <c r="M107" s="172">
        <f t="shared" si="14"/>
        <v>1</v>
      </c>
      <c r="N107" s="180" t="s">
        <v>234</v>
      </c>
      <c r="O107" s="181" t="str">
        <f>IF(ISBLANK(N107),"",VLOOKUP(N107,[5]Parámetros!$G$2:$H$23,2,FALSE))</f>
        <v>Licitación pública</v>
      </c>
      <c r="P107" s="182">
        <f t="shared" si="22"/>
        <v>1</v>
      </c>
      <c r="Q107" s="183">
        <f t="shared" si="16"/>
        <v>350000000</v>
      </c>
      <c r="R107" s="183">
        <f t="shared" si="17"/>
        <v>350000000</v>
      </c>
      <c r="S107" s="184" t="s">
        <v>223</v>
      </c>
      <c r="T107" s="180">
        <f t="shared" si="23"/>
        <v>0</v>
      </c>
      <c r="U107" s="185" t="str">
        <f t="shared" si="19"/>
        <v>SUBDIRECCION DE GESTION CONTRACTUAL</v>
      </c>
      <c r="V107" s="172" t="str">
        <f t="shared" si="24"/>
        <v>CO-DC</v>
      </c>
      <c r="W107" s="185" t="str">
        <f t="shared" si="25"/>
        <v>Distrito Capital de Bogotá</v>
      </c>
      <c r="X107" s="186" t="s">
        <v>69</v>
      </c>
      <c r="Y107" s="172">
        <v>2427401</v>
      </c>
      <c r="Z107" s="188" t="s">
        <v>70</v>
      </c>
    </row>
    <row r="108" spans="1:26" s="189" customFormat="1" ht="12.75" customHeight="1" x14ac:dyDescent="0.2">
      <c r="A108" s="171" t="s">
        <v>67</v>
      </c>
      <c r="B108" s="172">
        <v>13</v>
      </c>
      <c r="C108" s="173" t="s">
        <v>296</v>
      </c>
      <c r="D108" s="173" t="s">
        <v>71</v>
      </c>
      <c r="E108" s="174"/>
      <c r="F108" s="174">
        <v>800000000</v>
      </c>
      <c r="G108" s="174"/>
      <c r="H108" s="175" t="s">
        <v>801</v>
      </c>
      <c r="I108" s="176" t="s">
        <v>625</v>
      </c>
      <c r="J108" s="177">
        <v>2</v>
      </c>
      <c r="K108" s="178">
        <v>3</v>
      </c>
      <c r="L108" s="179">
        <v>9</v>
      </c>
      <c r="M108" s="172">
        <f t="shared" si="14"/>
        <v>1</v>
      </c>
      <c r="N108" s="180" t="s">
        <v>234</v>
      </c>
      <c r="O108" s="181" t="str">
        <f>IF(ISBLANK(N108),"",VLOOKUP(N108,[5]Parámetros!$G$2:$H$23,2,FALSE))</f>
        <v>Licitación pública</v>
      </c>
      <c r="P108" s="182">
        <f t="shared" si="22"/>
        <v>1</v>
      </c>
      <c r="Q108" s="183">
        <f t="shared" si="16"/>
        <v>800000000</v>
      </c>
      <c r="R108" s="183">
        <f t="shared" si="17"/>
        <v>800000000</v>
      </c>
      <c r="S108" s="184" t="s">
        <v>223</v>
      </c>
      <c r="T108" s="180">
        <f t="shared" si="23"/>
        <v>0</v>
      </c>
      <c r="U108" s="185" t="str">
        <f t="shared" si="19"/>
        <v>SUBDIRECCION DE GESTION CONTRACTUAL</v>
      </c>
      <c r="V108" s="172" t="str">
        <f t="shared" si="24"/>
        <v>CO-DC</v>
      </c>
      <c r="W108" s="185" t="str">
        <f t="shared" si="25"/>
        <v>Distrito Capital de Bogotá</v>
      </c>
      <c r="X108" s="186" t="s">
        <v>69</v>
      </c>
      <c r="Y108" s="172">
        <v>2427401</v>
      </c>
      <c r="Z108" s="188" t="s">
        <v>70</v>
      </c>
    </row>
    <row r="109" spans="1:26" s="189" customFormat="1" ht="12.75" customHeight="1" x14ac:dyDescent="0.2">
      <c r="A109" s="171" t="s">
        <v>67</v>
      </c>
      <c r="B109" s="172">
        <v>14</v>
      </c>
      <c r="C109" s="173" t="s">
        <v>297</v>
      </c>
      <c r="D109" s="173" t="s">
        <v>71</v>
      </c>
      <c r="E109" s="174"/>
      <c r="F109" s="174">
        <v>200000000</v>
      </c>
      <c r="G109" s="174"/>
      <c r="H109" s="175" t="s">
        <v>801</v>
      </c>
      <c r="I109" s="176" t="s">
        <v>625</v>
      </c>
      <c r="J109" s="177">
        <v>2</v>
      </c>
      <c r="K109" s="178">
        <v>3</v>
      </c>
      <c r="L109" s="179">
        <v>9</v>
      </c>
      <c r="M109" s="172">
        <f t="shared" si="14"/>
        <v>1</v>
      </c>
      <c r="N109" s="180" t="s">
        <v>234</v>
      </c>
      <c r="O109" s="181" t="str">
        <f>IF(ISBLANK(N109),"",VLOOKUP(N109,[5]Parámetros!$G$2:$H$23,2,FALSE))</f>
        <v>Licitación pública</v>
      </c>
      <c r="P109" s="182">
        <f t="shared" si="22"/>
        <v>1</v>
      </c>
      <c r="Q109" s="183">
        <f t="shared" si="16"/>
        <v>200000000</v>
      </c>
      <c r="R109" s="183">
        <f t="shared" si="17"/>
        <v>200000000</v>
      </c>
      <c r="S109" s="184" t="s">
        <v>223</v>
      </c>
      <c r="T109" s="180">
        <f t="shared" si="23"/>
        <v>0</v>
      </c>
      <c r="U109" s="185" t="str">
        <f t="shared" si="19"/>
        <v>SUBDIRECCION DE GESTION CONTRACTUAL</v>
      </c>
      <c r="V109" s="172" t="str">
        <f t="shared" si="24"/>
        <v>CO-DC</v>
      </c>
      <c r="W109" s="185" t="str">
        <f t="shared" si="25"/>
        <v>Distrito Capital de Bogotá</v>
      </c>
      <c r="X109" s="186" t="s">
        <v>69</v>
      </c>
      <c r="Y109" s="172">
        <v>2427401</v>
      </c>
      <c r="Z109" s="188" t="s">
        <v>70</v>
      </c>
    </row>
    <row r="110" spans="1:26" s="189" customFormat="1" ht="12.75" customHeight="1" x14ac:dyDescent="0.2">
      <c r="A110" s="171" t="s">
        <v>67</v>
      </c>
      <c r="B110" s="172">
        <v>15</v>
      </c>
      <c r="C110" s="173" t="s">
        <v>298</v>
      </c>
      <c r="D110" s="173" t="s">
        <v>71</v>
      </c>
      <c r="E110" s="174"/>
      <c r="F110" s="174">
        <v>200000000</v>
      </c>
      <c r="G110" s="174"/>
      <c r="H110" s="175" t="s">
        <v>801</v>
      </c>
      <c r="I110" s="176" t="s">
        <v>625</v>
      </c>
      <c r="J110" s="177">
        <v>2</v>
      </c>
      <c r="K110" s="178">
        <v>3</v>
      </c>
      <c r="L110" s="179">
        <v>9</v>
      </c>
      <c r="M110" s="172">
        <f t="shared" si="14"/>
        <v>1</v>
      </c>
      <c r="N110" s="180" t="s">
        <v>234</v>
      </c>
      <c r="O110" s="181" t="str">
        <f>IF(ISBLANK(N110),"",VLOOKUP(N110,[5]Parámetros!$G$2:$H$23,2,FALSE))</f>
        <v>Licitación pública</v>
      </c>
      <c r="P110" s="182">
        <f t="shared" si="22"/>
        <v>1</v>
      </c>
      <c r="Q110" s="183">
        <f t="shared" si="16"/>
        <v>200000000</v>
      </c>
      <c r="R110" s="183">
        <f t="shared" si="17"/>
        <v>200000000</v>
      </c>
      <c r="S110" s="184" t="s">
        <v>223</v>
      </c>
      <c r="T110" s="180">
        <f t="shared" si="23"/>
        <v>0</v>
      </c>
      <c r="U110" s="185" t="str">
        <f t="shared" si="19"/>
        <v>SUBDIRECCION DE GESTION CONTRACTUAL</v>
      </c>
      <c r="V110" s="172" t="str">
        <f t="shared" si="24"/>
        <v>CO-DC</v>
      </c>
      <c r="W110" s="185" t="str">
        <f t="shared" si="25"/>
        <v>Distrito Capital de Bogotá</v>
      </c>
      <c r="X110" s="186" t="s">
        <v>69</v>
      </c>
      <c r="Y110" s="172">
        <v>2427401</v>
      </c>
      <c r="Z110" s="188" t="s">
        <v>70</v>
      </c>
    </row>
    <row r="111" spans="1:26" s="189" customFormat="1" ht="12.75" customHeight="1" x14ac:dyDescent="0.2">
      <c r="A111" s="171" t="s">
        <v>67</v>
      </c>
      <c r="B111" s="172">
        <v>16</v>
      </c>
      <c r="C111" s="173" t="s">
        <v>299</v>
      </c>
      <c r="D111" s="173" t="s">
        <v>71</v>
      </c>
      <c r="E111" s="174"/>
      <c r="F111" s="174">
        <v>500000000</v>
      </c>
      <c r="G111" s="174"/>
      <c r="H111" s="175" t="s">
        <v>801</v>
      </c>
      <c r="I111" s="176" t="s">
        <v>625</v>
      </c>
      <c r="J111" s="177">
        <v>2</v>
      </c>
      <c r="K111" s="178">
        <v>3</v>
      </c>
      <c r="L111" s="179">
        <v>9</v>
      </c>
      <c r="M111" s="172">
        <f t="shared" si="14"/>
        <v>1</v>
      </c>
      <c r="N111" s="180" t="s">
        <v>234</v>
      </c>
      <c r="O111" s="181" t="str">
        <f>IF(ISBLANK(N111),"",VLOOKUP(N111,[5]Parámetros!$G$2:$H$23,2,FALSE))</f>
        <v>Licitación pública</v>
      </c>
      <c r="P111" s="182">
        <f t="shared" si="22"/>
        <v>1</v>
      </c>
      <c r="Q111" s="183">
        <f t="shared" si="16"/>
        <v>500000000</v>
      </c>
      <c r="R111" s="183">
        <f t="shared" si="17"/>
        <v>500000000</v>
      </c>
      <c r="S111" s="184" t="s">
        <v>223</v>
      </c>
      <c r="T111" s="180">
        <f t="shared" si="23"/>
        <v>0</v>
      </c>
      <c r="U111" s="185" t="str">
        <f t="shared" si="19"/>
        <v>SUBDIRECCION DE GESTION CONTRACTUAL</v>
      </c>
      <c r="V111" s="172" t="str">
        <f t="shared" si="24"/>
        <v>CO-DC</v>
      </c>
      <c r="W111" s="185" t="str">
        <f t="shared" si="25"/>
        <v>Distrito Capital de Bogotá</v>
      </c>
      <c r="X111" s="186" t="s">
        <v>69</v>
      </c>
      <c r="Y111" s="172">
        <v>2427401</v>
      </c>
      <c r="Z111" s="188" t="s">
        <v>70</v>
      </c>
    </row>
    <row r="112" spans="1:26" s="189" customFormat="1" ht="12.75" customHeight="1" x14ac:dyDescent="0.2">
      <c r="A112" s="171" t="s">
        <v>67</v>
      </c>
      <c r="B112" s="172">
        <v>17</v>
      </c>
      <c r="C112" s="173" t="s">
        <v>286</v>
      </c>
      <c r="D112" s="173" t="s">
        <v>300</v>
      </c>
      <c r="E112" s="174"/>
      <c r="F112" s="174">
        <v>8562300000</v>
      </c>
      <c r="G112" s="174"/>
      <c r="H112" s="175" t="s">
        <v>68</v>
      </c>
      <c r="I112" s="176" t="s">
        <v>307</v>
      </c>
      <c r="J112" s="177">
        <v>3</v>
      </c>
      <c r="K112" s="178">
        <v>4</v>
      </c>
      <c r="L112" s="179">
        <v>8</v>
      </c>
      <c r="M112" s="172">
        <f t="shared" si="14"/>
        <v>1</v>
      </c>
      <c r="N112" s="180" t="s">
        <v>36</v>
      </c>
      <c r="O112" s="181" t="str">
        <f>IF(ISBLANK(N112),"",VLOOKUP(N112,[5]Parámetros!$G$2:$H$23,2,FALSE))</f>
        <v xml:space="preserve">Contratación directa (con ofertas) </v>
      </c>
      <c r="P112" s="182">
        <f t="shared" si="22"/>
        <v>1</v>
      </c>
      <c r="Q112" s="183">
        <f t="shared" si="16"/>
        <v>8562300000</v>
      </c>
      <c r="R112" s="183">
        <f t="shared" si="17"/>
        <v>8562300000</v>
      </c>
      <c r="S112" s="184" t="s">
        <v>223</v>
      </c>
      <c r="T112" s="180">
        <f t="shared" si="23"/>
        <v>0</v>
      </c>
      <c r="U112" s="185" t="str">
        <f t="shared" si="19"/>
        <v>SUBDIRECCION DE GESTION CONTRACTUAL</v>
      </c>
      <c r="V112" s="172" t="str">
        <f t="shared" si="24"/>
        <v>CO-DC</v>
      </c>
      <c r="W112" s="185" t="str">
        <f t="shared" si="25"/>
        <v>Distrito Capital de Bogotá</v>
      </c>
      <c r="X112" s="186" t="s">
        <v>69</v>
      </c>
      <c r="Y112" s="172">
        <v>2427401</v>
      </c>
      <c r="Z112" s="188" t="s">
        <v>70</v>
      </c>
    </row>
    <row r="113" spans="1:26" s="189" customFormat="1" ht="12.75" customHeight="1" x14ac:dyDescent="0.2">
      <c r="A113" s="171" t="s">
        <v>67</v>
      </c>
      <c r="B113" s="172">
        <v>18</v>
      </c>
      <c r="C113" s="173" t="s">
        <v>301</v>
      </c>
      <c r="D113" s="173" t="s">
        <v>302</v>
      </c>
      <c r="E113" s="174"/>
      <c r="F113" s="174">
        <v>7011100000</v>
      </c>
      <c r="G113" s="174"/>
      <c r="H113" s="175" t="s">
        <v>68</v>
      </c>
      <c r="I113" s="176" t="s">
        <v>309</v>
      </c>
      <c r="J113" s="177">
        <v>3</v>
      </c>
      <c r="K113" s="178">
        <v>4</v>
      </c>
      <c r="L113" s="179">
        <v>8</v>
      </c>
      <c r="M113" s="172">
        <f t="shared" si="14"/>
        <v>1</v>
      </c>
      <c r="N113" s="180" t="s">
        <v>36</v>
      </c>
      <c r="O113" s="181" t="str">
        <f>IF(ISBLANK(N113),"",VLOOKUP(N113,[5]Parámetros!$G$2:$H$23,2,FALSE))</f>
        <v xml:space="preserve">Contratación directa (con ofertas) </v>
      </c>
      <c r="P113" s="182">
        <f t="shared" si="22"/>
        <v>1</v>
      </c>
      <c r="Q113" s="183">
        <f t="shared" si="16"/>
        <v>7011100000</v>
      </c>
      <c r="R113" s="183">
        <f t="shared" si="17"/>
        <v>7011100000</v>
      </c>
      <c r="S113" s="184" t="s">
        <v>223</v>
      </c>
      <c r="T113" s="180">
        <f t="shared" si="23"/>
        <v>0</v>
      </c>
      <c r="U113" s="185" t="str">
        <f t="shared" si="19"/>
        <v>SUBDIRECCION DE GESTION CONTRACTUAL</v>
      </c>
      <c r="V113" s="172" t="str">
        <f t="shared" si="24"/>
        <v>CO-DC</v>
      </c>
      <c r="W113" s="185" t="str">
        <f t="shared" si="25"/>
        <v>Distrito Capital de Bogotá</v>
      </c>
      <c r="X113" s="186" t="s">
        <v>69</v>
      </c>
      <c r="Y113" s="172">
        <v>2427401</v>
      </c>
      <c r="Z113" s="188" t="s">
        <v>70</v>
      </c>
    </row>
    <row r="114" spans="1:26" s="189" customFormat="1" ht="12.75" customHeight="1" x14ac:dyDescent="0.2">
      <c r="A114" s="171" t="s">
        <v>67</v>
      </c>
      <c r="B114" s="172">
        <v>19</v>
      </c>
      <c r="C114" s="173" t="s">
        <v>286</v>
      </c>
      <c r="D114" s="173" t="s">
        <v>310</v>
      </c>
      <c r="E114" s="174"/>
      <c r="F114" s="174">
        <v>7950000000</v>
      </c>
      <c r="G114" s="174"/>
      <c r="H114" s="175" t="s">
        <v>68</v>
      </c>
      <c r="I114" s="176" t="s">
        <v>307</v>
      </c>
      <c r="J114" s="177">
        <v>3</v>
      </c>
      <c r="K114" s="178">
        <v>4</v>
      </c>
      <c r="L114" s="179">
        <v>8</v>
      </c>
      <c r="M114" s="172">
        <f t="shared" si="14"/>
        <v>1</v>
      </c>
      <c r="N114" s="180" t="s">
        <v>36</v>
      </c>
      <c r="O114" s="181" t="str">
        <f>IF(ISBLANK(N114),"",VLOOKUP(N114,[5]Parámetros!$G$2:$H$23,2,FALSE))</f>
        <v xml:space="preserve">Contratación directa (con ofertas) </v>
      </c>
      <c r="P114" s="182">
        <f t="shared" si="22"/>
        <v>1</v>
      </c>
      <c r="Q114" s="183">
        <f t="shared" si="16"/>
        <v>7950000000</v>
      </c>
      <c r="R114" s="183">
        <f t="shared" si="17"/>
        <v>7950000000</v>
      </c>
      <c r="S114" s="184" t="s">
        <v>223</v>
      </c>
      <c r="T114" s="180">
        <f t="shared" si="23"/>
        <v>0</v>
      </c>
      <c r="U114" s="185" t="str">
        <f t="shared" si="19"/>
        <v>SUBDIRECCION DE GESTION CONTRACTUAL</v>
      </c>
      <c r="V114" s="172" t="str">
        <f t="shared" si="24"/>
        <v>CO-DC</v>
      </c>
      <c r="W114" s="185" t="str">
        <f t="shared" si="25"/>
        <v>Distrito Capital de Bogotá</v>
      </c>
      <c r="X114" s="186" t="s">
        <v>69</v>
      </c>
      <c r="Y114" s="172">
        <v>2427401</v>
      </c>
      <c r="Z114" s="188" t="s">
        <v>70</v>
      </c>
    </row>
    <row r="115" spans="1:26" s="189" customFormat="1" ht="12.75" customHeight="1" x14ac:dyDescent="0.2">
      <c r="A115" s="171" t="s">
        <v>67</v>
      </c>
      <c r="B115" s="172">
        <v>20</v>
      </c>
      <c r="C115" s="173" t="s">
        <v>287</v>
      </c>
      <c r="D115" s="173" t="s">
        <v>310</v>
      </c>
      <c r="E115" s="174"/>
      <c r="F115" s="174">
        <v>4750000000</v>
      </c>
      <c r="G115" s="174"/>
      <c r="H115" s="175" t="s">
        <v>68</v>
      </c>
      <c r="I115" s="176" t="s">
        <v>307</v>
      </c>
      <c r="J115" s="177">
        <v>3</v>
      </c>
      <c r="K115" s="178">
        <v>4</v>
      </c>
      <c r="L115" s="179">
        <v>8</v>
      </c>
      <c r="M115" s="172">
        <f t="shared" si="14"/>
        <v>1</v>
      </c>
      <c r="N115" s="180" t="s">
        <v>36</v>
      </c>
      <c r="O115" s="181" t="str">
        <f>IF(ISBLANK(N115),"",VLOOKUP(N115,[5]Parámetros!$G$2:$H$23,2,FALSE))</f>
        <v xml:space="preserve">Contratación directa (con ofertas) </v>
      </c>
      <c r="P115" s="182">
        <f t="shared" si="22"/>
        <v>1</v>
      </c>
      <c r="Q115" s="183">
        <f t="shared" si="16"/>
        <v>4750000000</v>
      </c>
      <c r="R115" s="183">
        <f t="shared" si="17"/>
        <v>4750000000</v>
      </c>
      <c r="S115" s="184" t="s">
        <v>223</v>
      </c>
      <c r="T115" s="180">
        <f t="shared" si="23"/>
        <v>0</v>
      </c>
      <c r="U115" s="185" t="str">
        <f t="shared" si="19"/>
        <v>SUBDIRECCION DE GESTION CONTRACTUAL</v>
      </c>
      <c r="V115" s="172" t="str">
        <f t="shared" si="24"/>
        <v>CO-DC</v>
      </c>
      <c r="W115" s="185" t="str">
        <f t="shared" si="25"/>
        <v>Distrito Capital de Bogotá</v>
      </c>
      <c r="X115" s="186" t="s">
        <v>69</v>
      </c>
      <c r="Y115" s="172">
        <v>2427401</v>
      </c>
      <c r="Z115" s="188" t="s">
        <v>70</v>
      </c>
    </row>
    <row r="116" spans="1:26" s="189" customFormat="1" ht="12.75" customHeight="1" x14ac:dyDescent="0.2">
      <c r="A116" s="171" t="s">
        <v>67</v>
      </c>
      <c r="B116" s="172">
        <v>21</v>
      </c>
      <c r="C116" s="173" t="s">
        <v>288</v>
      </c>
      <c r="D116" s="173" t="s">
        <v>311</v>
      </c>
      <c r="E116" s="174"/>
      <c r="F116" s="174">
        <v>800000000</v>
      </c>
      <c r="G116" s="174"/>
      <c r="H116" s="175" t="s">
        <v>801</v>
      </c>
      <c r="I116" s="176" t="s">
        <v>625</v>
      </c>
      <c r="J116" s="177">
        <v>2</v>
      </c>
      <c r="K116" s="178">
        <v>3</v>
      </c>
      <c r="L116" s="179">
        <v>9</v>
      </c>
      <c r="M116" s="172">
        <f t="shared" si="14"/>
        <v>1</v>
      </c>
      <c r="N116" s="180" t="s">
        <v>234</v>
      </c>
      <c r="O116" s="181" t="str">
        <f>IF(ISBLANK(N116),"",VLOOKUP(N116,[5]Parámetros!$G$2:$H$23,2,FALSE))</f>
        <v>Licitación pública</v>
      </c>
      <c r="P116" s="182">
        <f t="shared" si="22"/>
        <v>1</v>
      </c>
      <c r="Q116" s="183">
        <f t="shared" si="16"/>
        <v>800000000</v>
      </c>
      <c r="R116" s="183">
        <f t="shared" si="17"/>
        <v>800000000</v>
      </c>
      <c r="S116" s="184" t="s">
        <v>223</v>
      </c>
      <c r="T116" s="180">
        <f t="shared" si="23"/>
        <v>0</v>
      </c>
      <c r="U116" s="185" t="str">
        <f t="shared" si="19"/>
        <v>SUBDIRECCION DE GESTION CONTRACTUAL</v>
      </c>
      <c r="V116" s="172" t="str">
        <f t="shared" si="24"/>
        <v>CO-DC</v>
      </c>
      <c r="W116" s="185" t="str">
        <f t="shared" si="25"/>
        <v>Distrito Capital de Bogotá</v>
      </c>
      <c r="X116" s="186" t="s">
        <v>69</v>
      </c>
      <c r="Y116" s="172">
        <v>2427401</v>
      </c>
      <c r="Z116" s="188" t="s">
        <v>70</v>
      </c>
    </row>
    <row r="117" spans="1:26" s="189" customFormat="1" ht="12.75" customHeight="1" x14ac:dyDescent="0.2">
      <c r="A117" s="171" t="s">
        <v>67</v>
      </c>
      <c r="B117" s="172">
        <v>22</v>
      </c>
      <c r="C117" s="173" t="s">
        <v>303</v>
      </c>
      <c r="D117" s="173" t="s">
        <v>310</v>
      </c>
      <c r="E117" s="174"/>
      <c r="F117" s="174">
        <v>25000000000</v>
      </c>
      <c r="G117" s="174"/>
      <c r="H117" s="175" t="s">
        <v>68</v>
      </c>
      <c r="I117" s="176" t="s">
        <v>312</v>
      </c>
      <c r="J117" s="177">
        <v>3</v>
      </c>
      <c r="K117" s="178">
        <v>4</v>
      </c>
      <c r="L117" s="179">
        <v>8</v>
      </c>
      <c r="M117" s="172">
        <f t="shared" si="14"/>
        <v>1</v>
      </c>
      <c r="N117" s="180" t="s">
        <v>36</v>
      </c>
      <c r="O117" s="181" t="str">
        <f>IF(ISBLANK(N117),"",VLOOKUP(N117,[5]Parámetros!$G$2:$H$23,2,FALSE))</f>
        <v xml:space="preserve">Contratación directa (con ofertas) </v>
      </c>
      <c r="P117" s="182">
        <f t="shared" si="22"/>
        <v>1</v>
      </c>
      <c r="Q117" s="183">
        <f t="shared" si="16"/>
        <v>25000000000</v>
      </c>
      <c r="R117" s="183">
        <f t="shared" si="17"/>
        <v>25000000000</v>
      </c>
      <c r="S117" s="184" t="s">
        <v>223</v>
      </c>
      <c r="T117" s="180">
        <f t="shared" si="23"/>
        <v>0</v>
      </c>
      <c r="U117" s="185" t="str">
        <f t="shared" si="19"/>
        <v>SUBDIRECCION DE GESTION CONTRACTUAL</v>
      </c>
      <c r="V117" s="172" t="str">
        <f t="shared" si="24"/>
        <v>CO-DC</v>
      </c>
      <c r="W117" s="185" t="str">
        <f t="shared" si="25"/>
        <v>Distrito Capital de Bogotá</v>
      </c>
      <c r="X117" s="186" t="s">
        <v>69</v>
      </c>
      <c r="Y117" s="172">
        <v>2427401</v>
      </c>
      <c r="Z117" s="188" t="s">
        <v>70</v>
      </c>
    </row>
    <row r="118" spans="1:26" s="189" customFormat="1" ht="12.75" customHeight="1" x14ac:dyDescent="0.2">
      <c r="A118" s="171" t="s">
        <v>67</v>
      </c>
      <c r="B118" s="172">
        <v>23</v>
      </c>
      <c r="C118" s="173" t="s">
        <v>76</v>
      </c>
      <c r="D118" s="173" t="s">
        <v>310</v>
      </c>
      <c r="E118" s="174"/>
      <c r="F118" s="174">
        <v>8000000000</v>
      </c>
      <c r="G118" s="174"/>
      <c r="H118" s="175" t="s">
        <v>801</v>
      </c>
      <c r="I118" s="176" t="s">
        <v>625</v>
      </c>
      <c r="J118" s="177">
        <v>2</v>
      </c>
      <c r="K118" s="178">
        <v>3</v>
      </c>
      <c r="L118" s="179">
        <v>9</v>
      </c>
      <c r="M118" s="172">
        <f t="shared" si="14"/>
        <v>1</v>
      </c>
      <c r="N118" s="180" t="s">
        <v>234</v>
      </c>
      <c r="O118" s="181" t="str">
        <f>IF(ISBLANK(N118),"",VLOOKUP(N118,[5]Parámetros!$G$2:$H$23,2,FALSE))</f>
        <v>Licitación pública</v>
      </c>
      <c r="P118" s="182">
        <f t="shared" si="22"/>
        <v>1</v>
      </c>
      <c r="Q118" s="183">
        <f t="shared" si="16"/>
        <v>8000000000</v>
      </c>
      <c r="R118" s="183">
        <f t="shared" si="17"/>
        <v>8000000000</v>
      </c>
      <c r="S118" s="184" t="s">
        <v>223</v>
      </c>
      <c r="T118" s="180">
        <f t="shared" si="23"/>
        <v>0</v>
      </c>
      <c r="U118" s="185" t="str">
        <f t="shared" si="19"/>
        <v>SUBDIRECCION DE GESTION CONTRACTUAL</v>
      </c>
      <c r="V118" s="172" t="str">
        <f t="shared" si="24"/>
        <v>CO-DC</v>
      </c>
      <c r="W118" s="185" t="str">
        <f t="shared" si="25"/>
        <v>Distrito Capital de Bogotá</v>
      </c>
      <c r="X118" s="186" t="s">
        <v>69</v>
      </c>
      <c r="Y118" s="172">
        <v>2427401</v>
      </c>
      <c r="Z118" s="188" t="s">
        <v>70</v>
      </c>
    </row>
    <row r="119" spans="1:26" s="189" customFormat="1" ht="12.75" customHeight="1" x14ac:dyDescent="0.2">
      <c r="A119" s="171" t="s">
        <v>67</v>
      </c>
      <c r="B119" s="172">
        <v>24</v>
      </c>
      <c r="C119" s="173" t="s">
        <v>304</v>
      </c>
      <c r="D119" s="173" t="s">
        <v>79</v>
      </c>
      <c r="E119" s="174"/>
      <c r="F119" s="174">
        <v>40500000000</v>
      </c>
      <c r="G119" s="174"/>
      <c r="H119" s="175" t="s">
        <v>68</v>
      </c>
      <c r="I119" s="176" t="s">
        <v>313</v>
      </c>
      <c r="J119" s="177">
        <v>3</v>
      </c>
      <c r="K119" s="178">
        <v>4</v>
      </c>
      <c r="L119" s="179">
        <v>8</v>
      </c>
      <c r="M119" s="172">
        <f t="shared" si="14"/>
        <v>1</v>
      </c>
      <c r="N119" s="180" t="s">
        <v>36</v>
      </c>
      <c r="O119" s="181" t="str">
        <f>IF(ISBLANK(N119),"",VLOOKUP(N119,[5]Parámetros!$G$2:$H$23,2,FALSE))</f>
        <v xml:space="preserve">Contratación directa (con ofertas) </v>
      </c>
      <c r="P119" s="182">
        <f t="shared" si="22"/>
        <v>1</v>
      </c>
      <c r="Q119" s="183">
        <f t="shared" si="16"/>
        <v>40500000000</v>
      </c>
      <c r="R119" s="183">
        <f t="shared" si="17"/>
        <v>40500000000</v>
      </c>
      <c r="S119" s="184" t="s">
        <v>223</v>
      </c>
      <c r="T119" s="180">
        <f t="shared" si="23"/>
        <v>0</v>
      </c>
      <c r="U119" s="185" t="str">
        <f t="shared" si="19"/>
        <v>SUBDIRECCION DE GESTION CONTRACTUAL</v>
      </c>
      <c r="V119" s="172" t="str">
        <f t="shared" si="24"/>
        <v>CO-DC</v>
      </c>
      <c r="W119" s="185" t="str">
        <f t="shared" si="25"/>
        <v>Distrito Capital de Bogotá</v>
      </c>
      <c r="X119" s="186" t="s">
        <v>69</v>
      </c>
      <c r="Y119" s="172">
        <v>2427401</v>
      </c>
      <c r="Z119" s="188" t="s">
        <v>70</v>
      </c>
    </row>
    <row r="120" spans="1:26" s="189" customFormat="1" ht="12.75" customHeight="1" x14ac:dyDescent="0.2">
      <c r="A120" s="171" t="s">
        <v>67</v>
      </c>
      <c r="B120" s="172">
        <v>25</v>
      </c>
      <c r="C120" s="173" t="s">
        <v>305</v>
      </c>
      <c r="D120" s="173" t="s">
        <v>314</v>
      </c>
      <c r="E120" s="174"/>
      <c r="F120" s="174">
        <v>20000000000</v>
      </c>
      <c r="G120" s="174"/>
      <c r="H120" s="175" t="s">
        <v>68</v>
      </c>
      <c r="I120" s="176" t="s">
        <v>315</v>
      </c>
      <c r="J120" s="177">
        <v>3</v>
      </c>
      <c r="K120" s="178">
        <v>4</v>
      </c>
      <c r="L120" s="179">
        <v>8</v>
      </c>
      <c r="M120" s="172">
        <f t="shared" si="14"/>
        <v>1</v>
      </c>
      <c r="N120" s="180" t="s">
        <v>36</v>
      </c>
      <c r="O120" s="181" t="str">
        <f>IF(ISBLANK(N120),"",VLOOKUP(N120,[5]Parámetros!$G$2:$H$23,2,FALSE))</f>
        <v xml:space="preserve">Contratación directa (con ofertas) </v>
      </c>
      <c r="P120" s="182">
        <f t="shared" si="22"/>
        <v>1</v>
      </c>
      <c r="Q120" s="183">
        <f t="shared" si="16"/>
        <v>20000000000</v>
      </c>
      <c r="R120" s="183">
        <f t="shared" si="17"/>
        <v>20000000000</v>
      </c>
      <c r="S120" s="184" t="s">
        <v>223</v>
      </c>
      <c r="T120" s="180">
        <f t="shared" si="23"/>
        <v>0</v>
      </c>
      <c r="U120" s="185" t="str">
        <f t="shared" si="19"/>
        <v>SUBDIRECCION DE GESTION CONTRACTUAL</v>
      </c>
      <c r="V120" s="172" t="str">
        <f t="shared" si="24"/>
        <v>CO-DC</v>
      </c>
      <c r="W120" s="185" t="str">
        <f t="shared" si="25"/>
        <v>Distrito Capital de Bogotá</v>
      </c>
      <c r="X120" s="186" t="s">
        <v>69</v>
      </c>
      <c r="Y120" s="172">
        <v>2427401</v>
      </c>
      <c r="Z120" s="188" t="s">
        <v>70</v>
      </c>
    </row>
    <row r="121" spans="1:26" s="189" customFormat="1" ht="12.75" customHeight="1" x14ac:dyDescent="0.2">
      <c r="A121" s="171" t="s">
        <v>67</v>
      </c>
      <c r="B121" s="172">
        <v>26</v>
      </c>
      <c r="C121" s="173" t="s">
        <v>290</v>
      </c>
      <c r="D121" s="173" t="s">
        <v>71</v>
      </c>
      <c r="E121" s="174"/>
      <c r="F121" s="174">
        <f>7796660558-1500000000</f>
        <v>6296660558</v>
      </c>
      <c r="G121" s="174"/>
      <c r="H121" s="175" t="s">
        <v>801</v>
      </c>
      <c r="I121" s="176" t="s">
        <v>625</v>
      </c>
      <c r="J121" s="177">
        <v>2</v>
      </c>
      <c r="K121" s="178">
        <v>3</v>
      </c>
      <c r="L121" s="179">
        <v>9</v>
      </c>
      <c r="M121" s="172">
        <f t="shared" si="14"/>
        <v>1</v>
      </c>
      <c r="N121" s="180" t="s">
        <v>234</v>
      </c>
      <c r="O121" s="181" t="str">
        <f>IF(ISBLANK(N121),"",VLOOKUP(N121,[5]Parámetros!$G$2:$H$23,2,FALSE))</f>
        <v>Licitación pública</v>
      </c>
      <c r="P121" s="182">
        <f t="shared" si="22"/>
        <v>1</v>
      </c>
      <c r="Q121" s="183">
        <f t="shared" si="16"/>
        <v>6296660558</v>
      </c>
      <c r="R121" s="183">
        <f t="shared" si="17"/>
        <v>6296660558</v>
      </c>
      <c r="S121" s="184" t="s">
        <v>223</v>
      </c>
      <c r="T121" s="180">
        <f t="shared" si="23"/>
        <v>0</v>
      </c>
      <c r="U121" s="185" t="str">
        <f t="shared" si="19"/>
        <v>SUBDIRECCION DE GESTION CONTRACTUAL</v>
      </c>
      <c r="V121" s="172" t="str">
        <f t="shared" si="24"/>
        <v>CO-DC</v>
      </c>
      <c r="W121" s="185" t="str">
        <f t="shared" si="25"/>
        <v>Distrito Capital de Bogotá</v>
      </c>
      <c r="X121" s="186" t="s">
        <v>69</v>
      </c>
      <c r="Y121" s="172">
        <v>2427401</v>
      </c>
      <c r="Z121" s="188" t="s">
        <v>70</v>
      </c>
    </row>
    <row r="122" spans="1:26" s="189" customFormat="1" ht="12.75" customHeight="1" x14ac:dyDescent="0.2">
      <c r="A122" s="171" t="s">
        <v>316</v>
      </c>
      <c r="B122" s="172">
        <v>1</v>
      </c>
      <c r="C122" s="173" t="s">
        <v>317</v>
      </c>
      <c r="D122" s="173" t="s">
        <v>318</v>
      </c>
      <c r="E122" s="174"/>
      <c r="F122" s="174">
        <v>1612449178.0000002</v>
      </c>
      <c r="G122" s="174"/>
      <c r="H122" s="175">
        <v>80111600</v>
      </c>
      <c r="I122" s="176" t="s">
        <v>319</v>
      </c>
      <c r="J122" s="177">
        <v>1</v>
      </c>
      <c r="K122" s="178">
        <v>1</v>
      </c>
      <c r="L122" s="179">
        <v>12</v>
      </c>
      <c r="M122" s="172">
        <f t="shared" si="14"/>
        <v>1</v>
      </c>
      <c r="N122" s="180" t="s">
        <v>216</v>
      </c>
      <c r="O122" s="181" t="str">
        <f>IF(ISBLANK(N122),"",VLOOKUP(N122,[6]Parámetros!$G$2:$H$23,2,FALSE))</f>
        <v>Contratación directa.</v>
      </c>
      <c r="P122" s="182">
        <f t="shared" si="22"/>
        <v>1</v>
      </c>
      <c r="Q122" s="183">
        <f t="shared" si="16"/>
        <v>1612449178.0000002</v>
      </c>
      <c r="R122" s="183">
        <f t="shared" si="17"/>
        <v>1612449178.0000002</v>
      </c>
      <c r="S122" s="184" t="s">
        <v>223</v>
      </c>
      <c r="T122" s="180">
        <f t="shared" si="23"/>
        <v>0</v>
      </c>
      <c r="U122" s="185" t="str">
        <f t="shared" si="19"/>
        <v>SUBDIRECCION DE GESTION CONTRACTUAL</v>
      </c>
      <c r="V122" s="172" t="str">
        <f t="shared" si="24"/>
        <v>CO-DC</v>
      </c>
      <c r="W122" s="185" t="str">
        <f t="shared" si="25"/>
        <v>Distrito Capital de Bogotá</v>
      </c>
      <c r="X122" s="186" t="s">
        <v>82</v>
      </c>
      <c r="Y122" s="172">
        <v>2427400</v>
      </c>
      <c r="Z122" s="188" t="s">
        <v>83</v>
      </c>
    </row>
    <row r="123" spans="1:26" s="189" customFormat="1" ht="12.75" customHeight="1" x14ac:dyDescent="0.2">
      <c r="A123" s="171" t="s">
        <v>316</v>
      </c>
      <c r="B123" s="172">
        <v>2</v>
      </c>
      <c r="C123" s="173" t="s">
        <v>317</v>
      </c>
      <c r="D123" s="173" t="s">
        <v>318</v>
      </c>
      <c r="E123" s="174"/>
      <c r="F123" s="174">
        <v>40000000</v>
      </c>
      <c r="G123" s="174"/>
      <c r="H123" s="175" t="s">
        <v>801</v>
      </c>
      <c r="I123" s="176" t="s">
        <v>320</v>
      </c>
      <c r="J123" s="202">
        <v>1</v>
      </c>
      <c r="K123" s="202">
        <v>2</v>
      </c>
      <c r="L123" s="202">
        <v>3</v>
      </c>
      <c r="M123" s="172">
        <f t="shared" si="14"/>
        <v>1</v>
      </c>
      <c r="N123" s="180" t="s">
        <v>36</v>
      </c>
      <c r="O123" s="181" t="str">
        <f>IF(ISBLANK(N123),"",VLOOKUP(N123,[6]Parámetros!$G$2:$H$23,2,FALSE))</f>
        <v xml:space="preserve">Contratación directa (con ofertas) </v>
      </c>
      <c r="P123" s="182">
        <f t="shared" si="22"/>
        <v>1</v>
      </c>
      <c r="Q123" s="183">
        <f t="shared" si="16"/>
        <v>40000000</v>
      </c>
      <c r="R123" s="183">
        <f t="shared" si="17"/>
        <v>40000000</v>
      </c>
      <c r="S123" s="184" t="s">
        <v>223</v>
      </c>
      <c r="T123" s="180">
        <f t="shared" si="23"/>
        <v>0</v>
      </c>
      <c r="U123" s="185" t="str">
        <f t="shared" si="19"/>
        <v>SUBDIRECCION DE GESTION CONTRACTUAL</v>
      </c>
      <c r="V123" s="172" t="str">
        <f t="shared" si="24"/>
        <v>CO-DC</v>
      </c>
      <c r="W123" s="185" t="str">
        <f t="shared" si="25"/>
        <v>Distrito Capital de Bogotá</v>
      </c>
      <c r="X123" s="186" t="s">
        <v>82</v>
      </c>
      <c r="Y123" s="172">
        <v>2427400</v>
      </c>
      <c r="Z123" s="188" t="s">
        <v>83</v>
      </c>
    </row>
    <row r="124" spans="1:26" s="189" customFormat="1" ht="12.75" customHeight="1" x14ac:dyDescent="0.2">
      <c r="A124" s="171" t="s">
        <v>316</v>
      </c>
      <c r="B124" s="172">
        <v>3</v>
      </c>
      <c r="C124" s="173" t="s">
        <v>317</v>
      </c>
      <c r="D124" s="173" t="s">
        <v>318</v>
      </c>
      <c r="E124" s="174"/>
      <c r="F124" s="174">
        <v>150302361.59999999</v>
      </c>
      <c r="G124" s="174"/>
      <c r="H124" s="175" t="s">
        <v>801</v>
      </c>
      <c r="I124" s="176" t="s">
        <v>320</v>
      </c>
      <c r="J124" s="177">
        <v>2</v>
      </c>
      <c r="K124" s="178">
        <v>3</v>
      </c>
      <c r="L124" s="179">
        <v>9</v>
      </c>
      <c r="M124" s="172">
        <f t="shared" si="14"/>
        <v>1</v>
      </c>
      <c r="N124" s="180" t="s">
        <v>234</v>
      </c>
      <c r="O124" s="181" t="str">
        <f>IF(ISBLANK(N124),"",VLOOKUP(N124,[6]Parámetros!$G$2:$H$23,2,FALSE))</f>
        <v>Licitación pública</v>
      </c>
      <c r="P124" s="182">
        <f t="shared" si="22"/>
        <v>1</v>
      </c>
      <c r="Q124" s="183">
        <f t="shared" si="16"/>
        <v>150302361.59999999</v>
      </c>
      <c r="R124" s="183">
        <f t="shared" si="17"/>
        <v>150302361.59999999</v>
      </c>
      <c r="S124" s="184" t="s">
        <v>223</v>
      </c>
      <c r="T124" s="180">
        <f t="shared" si="23"/>
        <v>0</v>
      </c>
      <c r="U124" s="185" t="str">
        <f t="shared" si="19"/>
        <v>SUBDIRECCION DE GESTION CONTRACTUAL</v>
      </c>
      <c r="V124" s="172" t="str">
        <f t="shared" si="24"/>
        <v>CO-DC</v>
      </c>
      <c r="W124" s="185" t="str">
        <f t="shared" si="25"/>
        <v>Distrito Capital de Bogotá</v>
      </c>
      <c r="X124" s="186" t="s">
        <v>82</v>
      </c>
      <c r="Y124" s="172">
        <v>2427400</v>
      </c>
      <c r="Z124" s="188" t="s">
        <v>83</v>
      </c>
    </row>
    <row r="125" spans="1:26" s="189" customFormat="1" ht="12.75" customHeight="1" x14ac:dyDescent="0.2">
      <c r="A125" s="171" t="s">
        <v>316</v>
      </c>
      <c r="B125" s="172">
        <v>4</v>
      </c>
      <c r="C125" s="173" t="s">
        <v>317</v>
      </c>
      <c r="D125" s="173" t="s">
        <v>318</v>
      </c>
      <c r="E125" s="174"/>
      <c r="F125" s="174">
        <v>50000000</v>
      </c>
      <c r="G125" s="174"/>
      <c r="H125" s="175" t="s">
        <v>42</v>
      </c>
      <c r="I125" s="176" t="s">
        <v>321</v>
      </c>
      <c r="J125" s="177">
        <v>3</v>
      </c>
      <c r="K125" s="178">
        <v>4</v>
      </c>
      <c r="L125" s="179">
        <v>9</v>
      </c>
      <c r="M125" s="172">
        <f t="shared" si="14"/>
        <v>1</v>
      </c>
      <c r="N125" s="180" t="s">
        <v>61</v>
      </c>
      <c r="O125" s="181" t="str">
        <f>IF(ISBLANK(N125),"",VLOOKUP(N125,[6]Parámetros!$G$2:$H$23,2,FALSE))</f>
        <v>Contratación régimen especial - Selección de comisionista</v>
      </c>
      <c r="P125" s="182">
        <f t="shared" si="22"/>
        <v>1</v>
      </c>
      <c r="Q125" s="183">
        <f t="shared" si="16"/>
        <v>50000000</v>
      </c>
      <c r="R125" s="183">
        <f t="shared" si="17"/>
        <v>50000000</v>
      </c>
      <c r="S125" s="184" t="s">
        <v>223</v>
      </c>
      <c r="T125" s="180">
        <f t="shared" si="23"/>
        <v>0</v>
      </c>
      <c r="U125" s="185" t="str">
        <f t="shared" si="19"/>
        <v>SUBDIRECCION DE GESTION CONTRACTUAL</v>
      </c>
      <c r="V125" s="172" t="str">
        <f t="shared" si="24"/>
        <v>CO-DC</v>
      </c>
      <c r="W125" s="185" t="str">
        <f t="shared" si="25"/>
        <v>Distrito Capital de Bogotá</v>
      </c>
      <c r="X125" s="186" t="s">
        <v>359</v>
      </c>
      <c r="Y125" s="172">
        <v>2427400</v>
      </c>
      <c r="Z125" s="188" t="s">
        <v>75</v>
      </c>
    </row>
    <row r="126" spans="1:26" s="189" customFormat="1" ht="12.75" customHeight="1" x14ac:dyDescent="0.2">
      <c r="A126" s="171" t="s">
        <v>316</v>
      </c>
      <c r="B126" s="172">
        <v>5</v>
      </c>
      <c r="C126" s="173" t="s">
        <v>317</v>
      </c>
      <c r="D126" s="173" t="s">
        <v>318</v>
      </c>
      <c r="E126" s="174"/>
      <c r="F126" s="174">
        <v>605901056.39999962</v>
      </c>
      <c r="G126" s="174"/>
      <c r="H126" s="175" t="s">
        <v>322</v>
      </c>
      <c r="I126" s="176" t="s">
        <v>323</v>
      </c>
      <c r="J126" s="177">
        <v>4</v>
      </c>
      <c r="K126" s="178">
        <v>4</v>
      </c>
      <c r="L126" s="179">
        <v>8</v>
      </c>
      <c r="M126" s="172">
        <f t="shared" si="14"/>
        <v>1</v>
      </c>
      <c r="N126" s="180" t="s">
        <v>36</v>
      </c>
      <c r="O126" s="181" t="str">
        <f>IF(ISBLANK(N126),"",VLOOKUP(N126,[6]Parámetros!$G$2:$H$23,2,FALSE))</f>
        <v xml:space="preserve">Contratación directa (con ofertas) </v>
      </c>
      <c r="P126" s="182">
        <f t="shared" si="22"/>
        <v>1</v>
      </c>
      <c r="Q126" s="183">
        <f t="shared" si="16"/>
        <v>605901056.39999962</v>
      </c>
      <c r="R126" s="183">
        <f t="shared" si="17"/>
        <v>605901056.39999962</v>
      </c>
      <c r="S126" s="184" t="s">
        <v>223</v>
      </c>
      <c r="T126" s="180">
        <f t="shared" si="23"/>
        <v>0</v>
      </c>
      <c r="U126" s="185" t="str">
        <f t="shared" si="19"/>
        <v>SUBDIRECCION DE GESTION CONTRACTUAL</v>
      </c>
      <c r="V126" s="172" t="str">
        <f t="shared" si="24"/>
        <v>CO-DC</v>
      </c>
      <c r="W126" s="185" t="str">
        <f t="shared" si="25"/>
        <v>Distrito Capital de Bogotá</v>
      </c>
      <c r="X126" s="186" t="s">
        <v>82</v>
      </c>
      <c r="Y126" s="172">
        <v>2427400</v>
      </c>
      <c r="Z126" s="188" t="s">
        <v>83</v>
      </c>
    </row>
    <row r="127" spans="1:26" s="189" customFormat="1" ht="12.75" customHeight="1" x14ac:dyDescent="0.2">
      <c r="A127" s="171" t="s">
        <v>316</v>
      </c>
      <c r="B127" s="172">
        <v>6</v>
      </c>
      <c r="C127" s="173" t="s">
        <v>317</v>
      </c>
      <c r="D127" s="173" t="s">
        <v>318</v>
      </c>
      <c r="E127" s="174"/>
      <c r="F127" s="174">
        <v>167927278.39999998</v>
      </c>
      <c r="G127" s="174"/>
      <c r="H127" s="175" t="s">
        <v>324</v>
      </c>
      <c r="I127" s="176" t="s">
        <v>325</v>
      </c>
      <c r="J127" s="177">
        <v>2</v>
      </c>
      <c r="K127" s="178">
        <v>2</v>
      </c>
      <c r="L127" s="179">
        <v>6</v>
      </c>
      <c r="M127" s="172">
        <f t="shared" si="14"/>
        <v>1</v>
      </c>
      <c r="N127" s="180" t="s">
        <v>36</v>
      </c>
      <c r="O127" s="181" t="str">
        <f>IF(ISBLANK(N127),"",VLOOKUP(N127,[6]Parámetros!$G$2:$H$23,2,FALSE))</f>
        <v xml:space="preserve">Contratación directa (con ofertas) </v>
      </c>
      <c r="P127" s="182">
        <f t="shared" si="22"/>
        <v>1</v>
      </c>
      <c r="Q127" s="183">
        <f t="shared" si="16"/>
        <v>167927278.39999998</v>
      </c>
      <c r="R127" s="183">
        <f t="shared" si="17"/>
        <v>167927278.39999998</v>
      </c>
      <c r="S127" s="184" t="s">
        <v>223</v>
      </c>
      <c r="T127" s="180">
        <f t="shared" si="23"/>
        <v>0</v>
      </c>
      <c r="U127" s="185" t="str">
        <f t="shared" si="19"/>
        <v>SUBDIRECCION DE GESTION CONTRACTUAL</v>
      </c>
      <c r="V127" s="172" t="str">
        <f t="shared" si="24"/>
        <v>CO-DC</v>
      </c>
      <c r="W127" s="185" t="str">
        <f t="shared" si="25"/>
        <v>Distrito Capital de Bogotá</v>
      </c>
      <c r="X127" s="186" t="s">
        <v>82</v>
      </c>
      <c r="Y127" s="172">
        <v>2427400</v>
      </c>
      <c r="Z127" s="188" t="s">
        <v>83</v>
      </c>
    </row>
    <row r="128" spans="1:26" s="189" customFormat="1" ht="12.75" customHeight="1" x14ac:dyDescent="0.2">
      <c r="A128" s="171" t="s">
        <v>316</v>
      </c>
      <c r="B128" s="172">
        <v>7</v>
      </c>
      <c r="C128" s="173" t="s">
        <v>326</v>
      </c>
      <c r="D128" s="173" t="s">
        <v>318</v>
      </c>
      <c r="E128" s="174"/>
      <c r="F128" s="174">
        <v>849530285.60000002</v>
      </c>
      <c r="G128" s="174"/>
      <c r="H128" s="175">
        <v>80111600</v>
      </c>
      <c r="I128" s="176" t="s">
        <v>319</v>
      </c>
      <c r="J128" s="177">
        <v>1</v>
      </c>
      <c r="K128" s="178">
        <v>1</v>
      </c>
      <c r="L128" s="179">
        <v>12</v>
      </c>
      <c r="M128" s="172">
        <f t="shared" si="14"/>
        <v>1</v>
      </c>
      <c r="N128" s="180" t="s">
        <v>216</v>
      </c>
      <c r="O128" s="181" t="str">
        <f>IF(ISBLANK(N128),"",VLOOKUP(N128,[6]Parámetros!$G$2:$H$23,2,FALSE))</f>
        <v>Contratación directa.</v>
      </c>
      <c r="P128" s="182">
        <f t="shared" ref="P128:P160" si="26">IF(ISBLANK(N128),"",1)</f>
        <v>1</v>
      </c>
      <c r="Q128" s="183">
        <f t="shared" si="16"/>
        <v>849530285.60000002</v>
      </c>
      <c r="R128" s="183">
        <f t="shared" si="17"/>
        <v>849530285.60000002</v>
      </c>
      <c r="S128" s="184" t="s">
        <v>223</v>
      </c>
      <c r="T128" s="180">
        <f t="shared" ref="T128:T160" si="27">IF(ISBLANK(S128),"",IF(VALUE(S128)=0,0,IF(VALUE(S128)=1,3,"")))</f>
        <v>0</v>
      </c>
      <c r="U128" s="185" t="str">
        <f t="shared" si="19"/>
        <v>SUBDIRECCION DE GESTION CONTRACTUAL</v>
      </c>
      <c r="V128" s="172" t="str">
        <f t="shared" si="24"/>
        <v>CO-DC</v>
      </c>
      <c r="W128" s="185" t="str">
        <f t="shared" si="25"/>
        <v>Distrito Capital de Bogotá</v>
      </c>
      <c r="X128" s="186" t="s">
        <v>82</v>
      </c>
      <c r="Y128" s="172">
        <v>2427400</v>
      </c>
      <c r="Z128" s="188" t="s">
        <v>83</v>
      </c>
    </row>
    <row r="129" spans="1:26" s="189" customFormat="1" ht="12.75" customHeight="1" x14ac:dyDescent="0.2">
      <c r="A129" s="171" t="s">
        <v>316</v>
      </c>
      <c r="B129" s="172">
        <v>8</v>
      </c>
      <c r="C129" s="173" t="s">
        <v>326</v>
      </c>
      <c r="D129" s="173" t="s">
        <v>318</v>
      </c>
      <c r="E129" s="174"/>
      <c r="F129" s="174">
        <v>500000000</v>
      </c>
      <c r="G129" s="174"/>
      <c r="H129" s="175" t="s">
        <v>327</v>
      </c>
      <c r="I129" s="176" t="s">
        <v>328</v>
      </c>
      <c r="J129" s="177">
        <v>2</v>
      </c>
      <c r="K129" s="178">
        <v>2</v>
      </c>
      <c r="L129" s="179">
        <v>10</v>
      </c>
      <c r="M129" s="172">
        <f t="shared" si="14"/>
        <v>1</v>
      </c>
      <c r="N129" s="180" t="s">
        <v>329</v>
      </c>
      <c r="O129" s="181" t="str">
        <f>IF(ISBLANK(N129),"",VLOOKUP(N129,[6]Parámetros!$G$2:$H$23,2,FALSE))</f>
        <v>Selección abreviada menor cuantía</v>
      </c>
      <c r="P129" s="182">
        <f t="shared" si="26"/>
        <v>1</v>
      </c>
      <c r="Q129" s="183">
        <f t="shared" si="16"/>
        <v>500000000</v>
      </c>
      <c r="R129" s="183">
        <f t="shared" si="17"/>
        <v>500000000</v>
      </c>
      <c r="S129" s="184" t="s">
        <v>223</v>
      </c>
      <c r="T129" s="180">
        <f t="shared" si="27"/>
        <v>0</v>
      </c>
      <c r="U129" s="185" t="str">
        <f t="shared" si="19"/>
        <v>SUBDIRECCION DE GESTION CONTRACTUAL</v>
      </c>
      <c r="V129" s="172" t="str">
        <f t="shared" si="24"/>
        <v>CO-DC</v>
      </c>
      <c r="W129" s="185" t="str">
        <f t="shared" si="25"/>
        <v>Distrito Capital de Bogotá</v>
      </c>
      <c r="X129" s="186" t="s">
        <v>82</v>
      </c>
      <c r="Y129" s="172">
        <v>2427400</v>
      </c>
      <c r="Z129" s="188" t="s">
        <v>83</v>
      </c>
    </row>
    <row r="130" spans="1:26" s="189" customFormat="1" ht="12.75" customHeight="1" x14ac:dyDescent="0.2">
      <c r="A130" s="171" t="s">
        <v>316</v>
      </c>
      <c r="B130" s="172">
        <v>9</v>
      </c>
      <c r="C130" s="173" t="s">
        <v>326</v>
      </c>
      <c r="D130" s="173" t="s">
        <v>318</v>
      </c>
      <c r="E130" s="174"/>
      <c r="F130" s="174">
        <v>100000000</v>
      </c>
      <c r="G130" s="174"/>
      <c r="H130" s="175" t="s">
        <v>330</v>
      </c>
      <c r="I130" s="176" t="s">
        <v>331</v>
      </c>
      <c r="J130" s="177">
        <v>2</v>
      </c>
      <c r="K130" s="178">
        <v>2</v>
      </c>
      <c r="L130" s="179">
        <v>6</v>
      </c>
      <c r="M130" s="172">
        <f t="shared" si="14"/>
        <v>1</v>
      </c>
      <c r="N130" s="180" t="s">
        <v>53</v>
      </c>
      <c r="O130" s="181" t="str">
        <f>IF(ISBLANK(N130),"",VLOOKUP(N130,[6]Parámetros!$G$2:$H$23,2,FALSE))</f>
        <v>Seléccion abreviada - acuerdo marco</v>
      </c>
      <c r="P130" s="182">
        <f t="shared" si="26"/>
        <v>1</v>
      </c>
      <c r="Q130" s="183">
        <f t="shared" si="16"/>
        <v>100000000</v>
      </c>
      <c r="R130" s="183">
        <f t="shared" si="17"/>
        <v>100000000</v>
      </c>
      <c r="S130" s="184" t="s">
        <v>223</v>
      </c>
      <c r="T130" s="180">
        <f t="shared" si="27"/>
        <v>0</v>
      </c>
      <c r="U130" s="185" t="str">
        <f t="shared" si="19"/>
        <v>SUBDIRECCION DE GESTION CONTRACTUAL</v>
      </c>
      <c r="V130" s="172" t="str">
        <f t="shared" si="24"/>
        <v>CO-DC</v>
      </c>
      <c r="W130" s="185" t="str">
        <f t="shared" si="25"/>
        <v>Distrito Capital de Bogotá</v>
      </c>
      <c r="X130" s="186" t="s">
        <v>332</v>
      </c>
      <c r="Y130" s="172">
        <v>2427400</v>
      </c>
      <c r="Z130" s="188" t="s">
        <v>333</v>
      </c>
    </row>
    <row r="131" spans="1:26" s="189" customFormat="1" ht="12.75" customHeight="1" x14ac:dyDescent="0.2">
      <c r="A131" s="171" t="s">
        <v>316</v>
      </c>
      <c r="B131" s="172">
        <v>10</v>
      </c>
      <c r="C131" s="173" t="s">
        <v>326</v>
      </c>
      <c r="D131" s="173" t="s">
        <v>318</v>
      </c>
      <c r="E131" s="174"/>
      <c r="F131" s="174">
        <v>229777840</v>
      </c>
      <c r="G131" s="174"/>
      <c r="H131" s="175" t="s">
        <v>334</v>
      </c>
      <c r="I131" s="176" t="s">
        <v>335</v>
      </c>
      <c r="J131" s="177">
        <v>2</v>
      </c>
      <c r="K131" s="178">
        <v>2</v>
      </c>
      <c r="L131" s="179">
        <v>6</v>
      </c>
      <c r="M131" s="172">
        <f t="shared" si="14"/>
        <v>1</v>
      </c>
      <c r="N131" s="180" t="s">
        <v>329</v>
      </c>
      <c r="O131" s="181" t="str">
        <f>IF(ISBLANK(N131),"",VLOOKUP(N131,[6]Parámetros!$G$2:$H$23,2,FALSE))</f>
        <v>Selección abreviada menor cuantía</v>
      </c>
      <c r="P131" s="182">
        <f t="shared" si="26"/>
        <v>1</v>
      </c>
      <c r="Q131" s="183">
        <f t="shared" si="16"/>
        <v>229777840</v>
      </c>
      <c r="R131" s="183">
        <f t="shared" si="17"/>
        <v>229777840</v>
      </c>
      <c r="S131" s="184" t="s">
        <v>223</v>
      </c>
      <c r="T131" s="180">
        <f t="shared" si="27"/>
        <v>0</v>
      </c>
      <c r="U131" s="185" t="str">
        <f t="shared" si="19"/>
        <v>SUBDIRECCION DE GESTION CONTRACTUAL</v>
      </c>
      <c r="V131" s="172" t="str">
        <f t="shared" si="24"/>
        <v>CO-DC</v>
      </c>
      <c r="W131" s="185" t="str">
        <f t="shared" si="25"/>
        <v>Distrito Capital de Bogotá</v>
      </c>
      <c r="X131" s="186" t="s">
        <v>82</v>
      </c>
      <c r="Y131" s="172">
        <v>2427400</v>
      </c>
      <c r="Z131" s="188" t="s">
        <v>83</v>
      </c>
    </row>
    <row r="132" spans="1:26" s="189" customFormat="1" ht="12.75" customHeight="1" x14ac:dyDescent="0.2">
      <c r="A132" s="171" t="s">
        <v>316</v>
      </c>
      <c r="B132" s="172">
        <v>11</v>
      </c>
      <c r="C132" s="173" t="s">
        <v>326</v>
      </c>
      <c r="D132" s="173" t="s">
        <v>318</v>
      </c>
      <c r="E132" s="174"/>
      <c r="F132" s="174">
        <v>150000000</v>
      </c>
      <c r="G132" s="174"/>
      <c r="H132" s="175" t="s">
        <v>240</v>
      </c>
      <c r="I132" s="176" t="s">
        <v>336</v>
      </c>
      <c r="J132" s="177">
        <v>2</v>
      </c>
      <c r="K132" s="178">
        <v>3</v>
      </c>
      <c r="L132" s="179">
        <v>4</v>
      </c>
      <c r="M132" s="172">
        <f t="shared" si="14"/>
        <v>1</v>
      </c>
      <c r="N132" s="180" t="s">
        <v>43</v>
      </c>
      <c r="O132" s="181" t="str">
        <f>IF(ISBLANK(N132),"",VLOOKUP(N132,[6]Parámetros!$G$2:$H$23,2,FALSE))</f>
        <v>Selección abreviada subasta inversa</v>
      </c>
      <c r="P132" s="182">
        <f t="shared" si="26"/>
        <v>1</v>
      </c>
      <c r="Q132" s="183">
        <f t="shared" si="16"/>
        <v>150000000</v>
      </c>
      <c r="R132" s="183">
        <f t="shared" si="17"/>
        <v>150000000</v>
      </c>
      <c r="S132" s="184" t="s">
        <v>223</v>
      </c>
      <c r="T132" s="180">
        <f t="shared" si="27"/>
        <v>0</v>
      </c>
      <c r="U132" s="185" t="str">
        <f t="shared" si="19"/>
        <v>SUBDIRECCION DE GESTION CONTRACTUAL</v>
      </c>
      <c r="V132" s="172" t="str">
        <f t="shared" si="24"/>
        <v>CO-DC</v>
      </c>
      <c r="W132" s="185" t="str">
        <f t="shared" si="25"/>
        <v>Distrito Capital de Bogotá</v>
      </c>
      <c r="X132" s="186" t="s">
        <v>332</v>
      </c>
      <c r="Y132" s="172">
        <v>2427400</v>
      </c>
      <c r="Z132" s="188" t="s">
        <v>94</v>
      </c>
    </row>
    <row r="133" spans="1:26" s="189" customFormat="1" ht="12.75" customHeight="1" x14ac:dyDescent="0.2">
      <c r="A133" s="171" t="s">
        <v>96</v>
      </c>
      <c r="B133" s="172">
        <v>1</v>
      </c>
      <c r="C133" s="173" t="s">
        <v>337</v>
      </c>
      <c r="D133" s="173" t="s">
        <v>97</v>
      </c>
      <c r="E133" s="174"/>
      <c r="F133" s="174">
        <v>122000000</v>
      </c>
      <c r="G133" s="174"/>
      <c r="H133" s="175">
        <v>80111600</v>
      </c>
      <c r="I133" s="176" t="s">
        <v>338</v>
      </c>
      <c r="J133" s="177">
        <v>1</v>
      </c>
      <c r="K133" s="178">
        <v>1</v>
      </c>
      <c r="L133" s="179">
        <v>12</v>
      </c>
      <c r="M133" s="172">
        <f t="shared" si="14"/>
        <v>1</v>
      </c>
      <c r="N133" s="180" t="s">
        <v>216</v>
      </c>
      <c r="O133" s="181" t="str">
        <f>IF(ISBLANK(N133),"",VLOOKUP(N133,[7]Parámetros!$G$2:$H$23,2,FALSE))</f>
        <v>Contratación directa.</v>
      </c>
      <c r="P133" s="182">
        <f t="shared" si="26"/>
        <v>1</v>
      </c>
      <c r="Q133" s="183">
        <f t="shared" si="16"/>
        <v>122000000</v>
      </c>
      <c r="R133" s="183">
        <f t="shared" si="17"/>
        <v>122000000</v>
      </c>
      <c r="S133" s="184" t="s">
        <v>223</v>
      </c>
      <c r="T133" s="180">
        <f t="shared" si="27"/>
        <v>0</v>
      </c>
      <c r="U133" s="185" t="str">
        <f t="shared" si="19"/>
        <v>SUBDIRECCION DE GESTION CONTRACTUAL</v>
      </c>
      <c r="V133" s="172" t="str">
        <f t="shared" si="24"/>
        <v>CO-DC</v>
      </c>
      <c r="W133" s="185" t="str">
        <f t="shared" si="25"/>
        <v>Distrito Capital de Bogotá</v>
      </c>
      <c r="X133" s="186" t="s">
        <v>674</v>
      </c>
      <c r="Y133" s="172">
        <v>2427400</v>
      </c>
      <c r="Z133" s="188" t="s">
        <v>98</v>
      </c>
    </row>
    <row r="134" spans="1:26" s="189" customFormat="1" ht="12.75" customHeight="1" x14ac:dyDescent="0.2">
      <c r="A134" s="171" t="s">
        <v>96</v>
      </c>
      <c r="B134" s="172">
        <v>2</v>
      </c>
      <c r="C134" s="173" t="s">
        <v>337</v>
      </c>
      <c r="D134" s="173" t="s">
        <v>97</v>
      </c>
      <c r="E134" s="174"/>
      <c r="F134" s="174">
        <v>235000000</v>
      </c>
      <c r="G134" s="174"/>
      <c r="H134" s="175">
        <v>80111600</v>
      </c>
      <c r="I134" s="176" t="s">
        <v>338</v>
      </c>
      <c r="J134" s="177">
        <v>1</v>
      </c>
      <c r="K134" s="178">
        <v>1</v>
      </c>
      <c r="L134" s="179">
        <v>12</v>
      </c>
      <c r="M134" s="172">
        <f t="shared" si="14"/>
        <v>1</v>
      </c>
      <c r="N134" s="180" t="s">
        <v>216</v>
      </c>
      <c r="O134" s="181" t="str">
        <f>IF(ISBLANK(N134),"",VLOOKUP(N134,[7]Parámetros!$G$2:$H$23,2,FALSE))</f>
        <v>Contratación directa.</v>
      </c>
      <c r="P134" s="182">
        <f t="shared" si="26"/>
        <v>1</v>
      </c>
      <c r="Q134" s="183">
        <f t="shared" si="16"/>
        <v>235000000</v>
      </c>
      <c r="R134" s="183">
        <f t="shared" si="17"/>
        <v>235000000</v>
      </c>
      <c r="S134" s="184" t="s">
        <v>223</v>
      </c>
      <c r="T134" s="180">
        <f t="shared" si="27"/>
        <v>0</v>
      </c>
      <c r="U134" s="185" t="str">
        <f t="shared" si="19"/>
        <v>SUBDIRECCION DE GESTION CONTRACTUAL</v>
      </c>
      <c r="V134" s="172" t="str">
        <f t="shared" si="24"/>
        <v>CO-DC</v>
      </c>
      <c r="W134" s="185" t="str">
        <f t="shared" si="25"/>
        <v>Distrito Capital de Bogotá</v>
      </c>
      <c r="X134" s="186" t="s">
        <v>674</v>
      </c>
      <c r="Y134" s="172">
        <v>2427400</v>
      </c>
      <c r="Z134" s="188" t="s">
        <v>98</v>
      </c>
    </row>
    <row r="135" spans="1:26" s="189" customFormat="1" ht="12.75" customHeight="1" x14ac:dyDescent="0.2">
      <c r="A135" s="171" t="s">
        <v>96</v>
      </c>
      <c r="B135" s="172">
        <v>3</v>
      </c>
      <c r="C135" s="173" t="s">
        <v>339</v>
      </c>
      <c r="D135" s="173" t="s">
        <v>97</v>
      </c>
      <c r="E135" s="174"/>
      <c r="F135" s="174">
        <v>65000000</v>
      </c>
      <c r="G135" s="174"/>
      <c r="H135" s="175">
        <v>80111600</v>
      </c>
      <c r="I135" s="176" t="s">
        <v>338</v>
      </c>
      <c r="J135" s="177">
        <v>1</v>
      </c>
      <c r="K135" s="178">
        <v>1</v>
      </c>
      <c r="L135" s="179">
        <v>12</v>
      </c>
      <c r="M135" s="172">
        <f t="shared" si="14"/>
        <v>1</v>
      </c>
      <c r="N135" s="180" t="s">
        <v>216</v>
      </c>
      <c r="O135" s="181" t="str">
        <f>IF(ISBLANK(N135),"",VLOOKUP(N135,[7]Parámetros!$G$2:$H$23,2,FALSE))</f>
        <v>Contratación directa.</v>
      </c>
      <c r="P135" s="182">
        <f t="shared" si="26"/>
        <v>1</v>
      </c>
      <c r="Q135" s="183">
        <f t="shared" si="16"/>
        <v>65000000</v>
      </c>
      <c r="R135" s="183">
        <f t="shared" si="17"/>
        <v>65000000</v>
      </c>
      <c r="S135" s="184" t="s">
        <v>223</v>
      </c>
      <c r="T135" s="180">
        <f t="shared" si="27"/>
        <v>0</v>
      </c>
      <c r="U135" s="185" t="str">
        <f t="shared" si="19"/>
        <v>SUBDIRECCION DE GESTION CONTRACTUAL</v>
      </c>
      <c r="V135" s="172" t="str">
        <f t="shared" si="24"/>
        <v>CO-DC</v>
      </c>
      <c r="W135" s="185" t="str">
        <f t="shared" si="25"/>
        <v>Distrito Capital de Bogotá</v>
      </c>
      <c r="X135" s="186" t="s">
        <v>674</v>
      </c>
      <c r="Y135" s="172">
        <v>2427400</v>
      </c>
      <c r="Z135" s="188" t="s">
        <v>98</v>
      </c>
    </row>
    <row r="136" spans="1:26" s="189" customFormat="1" ht="12.75" customHeight="1" x14ac:dyDescent="0.2">
      <c r="A136" s="171" t="s">
        <v>96</v>
      </c>
      <c r="B136" s="172">
        <v>4</v>
      </c>
      <c r="C136" s="173" t="s">
        <v>340</v>
      </c>
      <c r="D136" s="173" t="s">
        <v>97</v>
      </c>
      <c r="E136" s="174"/>
      <c r="F136" s="174">
        <v>24500000</v>
      </c>
      <c r="G136" s="174"/>
      <c r="H136" s="175" t="s">
        <v>103</v>
      </c>
      <c r="I136" s="176" t="s">
        <v>634</v>
      </c>
      <c r="J136" s="177">
        <v>2</v>
      </c>
      <c r="K136" s="178">
        <v>3</v>
      </c>
      <c r="L136" s="179">
        <v>10</v>
      </c>
      <c r="M136" s="172">
        <f t="shared" si="14"/>
        <v>1</v>
      </c>
      <c r="N136" s="180" t="s">
        <v>36</v>
      </c>
      <c r="O136" s="181" t="str">
        <f>IF(ISBLANK(N136),"",VLOOKUP(N136,[1]Parámetros!$G$2:$H$23,2,FALSE))</f>
        <v xml:space="preserve">Contratación directa (con ofertas) </v>
      </c>
      <c r="P136" s="182">
        <f t="shared" si="26"/>
        <v>1</v>
      </c>
      <c r="Q136" s="183">
        <f t="shared" si="16"/>
        <v>24500000</v>
      </c>
      <c r="R136" s="183">
        <f t="shared" si="17"/>
        <v>24500000</v>
      </c>
      <c r="S136" s="184" t="s">
        <v>223</v>
      </c>
      <c r="T136" s="180">
        <f t="shared" si="27"/>
        <v>0</v>
      </c>
      <c r="U136" s="185" t="str">
        <f t="shared" si="19"/>
        <v>SUBDIRECCION DE GESTION CONTRACTUAL</v>
      </c>
      <c r="V136" s="172" t="str">
        <f t="shared" si="24"/>
        <v>CO-DC</v>
      </c>
      <c r="W136" s="185" t="str">
        <f t="shared" si="25"/>
        <v>Distrito Capital de Bogotá</v>
      </c>
      <c r="X136" s="186" t="s">
        <v>674</v>
      </c>
      <c r="Y136" s="172">
        <v>2427400</v>
      </c>
      <c r="Z136" s="188" t="s">
        <v>98</v>
      </c>
    </row>
    <row r="137" spans="1:26" s="189" customFormat="1" ht="12.75" customHeight="1" x14ac:dyDescent="0.2">
      <c r="A137" s="171" t="s">
        <v>96</v>
      </c>
      <c r="B137" s="172">
        <v>5</v>
      </c>
      <c r="C137" s="173" t="s">
        <v>340</v>
      </c>
      <c r="D137" s="173" t="s">
        <v>97</v>
      </c>
      <c r="E137" s="174"/>
      <c r="F137" s="174">
        <v>54500000</v>
      </c>
      <c r="G137" s="174"/>
      <c r="H137" s="175" t="s">
        <v>650</v>
      </c>
      <c r="I137" s="176" t="s">
        <v>651</v>
      </c>
      <c r="J137" s="177">
        <v>2</v>
      </c>
      <c r="K137" s="178">
        <v>2</v>
      </c>
      <c r="L137" s="179">
        <v>10</v>
      </c>
      <c r="M137" s="172">
        <f t="shared" si="14"/>
        <v>1</v>
      </c>
      <c r="N137" s="180" t="s">
        <v>36</v>
      </c>
      <c r="O137" s="181" t="str">
        <f>IF(ISBLANK(N137),"",VLOOKUP(N137,[7]Parámetros!$G$2:$H$23,2,FALSE))</f>
        <v xml:space="preserve">Contratación directa (con ofertas) </v>
      </c>
      <c r="P137" s="182">
        <f t="shared" si="26"/>
        <v>1</v>
      </c>
      <c r="Q137" s="183">
        <f t="shared" si="16"/>
        <v>54500000</v>
      </c>
      <c r="R137" s="183">
        <f t="shared" si="17"/>
        <v>54500000</v>
      </c>
      <c r="S137" s="184" t="s">
        <v>223</v>
      </c>
      <c r="T137" s="180">
        <f t="shared" si="27"/>
        <v>0</v>
      </c>
      <c r="U137" s="185" t="str">
        <f t="shared" si="19"/>
        <v>SUBDIRECCION DE GESTION CONTRACTUAL</v>
      </c>
      <c r="V137" s="172" t="str">
        <f t="shared" si="24"/>
        <v>CO-DC</v>
      </c>
      <c r="W137" s="185" t="str">
        <f t="shared" si="25"/>
        <v>Distrito Capital de Bogotá</v>
      </c>
      <c r="X137" s="186" t="s">
        <v>332</v>
      </c>
      <c r="Y137" s="172">
        <v>2427400</v>
      </c>
      <c r="Z137" s="188" t="s">
        <v>94</v>
      </c>
    </row>
    <row r="138" spans="1:26" s="189" customFormat="1" ht="12.75" customHeight="1" x14ac:dyDescent="0.2">
      <c r="A138" s="171" t="s">
        <v>96</v>
      </c>
      <c r="B138" s="172">
        <v>6</v>
      </c>
      <c r="C138" s="173" t="s">
        <v>340</v>
      </c>
      <c r="D138" s="173" t="s">
        <v>97</v>
      </c>
      <c r="E138" s="174"/>
      <c r="F138" s="174">
        <f>390000000-24500000-54500000-96000000</f>
        <v>215000000</v>
      </c>
      <c r="G138" s="174"/>
      <c r="H138" s="175" t="s">
        <v>801</v>
      </c>
      <c r="I138" s="176" t="s">
        <v>341</v>
      </c>
      <c r="J138" s="177">
        <v>2</v>
      </c>
      <c r="K138" s="178">
        <v>3</v>
      </c>
      <c r="L138" s="179">
        <v>9</v>
      </c>
      <c r="M138" s="172">
        <f t="shared" si="14"/>
        <v>1</v>
      </c>
      <c r="N138" s="180" t="s">
        <v>234</v>
      </c>
      <c r="O138" s="181" t="str">
        <f>IF(ISBLANK(N138),"",VLOOKUP(N138,[7]Parámetros!$G$2:$H$23,2,FALSE))</f>
        <v>Licitación pública</v>
      </c>
      <c r="P138" s="182">
        <f t="shared" si="26"/>
        <v>1</v>
      </c>
      <c r="Q138" s="183">
        <f t="shared" si="16"/>
        <v>215000000</v>
      </c>
      <c r="R138" s="183">
        <f t="shared" si="17"/>
        <v>215000000</v>
      </c>
      <c r="S138" s="184" t="s">
        <v>223</v>
      </c>
      <c r="T138" s="180">
        <f t="shared" si="27"/>
        <v>0</v>
      </c>
      <c r="U138" s="185" t="str">
        <f t="shared" si="19"/>
        <v>SUBDIRECCION DE GESTION CONTRACTUAL</v>
      </c>
      <c r="V138" s="172" t="str">
        <f t="shared" si="24"/>
        <v>CO-DC</v>
      </c>
      <c r="W138" s="185" t="str">
        <f t="shared" si="25"/>
        <v>Distrito Capital de Bogotá</v>
      </c>
      <c r="X138" s="186" t="s">
        <v>674</v>
      </c>
      <c r="Y138" s="172">
        <v>2427400</v>
      </c>
      <c r="Z138" s="188" t="s">
        <v>98</v>
      </c>
    </row>
    <row r="139" spans="1:26" s="189" customFormat="1" ht="12.75" customHeight="1" x14ac:dyDescent="0.2">
      <c r="A139" s="171" t="s">
        <v>96</v>
      </c>
      <c r="B139" s="172">
        <v>7</v>
      </c>
      <c r="C139" s="173" t="s">
        <v>340</v>
      </c>
      <c r="D139" s="173" t="s">
        <v>97</v>
      </c>
      <c r="E139" s="174"/>
      <c r="F139" s="174">
        <v>170000000</v>
      </c>
      <c r="G139" s="174"/>
      <c r="H139" s="175">
        <v>80111600</v>
      </c>
      <c r="I139" s="176" t="s">
        <v>338</v>
      </c>
      <c r="J139" s="177">
        <v>1</v>
      </c>
      <c r="K139" s="178">
        <v>1</v>
      </c>
      <c r="L139" s="179">
        <v>12</v>
      </c>
      <c r="M139" s="172">
        <f t="shared" si="14"/>
        <v>1</v>
      </c>
      <c r="N139" s="180" t="s">
        <v>216</v>
      </c>
      <c r="O139" s="181" t="str">
        <f>IF(ISBLANK(N139),"",VLOOKUP(N139,[7]Parámetros!$G$2:$H$23,2,FALSE))</f>
        <v>Contratación directa.</v>
      </c>
      <c r="P139" s="182">
        <f t="shared" si="26"/>
        <v>1</v>
      </c>
      <c r="Q139" s="183">
        <f t="shared" si="16"/>
        <v>170000000</v>
      </c>
      <c r="R139" s="183">
        <f t="shared" si="17"/>
        <v>170000000</v>
      </c>
      <c r="S139" s="184" t="s">
        <v>223</v>
      </c>
      <c r="T139" s="180">
        <f t="shared" si="27"/>
        <v>0</v>
      </c>
      <c r="U139" s="185" t="str">
        <f t="shared" si="19"/>
        <v>SUBDIRECCION DE GESTION CONTRACTUAL</v>
      </c>
      <c r="V139" s="172" t="str">
        <f t="shared" si="24"/>
        <v>CO-DC</v>
      </c>
      <c r="W139" s="185" t="str">
        <f t="shared" si="25"/>
        <v>Distrito Capital de Bogotá</v>
      </c>
      <c r="X139" s="186" t="s">
        <v>674</v>
      </c>
      <c r="Y139" s="172">
        <v>2427400</v>
      </c>
      <c r="Z139" s="188" t="s">
        <v>98</v>
      </c>
    </row>
    <row r="140" spans="1:26" s="189" customFormat="1" ht="12.75" customHeight="1" x14ac:dyDescent="0.2">
      <c r="A140" s="171" t="s">
        <v>96</v>
      </c>
      <c r="B140" s="172">
        <v>8</v>
      </c>
      <c r="C140" s="173" t="s">
        <v>340</v>
      </c>
      <c r="D140" s="173" t="s">
        <v>97</v>
      </c>
      <c r="E140" s="174"/>
      <c r="F140" s="174">
        <f>96000000-E140</f>
        <v>96000000</v>
      </c>
      <c r="G140" s="174"/>
      <c r="H140" s="175" t="s">
        <v>42</v>
      </c>
      <c r="I140" s="176" t="s">
        <v>342</v>
      </c>
      <c r="J140" s="177">
        <v>3</v>
      </c>
      <c r="K140" s="178">
        <v>4</v>
      </c>
      <c r="L140" s="179">
        <v>9</v>
      </c>
      <c r="M140" s="172">
        <f t="shared" ref="M140:M204" si="28">IF(ISBLANK(J140),"",1)</f>
        <v>1</v>
      </c>
      <c r="N140" s="180" t="s">
        <v>61</v>
      </c>
      <c r="O140" s="181" t="str">
        <f>IF(ISBLANK(N140),"",VLOOKUP(N140,[7]Parámetros!$G$2:$H$23,2,FALSE))</f>
        <v>Contratación régimen especial - Selección de comisionista</v>
      </c>
      <c r="P140" s="182">
        <f t="shared" si="26"/>
        <v>1</v>
      </c>
      <c r="Q140" s="183">
        <f t="shared" ref="Q140:Q204" si="29">+E140+F140+G140</f>
        <v>96000000</v>
      </c>
      <c r="R140" s="183">
        <f t="shared" ref="R140:R204" si="30">+F140</f>
        <v>96000000</v>
      </c>
      <c r="S140" s="184" t="s">
        <v>223</v>
      </c>
      <c r="T140" s="180">
        <f t="shared" si="27"/>
        <v>0</v>
      </c>
      <c r="U140" s="185" t="str">
        <f t="shared" ref="U140:U204" si="31">IF(ISBLANK(N140),"","SUBDIRECCION DE GESTION CONTRACTUAL")</f>
        <v>SUBDIRECCION DE GESTION CONTRACTUAL</v>
      </c>
      <c r="V140" s="172" t="str">
        <f t="shared" si="24"/>
        <v>CO-DC</v>
      </c>
      <c r="W140" s="185" t="str">
        <f t="shared" si="25"/>
        <v>Distrito Capital de Bogotá</v>
      </c>
      <c r="X140" s="186" t="s">
        <v>674</v>
      </c>
      <c r="Y140" s="172">
        <v>2427400</v>
      </c>
      <c r="Z140" s="188" t="s">
        <v>98</v>
      </c>
    </row>
    <row r="141" spans="1:26" s="189" customFormat="1" ht="12.75" customHeight="1" x14ac:dyDescent="0.2">
      <c r="A141" s="171" t="s">
        <v>96</v>
      </c>
      <c r="B141" s="172">
        <v>9</v>
      </c>
      <c r="C141" s="173" t="s">
        <v>343</v>
      </c>
      <c r="D141" s="173" t="s">
        <v>97</v>
      </c>
      <c r="E141" s="174"/>
      <c r="F141" s="174">
        <v>355000000</v>
      </c>
      <c r="G141" s="174"/>
      <c r="H141" s="175" t="s">
        <v>344</v>
      </c>
      <c r="I141" s="176" t="s">
        <v>345</v>
      </c>
      <c r="J141" s="177">
        <v>4</v>
      </c>
      <c r="K141" s="178">
        <v>4</v>
      </c>
      <c r="L141" s="179">
        <v>8</v>
      </c>
      <c r="M141" s="172">
        <f t="shared" si="28"/>
        <v>1</v>
      </c>
      <c r="N141" s="180" t="s">
        <v>36</v>
      </c>
      <c r="O141" s="181" t="str">
        <f>IF(ISBLANK(N141),"",VLOOKUP(N141,[7]Parámetros!$G$2:$H$23,2,FALSE))</f>
        <v xml:space="preserve">Contratación directa (con ofertas) </v>
      </c>
      <c r="P141" s="182">
        <f t="shared" si="26"/>
        <v>1</v>
      </c>
      <c r="Q141" s="183">
        <f t="shared" si="29"/>
        <v>355000000</v>
      </c>
      <c r="R141" s="183">
        <f t="shared" si="30"/>
        <v>355000000</v>
      </c>
      <c r="S141" s="184" t="s">
        <v>223</v>
      </c>
      <c r="T141" s="180">
        <f t="shared" si="27"/>
        <v>0</v>
      </c>
      <c r="U141" s="185" t="str">
        <f t="shared" si="31"/>
        <v>SUBDIRECCION DE GESTION CONTRACTUAL</v>
      </c>
      <c r="V141" s="172" t="str">
        <f t="shared" si="24"/>
        <v>CO-DC</v>
      </c>
      <c r="W141" s="185" t="str">
        <f t="shared" si="25"/>
        <v>Distrito Capital de Bogotá</v>
      </c>
      <c r="X141" s="186" t="s">
        <v>674</v>
      </c>
      <c r="Y141" s="172">
        <v>2427400</v>
      </c>
      <c r="Z141" s="188" t="s">
        <v>98</v>
      </c>
    </row>
    <row r="142" spans="1:26" s="189" customFormat="1" ht="12.75" customHeight="1" x14ac:dyDescent="0.2">
      <c r="A142" s="171" t="s">
        <v>96</v>
      </c>
      <c r="B142" s="172">
        <v>10</v>
      </c>
      <c r="C142" s="173" t="s">
        <v>343</v>
      </c>
      <c r="D142" s="173" t="s">
        <v>858</v>
      </c>
      <c r="E142" s="174"/>
      <c r="F142" s="174">
        <v>950000000</v>
      </c>
      <c r="G142" s="174"/>
      <c r="H142" s="175" t="s">
        <v>344</v>
      </c>
      <c r="I142" s="176" t="s">
        <v>346</v>
      </c>
      <c r="J142" s="177">
        <v>4</v>
      </c>
      <c r="K142" s="178">
        <v>4</v>
      </c>
      <c r="L142" s="179">
        <v>8</v>
      </c>
      <c r="M142" s="172">
        <f t="shared" si="28"/>
        <v>1</v>
      </c>
      <c r="N142" s="180" t="s">
        <v>36</v>
      </c>
      <c r="O142" s="181" t="str">
        <f>IF(ISBLANK(N142),"",VLOOKUP(N142,[7]Parámetros!$G$2:$H$23,2,FALSE))</f>
        <v xml:space="preserve">Contratación directa (con ofertas) </v>
      </c>
      <c r="P142" s="182">
        <f t="shared" si="26"/>
        <v>1</v>
      </c>
      <c r="Q142" s="183">
        <f t="shared" si="29"/>
        <v>950000000</v>
      </c>
      <c r="R142" s="183">
        <f t="shared" si="30"/>
        <v>950000000</v>
      </c>
      <c r="S142" s="184" t="s">
        <v>223</v>
      </c>
      <c r="T142" s="180">
        <f t="shared" si="27"/>
        <v>0</v>
      </c>
      <c r="U142" s="185" t="str">
        <f t="shared" si="31"/>
        <v>SUBDIRECCION DE GESTION CONTRACTUAL</v>
      </c>
      <c r="V142" s="172" t="str">
        <f t="shared" si="24"/>
        <v>CO-DC</v>
      </c>
      <c r="W142" s="185" t="str">
        <f t="shared" si="25"/>
        <v>Distrito Capital de Bogotá</v>
      </c>
      <c r="X142" s="186" t="s">
        <v>674</v>
      </c>
      <c r="Y142" s="172">
        <v>2427400</v>
      </c>
      <c r="Z142" s="188" t="s">
        <v>98</v>
      </c>
    </row>
    <row r="143" spans="1:26" s="189" customFormat="1" ht="12.75" customHeight="1" x14ac:dyDescent="0.2">
      <c r="A143" s="171" t="s">
        <v>96</v>
      </c>
      <c r="B143" s="172">
        <v>11</v>
      </c>
      <c r="C143" s="173" t="s">
        <v>347</v>
      </c>
      <c r="D143" s="173" t="s">
        <v>858</v>
      </c>
      <c r="E143" s="174"/>
      <c r="F143" s="174">
        <v>168150363</v>
      </c>
      <c r="G143" s="174"/>
      <c r="H143" s="175" t="s">
        <v>344</v>
      </c>
      <c r="I143" s="176" t="s">
        <v>348</v>
      </c>
      <c r="J143" s="177">
        <v>4</v>
      </c>
      <c r="K143" s="178">
        <v>4</v>
      </c>
      <c r="L143" s="179">
        <v>8</v>
      </c>
      <c r="M143" s="172">
        <f t="shared" si="28"/>
        <v>1</v>
      </c>
      <c r="N143" s="180" t="s">
        <v>36</v>
      </c>
      <c r="O143" s="181" t="str">
        <f>IF(ISBLANK(N143),"",VLOOKUP(N143,[7]Parámetros!$G$2:$H$23,2,FALSE))</f>
        <v xml:space="preserve">Contratación directa (con ofertas) </v>
      </c>
      <c r="P143" s="182">
        <f t="shared" si="26"/>
        <v>1</v>
      </c>
      <c r="Q143" s="183">
        <f t="shared" si="29"/>
        <v>168150363</v>
      </c>
      <c r="R143" s="183">
        <f t="shared" si="30"/>
        <v>168150363</v>
      </c>
      <c r="S143" s="184" t="s">
        <v>223</v>
      </c>
      <c r="T143" s="180">
        <f t="shared" si="27"/>
        <v>0</v>
      </c>
      <c r="U143" s="185" t="str">
        <f t="shared" si="31"/>
        <v>SUBDIRECCION DE GESTION CONTRACTUAL</v>
      </c>
      <c r="V143" s="172" t="str">
        <f t="shared" si="24"/>
        <v>CO-DC</v>
      </c>
      <c r="W143" s="185" t="str">
        <f t="shared" si="25"/>
        <v>Distrito Capital de Bogotá</v>
      </c>
      <c r="X143" s="186" t="s">
        <v>674</v>
      </c>
      <c r="Y143" s="172">
        <v>2427400</v>
      </c>
      <c r="Z143" s="188" t="s">
        <v>98</v>
      </c>
    </row>
    <row r="144" spans="1:26" s="189" customFormat="1" ht="12.75" customHeight="1" x14ac:dyDescent="0.2">
      <c r="A144" s="171" t="s">
        <v>96</v>
      </c>
      <c r="B144" s="172">
        <v>12</v>
      </c>
      <c r="C144" s="173" t="s">
        <v>347</v>
      </c>
      <c r="D144" s="173" t="s">
        <v>97</v>
      </c>
      <c r="E144" s="174"/>
      <c r="F144" s="174">
        <v>97800000</v>
      </c>
      <c r="G144" s="174"/>
      <c r="H144" s="175">
        <v>80111600</v>
      </c>
      <c r="I144" s="176" t="s">
        <v>338</v>
      </c>
      <c r="J144" s="177">
        <v>1</v>
      </c>
      <c r="K144" s="178">
        <v>1</v>
      </c>
      <c r="L144" s="179">
        <v>12</v>
      </c>
      <c r="M144" s="172">
        <f t="shared" si="28"/>
        <v>1</v>
      </c>
      <c r="N144" s="180" t="s">
        <v>216</v>
      </c>
      <c r="O144" s="181" t="str">
        <f>IF(ISBLANK(N144),"",VLOOKUP(N144,[7]Parámetros!$G$2:$H$23,2,FALSE))</f>
        <v>Contratación directa.</v>
      </c>
      <c r="P144" s="182">
        <f t="shared" si="26"/>
        <v>1</v>
      </c>
      <c r="Q144" s="183">
        <f t="shared" si="29"/>
        <v>97800000</v>
      </c>
      <c r="R144" s="183">
        <f t="shared" si="30"/>
        <v>97800000</v>
      </c>
      <c r="S144" s="184" t="s">
        <v>223</v>
      </c>
      <c r="T144" s="180">
        <f t="shared" si="27"/>
        <v>0</v>
      </c>
      <c r="U144" s="185" t="str">
        <f t="shared" si="31"/>
        <v>SUBDIRECCION DE GESTION CONTRACTUAL</v>
      </c>
      <c r="V144" s="172" t="str">
        <f t="shared" si="24"/>
        <v>CO-DC</v>
      </c>
      <c r="W144" s="185" t="str">
        <f t="shared" si="25"/>
        <v>Distrito Capital de Bogotá</v>
      </c>
      <c r="X144" s="186" t="s">
        <v>674</v>
      </c>
      <c r="Y144" s="172">
        <v>2427400</v>
      </c>
      <c r="Z144" s="188" t="s">
        <v>98</v>
      </c>
    </row>
    <row r="145" spans="1:26" s="189" customFormat="1" ht="12.75" customHeight="1" x14ac:dyDescent="0.2">
      <c r="A145" s="171" t="s">
        <v>96</v>
      </c>
      <c r="B145" s="172">
        <v>13</v>
      </c>
      <c r="C145" s="173" t="s">
        <v>347</v>
      </c>
      <c r="D145" s="173" t="s">
        <v>858</v>
      </c>
      <c r="E145" s="174"/>
      <c r="F145" s="174">
        <f>206849637+131000000</f>
        <v>337849637</v>
      </c>
      <c r="G145" s="174"/>
      <c r="H145" s="175">
        <v>80111600</v>
      </c>
      <c r="I145" s="176" t="s">
        <v>338</v>
      </c>
      <c r="J145" s="177">
        <v>1</v>
      </c>
      <c r="K145" s="178">
        <v>1</v>
      </c>
      <c r="L145" s="179">
        <v>12</v>
      </c>
      <c r="M145" s="172">
        <f t="shared" si="28"/>
        <v>1</v>
      </c>
      <c r="N145" s="180" t="s">
        <v>216</v>
      </c>
      <c r="O145" s="181" t="str">
        <f>IF(ISBLANK(N145),"",VLOOKUP(N145,[7]Parámetros!$G$2:$H$23,2,FALSE))</f>
        <v>Contratación directa.</v>
      </c>
      <c r="P145" s="182">
        <f t="shared" si="26"/>
        <v>1</v>
      </c>
      <c r="Q145" s="183">
        <f t="shared" si="29"/>
        <v>337849637</v>
      </c>
      <c r="R145" s="183">
        <f t="shared" si="30"/>
        <v>337849637</v>
      </c>
      <c r="S145" s="184" t="s">
        <v>223</v>
      </c>
      <c r="T145" s="180">
        <f t="shared" si="27"/>
        <v>0</v>
      </c>
      <c r="U145" s="185" t="str">
        <f t="shared" si="31"/>
        <v>SUBDIRECCION DE GESTION CONTRACTUAL</v>
      </c>
      <c r="V145" s="172" t="str">
        <f t="shared" si="24"/>
        <v>CO-DC</v>
      </c>
      <c r="W145" s="185" t="str">
        <f t="shared" si="25"/>
        <v>Distrito Capital de Bogotá</v>
      </c>
      <c r="X145" s="186" t="s">
        <v>674</v>
      </c>
      <c r="Y145" s="172">
        <v>2427400</v>
      </c>
      <c r="Z145" s="188" t="s">
        <v>98</v>
      </c>
    </row>
    <row r="146" spans="1:26" s="189" customFormat="1" ht="12.75" customHeight="1" x14ac:dyDescent="0.2">
      <c r="A146" s="171" t="s">
        <v>96</v>
      </c>
      <c r="B146" s="172">
        <v>14</v>
      </c>
      <c r="C146" s="173" t="s">
        <v>349</v>
      </c>
      <c r="D146" s="173" t="s">
        <v>858</v>
      </c>
      <c r="E146" s="174"/>
      <c r="F146" s="174">
        <v>288256034</v>
      </c>
      <c r="G146" s="174"/>
      <c r="H146" s="175" t="s">
        <v>801</v>
      </c>
      <c r="I146" s="176" t="s">
        <v>341</v>
      </c>
      <c r="J146" s="177">
        <v>2</v>
      </c>
      <c r="K146" s="178">
        <v>3</v>
      </c>
      <c r="L146" s="179">
        <v>9</v>
      </c>
      <c r="M146" s="172">
        <f t="shared" si="28"/>
        <v>1</v>
      </c>
      <c r="N146" s="180" t="s">
        <v>234</v>
      </c>
      <c r="O146" s="181" t="str">
        <f>IF(ISBLANK(N146),"",VLOOKUP(N146,[7]Parámetros!$G$2:$H$23,2,FALSE))</f>
        <v>Licitación pública</v>
      </c>
      <c r="P146" s="182">
        <f t="shared" si="26"/>
        <v>1</v>
      </c>
      <c r="Q146" s="183">
        <f t="shared" si="29"/>
        <v>288256034</v>
      </c>
      <c r="R146" s="183">
        <f t="shared" si="30"/>
        <v>288256034</v>
      </c>
      <c r="S146" s="184" t="s">
        <v>223</v>
      </c>
      <c r="T146" s="180">
        <f t="shared" si="27"/>
        <v>0</v>
      </c>
      <c r="U146" s="185" t="str">
        <f t="shared" si="31"/>
        <v>SUBDIRECCION DE GESTION CONTRACTUAL</v>
      </c>
      <c r="V146" s="172" t="str">
        <f t="shared" si="24"/>
        <v>CO-DC</v>
      </c>
      <c r="W146" s="185" t="str">
        <f t="shared" si="25"/>
        <v>Distrito Capital de Bogotá</v>
      </c>
      <c r="X146" s="186" t="s">
        <v>674</v>
      </c>
      <c r="Y146" s="172">
        <v>2427400</v>
      </c>
      <c r="Z146" s="188" t="s">
        <v>98</v>
      </c>
    </row>
    <row r="147" spans="1:26" s="189" customFormat="1" ht="12.75" customHeight="1" x14ac:dyDescent="0.2">
      <c r="A147" s="171" t="s">
        <v>96</v>
      </c>
      <c r="B147" s="172">
        <v>15</v>
      </c>
      <c r="C147" s="173" t="s">
        <v>349</v>
      </c>
      <c r="D147" s="173" t="s">
        <v>858</v>
      </c>
      <c r="E147" s="174"/>
      <c r="F147" s="174">
        <v>261743966</v>
      </c>
      <c r="G147" s="174"/>
      <c r="H147" s="175">
        <v>80111600</v>
      </c>
      <c r="I147" s="176" t="s">
        <v>338</v>
      </c>
      <c r="J147" s="177">
        <v>1</v>
      </c>
      <c r="K147" s="178">
        <v>1</v>
      </c>
      <c r="L147" s="179">
        <v>12</v>
      </c>
      <c r="M147" s="172">
        <f t="shared" si="28"/>
        <v>1</v>
      </c>
      <c r="N147" s="180" t="s">
        <v>216</v>
      </c>
      <c r="O147" s="181" t="str">
        <f>IF(ISBLANK(N147),"",VLOOKUP(N147,[7]Parámetros!$G$2:$H$23,2,FALSE))</f>
        <v>Contratación directa.</v>
      </c>
      <c r="P147" s="182">
        <f t="shared" si="26"/>
        <v>1</v>
      </c>
      <c r="Q147" s="183">
        <f t="shared" si="29"/>
        <v>261743966</v>
      </c>
      <c r="R147" s="183">
        <f t="shared" si="30"/>
        <v>261743966</v>
      </c>
      <c r="S147" s="184" t="s">
        <v>223</v>
      </c>
      <c r="T147" s="180">
        <f t="shared" si="27"/>
        <v>0</v>
      </c>
      <c r="U147" s="185" t="str">
        <f t="shared" si="31"/>
        <v>SUBDIRECCION DE GESTION CONTRACTUAL</v>
      </c>
      <c r="V147" s="172" t="str">
        <f t="shared" si="24"/>
        <v>CO-DC</v>
      </c>
      <c r="W147" s="185" t="str">
        <f t="shared" si="25"/>
        <v>Distrito Capital de Bogotá</v>
      </c>
      <c r="X147" s="186" t="s">
        <v>674</v>
      </c>
      <c r="Y147" s="172">
        <v>2427400</v>
      </c>
      <c r="Z147" s="188" t="s">
        <v>98</v>
      </c>
    </row>
    <row r="148" spans="1:26" s="189" customFormat="1" ht="12.75" customHeight="1" x14ac:dyDescent="0.2">
      <c r="A148" s="171" t="s">
        <v>96</v>
      </c>
      <c r="B148" s="172">
        <v>16</v>
      </c>
      <c r="C148" s="173" t="s">
        <v>350</v>
      </c>
      <c r="D148" s="173" t="s">
        <v>858</v>
      </c>
      <c r="E148" s="174"/>
      <c r="F148" s="174">
        <f>144000000-94000000</f>
        <v>50000000</v>
      </c>
      <c r="G148" s="174"/>
      <c r="H148" s="175" t="s">
        <v>801</v>
      </c>
      <c r="I148" s="176" t="s">
        <v>341</v>
      </c>
      <c r="J148" s="202">
        <v>1</v>
      </c>
      <c r="K148" s="202">
        <v>2</v>
      </c>
      <c r="L148" s="202">
        <v>3</v>
      </c>
      <c r="M148" s="172">
        <f t="shared" si="28"/>
        <v>1</v>
      </c>
      <c r="N148" s="180" t="s">
        <v>36</v>
      </c>
      <c r="O148" s="181" t="str">
        <f>IF(ISBLANK(N148),"",VLOOKUP(N148,[7]Parámetros!$G$2:$H$23,2,FALSE))</f>
        <v xml:space="preserve">Contratación directa (con ofertas) </v>
      </c>
      <c r="P148" s="182">
        <f t="shared" si="26"/>
        <v>1</v>
      </c>
      <c r="Q148" s="183">
        <f t="shared" si="29"/>
        <v>50000000</v>
      </c>
      <c r="R148" s="183">
        <f t="shared" si="30"/>
        <v>50000000</v>
      </c>
      <c r="S148" s="184" t="s">
        <v>223</v>
      </c>
      <c r="T148" s="180">
        <f t="shared" si="27"/>
        <v>0</v>
      </c>
      <c r="U148" s="185" t="str">
        <f t="shared" si="31"/>
        <v>SUBDIRECCION DE GESTION CONTRACTUAL</v>
      </c>
      <c r="V148" s="172" t="str">
        <f t="shared" si="24"/>
        <v>CO-DC</v>
      </c>
      <c r="W148" s="185" t="str">
        <f t="shared" si="25"/>
        <v>Distrito Capital de Bogotá</v>
      </c>
      <c r="X148" s="186" t="s">
        <v>674</v>
      </c>
      <c r="Y148" s="172">
        <v>2427400</v>
      </c>
      <c r="Z148" s="188" t="s">
        <v>98</v>
      </c>
    </row>
    <row r="149" spans="1:26" s="189" customFormat="1" ht="12.75" customHeight="1" x14ac:dyDescent="0.2">
      <c r="A149" s="171" t="s">
        <v>96</v>
      </c>
      <c r="B149" s="172">
        <v>17</v>
      </c>
      <c r="C149" s="173" t="s">
        <v>350</v>
      </c>
      <c r="D149" s="173" t="s">
        <v>858</v>
      </c>
      <c r="E149" s="174"/>
      <c r="F149" s="174">
        <v>50000000</v>
      </c>
      <c r="G149" s="174"/>
      <c r="H149" s="175" t="s">
        <v>240</v>
      </c>
      <c r="I149" s="176" t="s">
        <v>351</v>
      </c>
      <c r="J149" s="177">
        <v>2</v>
      </c>
      <c r="K149" s="178">
        <v>3</v>
      </c>
      <c r="L149" s="179">
        <v>4</v>
      </c>
      <c r="M149" s="172">
        <f t="shared" si="28"/>
        <v>1</v>
      </c>
      <c r="N149" s="180" t="s">
        <v>43</v>
      </c>
      <c r="O149" s="181" t="str">
        <f>IF(ISBLANK(N149),"",VLOOKUP(N149,[7]Parámetros!$G$2:$H$23,2,FALSE))</f>
        <v>Selección abreviada subasta inversa</v>
      </c>
      <c r="P149" s="182">
        <f t="shared" si="26"/>
        <v>1</v>
      </c>
      <c r="Q149" s="183">
        <f t="shared" si="29"/>
        <v>50000000</v>
      </c>
      <c r="R149" s="183">
        <f t="shared" si="30"/>
        <v>50000000</v>
      </c>
      <c r="S149" s="184" t="s">
        <v>223</v>
      </c>
      <c r="T149" s="180">
        <f t="shared" si="27"/>
        <v>0</v>
      </c>
      <c r="U149" s="185" t="str">
        <f t="shared" si="31"/>
        <v>SUBDIRECCION DE GESTION CONTRACTUAL</v>
      </c>
      <c r="V149" s="172" t="str">
        <f t="shared" si="24"/>
        <v>CO-DC</v>
      </c>
      <c r="W149" s="185" t="str">
        <f t="shared" si="25"/>
        <v>Distrito Capital de Bogotá</v>
      </c>
      <c r="X149" s="186" t="s">
        <v>332</v>
      </c>
      <c r="Y149" s="172">
        <v>2427400</v>
      </c>
      <c r="Z149" s="188" t="s">
        <v>94</v>
      </c>
    </row>
    <row r="150" spans="1:26" s="189" customFormat="1" ht="12.75" customHeight="1" x14ac:dyDescent="0.2">
      <c r="A150" s="171" t="s">
        <v>96</v>
      </c>
      <c r="B150" s="172">
        <v>18</v>
      </c>
      <c r="C150" s="173" t="s">
        <v>350</v>
      </c>
      <c r="D150" s="173" t="s">
        <v>858</v>
      </c>
      <c r="E150" s="174"/>
      <c r="F150" s="174">
        <v>15000000</v>
      </c>
      <c r="G150" s="174"/>
      <c r="H150" s="175" t="s">
        <v>51</v>
      </c>
      <c r="I150" s="176" t="s">
        <v>352</v>
      </c>
      <c r="J150" s="177">
        <v>4</v>
      </c>
      <c r="K150" s="178">
        <v>6</v>
      </c>
      <c r="L150" s="179">
        <v>1</v>
      </c>
      <c r="M150" s="172">
        <f t="shared" si="28"/>
        <v>1</v>
      </c>
      <c r="N150" s="180" t="s">
        <v>43</v>
      </c>
      <c r="O150" s="181" t="str">
        <f>IF(ISBLANK(N150),"",VLOOKUP(N150,[7]Parámetros!$G$2:$H$23,2,FALSE))</f>
        <v>Selección abreviada subasta inversa</v>
      </c>
      <c r="P150" s="182">
        <f t="shared" si="26"/>
        <v>1</v>
      </c>
      <c r="Q150" s="183">
        <f t="shared" si="29"/>
        <v>15000000</v>
      </c>
      <c r="R150" s="183">
        <f t="shared" si="30"/>
        <v>15000000</v>
      </c>
      <c r="S150" s="184" t="s">
        <v>223</v>
      </c>
      <c r="T150" s="180">
        <f t="shared" si="27"/>
        <v>0</v>
      </c>
      <c r="U150" s="185" t="str">
        <f t="shared" si="31"/>
        <v>SUBDIRECCION DE GESTION CONTRACTUAL</v>
      </c>
      <c r="V150" s="172" t="str">
        <f t="shared" si="24"/>
        <v>CO-DC</v>
      </c>
      <c r="W150" s="185" t="str">
        <f t="shared" si="25"/>
        <v>Distrito Capital de Bogotá</v>
      </c>
      <c r="X150" s="186" t="s">
        <v>73</v>
      </c>
      <c r="Y150" s="172">
        <v>2427400</v>
      </c>
      <c r="Z150" s="188" t="s">
        <v>74</v>
      </c>
    </row>
    <row r="151" spans="1:26" s="189" customFormat="1" ht="12.75" customHeight="1" x14ac:dyDescent="0.2">
      <c r="A151" s="171" t="s">
        <v>96</v>
      </c>
      <c r="B151" s="172">
        <v>19</v>
      </c>
      <c r="C151" s="173" t="s">
        <v>350</v>
      </c>
      <c r="D151" s="173" t="s">
        <v>858</v>
      </c>
      <c r="E151" s="174"/>
      <c r="F151" s="174">
        <f>847246000-32700000-10000000-5000000-17300000</f>
        <v>782246000</v>
      </c>
      <c r="G151" s="174"/>
      <c r="H151" s="175" t="s">
        <v>344</v>
      </c>
      <c r="I151" s="176" t="s">
        <v>353</v>
      </c>
      <c r="J151" s="177">
        <v>4</v>
      </c>
      <c r="K151" s="178">
        <v>4</v>
      </c>
      <c r="L151" s="179">
        <v>8</v>
      </c>
      <c r="M151" s="172">
        <f t="shared" si="28"/>
        <v>1</v>
      </c>
      <c r="N151" s="180" t="s">
        <v>36</v>
      </c>
      <c r="O151" s="181" t="str">
        <f>IF(ISBLANK(N151),"",VLOOKUP(N151,[7]Parámetros!$G$2:$H$23,2,FALSE))</f>
        <v xml:space="preserve">Contratación directa (con ofertas) </v>
      </c>
      <c r="P151" s="182">
        <f t="shared" si="26"/>
        <v>1</v>
      </c>
      <c r="Q151" s="183">
        <f t="shared" si="29"/>
        <v>782246000</v>
      </c>
      <c r="R151" s="183">
        <f t="shared" si="30"/>
        <v>782246000</v>
      </c>
      <c r="S151" s="184" t="s">
        <v>223</v>
      </c>
      <c r="T151" s="180">
        <f t="shared" si="27"/>
        <v>0</v>
      </c>
      <c r="U151" s="185" t="str">
        <f t="shared" si="31"/>
        <v>SUBDIRECCION DE GESTION CONTRACTUAL</v>
      </c>
      <c r="V151" s="172" t="str">
        <f t="shared" si="24"/>
        <v>CO-DC</v>
      </c>
      <c r="W151" s="185" t="str">
        <f t="shared" si="25"/>
        <v>Distrito Capital de Bogotá</v>
      </c>
      <c r="X151" s="186" t="s">
        <v>674</v>
      </c>
      <c r="Y151" s="172">
        <v>2427400</v>
      </c>
      <c r="Z151" s="188" t="s">
        <v>98</v>
      </c>
    </row>
    <row r="152" spans="1:26" s="189" customFormat="1" ht="23.25" customHeight="1" x14ac:dyDescent="0.2">
      <c r="A152" s="203" t="s">
        <v>96</v>
      </c>
      <c r="B152" s="204">
        <v>20</v>
      </c>
      <c r="C152" s="173" t="s">
        <v>350</v>
      </c>
      <c r="D152" s="173" t="s">
        <v>858</v>
      </c>
      <c r="E152" s="205"/>
      <c r="F152" s="174">
        <f>144000000-50000000</f>
        <v>94000000</v>
      </c>
      <c r="G152" s="205"/>
      <c r="H152" s="206" t="s">
        <v>801</v>
      </c>
      <c r="I152" s="176" t="s">
        <v>859</v>
      </c>
      <c r="J152" s="177">
        <v>2</v>
      </c>
      <c r="K152" s="178">
        <v>3</v>
      </c>
      <c r="L152" s="179">
        <v>9</v>
      </c>
      <c r="M152" s="207">
        <f>IF(ISBLANK(J152),"",1)</f>
        <v>1</v>
      </c>
      <c r="N152" s="204" t="s">
        <v>234</v>
      </c>
      <c r="O152" s="208" t="str">
        <f>IF(ISBLANK(N152),"",VLOOKUP(N152,[8]Parámetros!$G$2:$H$23,2,FALSE))</f>
        <v>Licitación pública</v>
      </c>
      <c r="P152" s="209">
        <f t="shared" si="26"/>
        <v>1</v>
      </c>
      <c r="Q152" s="183">
        <f t="shared" ref="Q152" si="32">IF(VALUE(E152+F152+G152)=0,"",E152+F152+G152)</f>
        <v>94000000</v>
      </c>
      <c r="R152" s="183">
        <f t="shared" ref="R152" si="33">IF(VALUE(F152)=0,"",F152)</f>
        <v>94000000</v>
      </c>
      <c r="S152" s="210" t="s">
        <v>223</v>
      </c>
      <c r="T152" s="211">
        <f t="shared" si="27"/>
        <v>0</v>
      </c>
      <c r="U152" s="212" t="str">
        <f t="shared" si="31"/>
        <v>SUBDIRECCION DE GESTION CONTRACTUAL</v>
      </c>
      <c r="V152" s="211" t="str">
        <f t="shared" si="24"/>
        <v>CO-DC</v>
      </c>
      <c r="W152" s="212" t="str">
        <f t="shared" si="25"/>
        <v>Distrito Capital de Bogotá</v>
      </c>
      <c r="X152" s="213" t="s">
        <v>674</v>
      </c>
      <c r="Y152" s="204">
        <v>2427400</v>
      </c>
      <c r="Z152" s="214" t="s">
        <v>98</v>
      </c>
    </row>
    <row r="153" spans="1:26" s="189" customFormat="1" ht="12.75" customHeight="1" x14ac:dyDescent="0.2">
      <c r="A153" s="171" t="s">
        <v>84</v>
      </c>
      <c r="B153" s="172">
        <v>1</v>
      </c>
      <c r="C153" s="173" t="s">
        <v>91</v>
      </c>
      <c r="D153" s="173" t="s">
        <v>89</v>
      </c>
      <c r="E153" s="174"/>
      <c r="F153" s="174">
        <v>2930922041</v>
      </c>
      <c r="G153" s="174"/>
      <c r="H153" s="175">
        <v>80111600</v>
      </c>
      <c r="I153" s="176" t="s">
        <v>354</v>
      </c>
      <c r="J153" s="177">
        <v>1</v>
      </c>
      <c r="K153" s="178">
        <v>1</v>
      </c>
      <c r="L153" s="179">
        <v>12</v>
      </c>
      <c r="M153" s="172">
        <f t="shared" si="28"/>
        <v>1</v>
      </c>
      <c r="N153" s="180" t="s">
        <v>216</v>
      </c>
      <c r="O153" s="181" t="str">
        <f>IF(ISBLANK(N153),"",VLOOKUP(N153,[9]Parámetros!$G$2:$H$23,2,FALSE))</f>
        <v>Contratación directa.</v>
      </c>
      <c r="P153" s="182">
        <f t="shared" si="26"/>
        <v>1</v>
      </c>
      <c r="Q153" s="183">
        <f t="shared" si="29"/>
        <v>2930922041</v>
      </c>
      <c r="R153" s="183">
        <f t="shared" si="30"/>
        <v>2930922041</v>
      </c>
      <c r="S153" s="184" t="s">
        <v>223</v>
      </c>
      <c r="T153" s="180">
        <f t="shared" si="27"/>
        <v>0</v>
      </c>
      <c r="U153" s="185" t="str">
        <f t="shared" si="31"/>
        <v>SUBDIRECCION DE GESTION CONTRACTUAL</v>
      </c>
      <c r="V153" s="172" t="str">
        <f t="shared" si="24"/>
        <v>CO-DC</v>
      </c>
      <c r="W153" s="185" t="str">
        <f t="shared" si="25"/>
        <v>Distrito Capital de Bogotá</v>
      </c>
      <c r="X153" s="186" t="s">
        <v>677</v>
      </c>
      <c r="Y153" s="172">
        <v>2427400</v>
      </c>
      <c r="Z153" s="188" t="s">
        <v>87</v>
      </c>
    </row>
    <row r="154" spans="1:26" s="189" customFormat="1" ht="12.75" customHeight="1" x14ac:dyDescent="0.2">
      <c r="A154" s="171" t="s">
        <v>84</v>
      </c>
      <c r="B154" s="172">
        <v>2</v>
      </c>
      <c r="C154" s="173" t="s">
        <v>355</v>
      </c>
      <c r="D154" s="173" t="s">
        <v>89</v>
      </c>
      <c r="E154" s="174"/>
      <c r="F154" s="174">
        <v>1002214917</v>
      </c>
      <c r="G154" s="174"/>
      <c r="H154" s="175">
        <v>80111600</v>
      </c>
      <c r="I154" s="176" t="s">
        <v>354</v>
      </c>
      <c r="J154" s="177">
        <v>1</v>
      </c>
      <c r="K154" s="178">
        <v>1</v>
      </c>
      <c r="L154" s="179">
        <v>12</v>
      </c>
      <c r="M154" s="172">
        <f t="shared" si="28"/>
        <v>1</v>
      </c>
      <c r="N154" s="180" t="s">
        <v>216</v>
      </c>
      <c r="O154" s="181" t="str">
        <f>IF(ISBLANK(N154),"",VLOOKUP(N154,[9]Parámetros!$G$2:$H$23,2,FALSE))</f>
        <v>Contratación directa.</v>
      </c>
      <c r="P154" s="182">
        <f t="shared" si="26"/>
        <v>1</v>
      </c>
      <c r="Q154" s="183">
        <f t="shared" si="29"/>
        <v>1002214917</v>
      </c>
      <c r="R154" s="183">
        <f t="shared" si="30"/>
        <v>1002214917</v>
      </c>
      <c r="S154" s="184" t="s">
        <v>223</v>
      </c>
      <c r="T154" s="180">
        <f t="shared" si="27"/>
        <v>0</v>
      </c>
      <c r="U154" s="185" t="str">
        <f t="shared" si="31"/>
        <v>SUBDIRECCION DE GESTION CONTRACTUAL</v>
      </c>
      <c r="V154" s="172" t="str">
        <f t="shared" si="24"/>
        <v>CO-DC</v>
      </c>
      <c r="W154" s="185" t="str">
        <f t="shared" si="25"/>
        <v>Distrito Capital de Bogotá</v>
      </c>
      <c r="X154" s="186" t="s">
        <v>677</v>
      </c>
      <c r="Y154" s="172">
        <v>2427400</v>
      </c>
      <c r="Z154" s="188" t="s">
        <v>87</v>
      </c>
    </row>
    <row r="155" spans="1:26" s="189" customFormat="1" ht="12.75" customHeight="1" x14ac:dyDescent="0.2">
      <c r="A155" s="171" t="s">
        <v>84</v>
      </c>
      <c r="B155" s="172">
        <v>3</v>
      </c>
      <c r="C155" s="173" t="s">
        <v>356</v>
      </c>
      <c r="D155" s="173" t="s">
        <v>89</v>
      </c>
      <c r="E155" s="174"/>
      <c r="F155" s="174">
        <v>377068280</v>
      </c>
      <c r="G155" s="174"/>
      <c r="H155" s="175">
        <v>80111600</v>
      </c>
      <c r="I155" s="176" t="s">
        <v>354</v>
      </c>
      <c r="J155" s="177">
        <v>1</v>
      </c>
      <c r="K155" s="178">
        <v>1</v>
      </c>
      <c r="L155" s="179">
        <v>12</v>
      </c>
      <c r="M155" s="172">
        <f t="shared" si="28"/>
        <v>1</v>
      </c>
      <c r="N155" s="180" t="s">
        <v>216</v>
      </c>
      <c r="O155" s="181" t="str">
        <f>IF(ISBLANK(N155),"",VLOOKUP(N155,[9]Parámetros!$G$2:$H$23,2,FALSE))</f>
        <v>Contratación directa.</v>
      </c>
      <c r="P155" s="182">
        <f t="shared" si="26"/>
        <v>1</v>
      </c>
      <c r="Q155" s="183">
        <f t="shared" si="29"/>
        <v>377068280</v>
      </c>
      <c r="R155" s="183">
        <f t="shared" si="30"/>
        <v>377068280</v>
      </c>
      <c r="S155" s="184" t="s">
        <v>223</v>
      </c>
      <c r="T155" s="180">
        <f t="shared" si="27"/>
        <v>0</v>
      </c>
      <c r="U155" s="185" t="str">
        <f t="shared" si="31"/>
        <v>SUBDIRECCION DE GESTION CONTRACTUAL</v>
      </c>
      <c r="V155" s="172" t="str">
        <f t="shared" si="24"/>
        <v>CO-DC</v>
      </c>
      <c r="W155" s="185" t="str">
        <f t="shared" si="25"/>
        <v>Distrito Capital de Bogotá</v>
      </c>
      <c r="X155" s="186" t="s">
        <v>677</v>
      </c>
      <c r="Y155" s="172">
        <v>2427400</v>
      </c>
      <c r="Z155" s="188" t="s">
        <v>87</v>
      </c>
    </row>
    <row r="156" spans="1:26" s="189" customFormat="1" ht="12.75" customHeight="1" x14ac:dyDescent="0.2">
      <c r="A156" s="171" t="s">
        <v>84</v>
      </c>
      <c r="B156" s="172">
        <f t="shared" ref="B156:B187" si="34">+B155+1</f>
        <v>4</v>
      </c>
      <c r="C156" s="173" t="s">
        <v>91</v>
      </c>
      <c r="D156" s="173" t="s">
        <v>89</v>
      </c>
      <c r="E156" s="174"/>
      <c r="F156" s="174">
        <v>6775505000</v>
      </c>
      <c r="G156" s="174"/>
      <c r="H156" s="175" t="s">
        <v>801</v>
      </c>
      <c r="I156" s="176" t="s">
        <v>357</v>
      </c>
      <c r="J156" s="177">
        <v>2</v>
      </c>
      <c r="K156" s="178">
        <v>3</v>
      </c>
      <c r="L156" s="179">
        <v>9</v>
      </c>
      <c r="M156" s="172">
        <f t="shared" si="28"/>
        <v>1</v>
      </c>
      <c r="N156" s="180" t="s">
        <v>234</v>
      </c>
      <c r="O156" s="181" t="str">
        <f>IF(ISBLANK(N156),"",VLOOKUP(N156,[9]Parámetros!$G$2:$H$23,2,FALSE))</f>
        <v>Licitación pública</v>
      </c>
      <c r="P156" s="182">
        <f t="shared" si="26"/>
        <v>1</v>
      </c>
      <c r="Q156" s="183">
        <f t="shared" si="29"/>
        <v>6775505000</v>
      </c>
      <c r="R156" s="183">
        <f t="shared" si="30"/>
        <v>6775505000</v>
      </c>
      <c r="S156" s="184" t="s">
        <v>223</v>
      </c>
      <c r="T156" s="180">
        <f t="shared" si="27"/>
        <v>0</v>
      </c>
      <c r="U156" s="185" t="str">
        <f t="shared" si="31"/>
        <v>SUBDIRECCION DE GESTION CONTRACTUAL</v>
      </c>
      <c r="V156" s="172" t="str">
        <f t="shared" si="24"/>
        <v>CO-DC</v>
      </c>
      <c r="W156" s="185" t="str">
        <f t="shared" si="25"/>
        <v>Distrito Capital de Bogotá</v>
      </c>
      <c r="X156" s="186" t="s">
        <v>677</v>
      </c>
      <c r="Y156" s="172">
        <v>2427400</v>
      </c>
      <c r="Z156" s="188" t="s">
        <v>87</v>
      </c>
    </row>
    <row r="157" spans="1:26" s="189" customFormat="1" ht="12.75" customHeight="1" x14ac:dyDescent="0.2">
      <c r="A157" s="171" t="s">
        <v>84</v>
      </c>
      <c r="B157" s="172">
        <f t="shared" si="34"/>
        <v>5</v>
      </c>
      <c r="C157" s="173" t="s">
        <v>355</v>
      </c>
      <c r="D157" s="173" t="s">
        <v>89</v>
      </c>
      <c r="E157" s="174"/>
      <c r="F157" s="174">
        <v>3133047492</v>
      </c>
      <c r="G157" s="174"/>
      <c r="H157" s="175" t="s">
        <v>801</v>
      </c>
      <c r="I157" s="176" t="s">
        <v>357</v>
      </c>
      <c r="J157" s="177">
        <v>2</v>
      </c>
      <c r="K157" s="178">
        <v>3</v>
      </c>
      <c r="L157" s="179">
        <v>9</v>
      </c>
      <c r="M157" s="172">
        <f t="shared" si="28"/>
        <v>1</v>
      </c>
      <c r="N157" s="180" t="s">
        <v>234</v>
      </c>
      <c r="O157" s="181" t="str">
        <f>IF(ISBLANK(N157),"",VLOOKUP(N157,[9]Parámetros!$G$2:$H$23,2,FALSE))</f>
        <v>Licitación pública</v>
      </c>
      <c r="P157" s="182">
        <f t="shared" si="26"/>
        <v>1</v>
      </c>
      <c r="Q157" s="183">
        <f t="shared" si="29"/>
        <v>3133047492</v>
      </c>
      <c r="R157" s="183">
        <f t="shared" si="30"/>
        <v>3133047492</v>
      </c>
      <c r="S157" s="184" t="s">
        <v>223</v>
      </c>
      <c r="T157" s="180">
        <f t="shared" si="27"/>
        <v>0</v>
      </c>
      <c r="U157" s="185" t="str">
        <f t="shared" si="31"/>
        <v>SUBDIRECCION DE GESTION CONTRACTUAL</v>
      </c>
      <c r="V157" s="172" t="str">
        <f t="shared" si="24"/>
        <v>CO-DC</v>
      </c>
      <c r="W157" s="185" t="str">
        <f t="shared" si="25"/>
        <v>Distrito Capital de Bogotá</v>
      </c>
      <c r="X157" s="186" t="s">
        <v>677</v>
      </c>
      <c r="Y157" s="172">
        <v>2427400</v>
      </c>
      <c r="Z157" s="188" t="s">
        <v>87</v>
      </c>
    </row>
    <row r="158" spans="1:26" s="189" customFormat="1" ht="12.75" customHeight="1" x14ac:dyDescent="0.2">
      <c r="A158" s="171" t="s">
        <v>84</v>
      </c>
      <c r="B158" s="172">
        <f t="shared" si="34"/>
        <v>6</v>
      </c>
      <c r="C158" s="173" t="s">
        <v>356</v>
      </c>
      <c r="D158" s="173" t="s">
        <v>89</v>
      </c>
      <c r="E158" s="174"/>
      <c r="F158" s="174">
        <f>77250000+865200000</f>
        <v>942450000</v>
      </c>
      <c r="G158" s="174"/>
      <c r="H158" s="175" t="s">
        <v>801</v>
      </c>
      <c r="I158" s="176" t="s">
        <v>357</v>
      </c>
      <c r="J158" s="177">
        <v>2</v>
      </c>
      <c r="K158" s="178">
        <v>3</v>
      </c>
      <c r="L158" s="179">
        <v>9</v>
      </c>
      <c r="M158" s="172">
        <f t="shared" si="28"/>
        <v>1</v>
      </c>
      <c r="N158" s="180" t="s">
        <v>234</v>
      </c>
      <c r="O158" s="181" t="str">
        <f>IF(ISBLANK(N158),"",VLOOKUP(N158,[9]Parámetros!$G$2:$H$23,2,FALSE))</f>
        <v>Licitación pública</v>
      </c>
      <c r="P158" s="182">
        <f t="shared" si="26"/>
        <v>1</v>
      </c>
      <c r="Q158" s="183">
        <f t="shared" si="29"/>
        <v>942450000</v>
      </c>
      <c r="R158" s="183">
        <f t="shared" si="30"/>
        <v>942450000</v>
      </c>
      <c r="S158" s="184" t="s">
        <v>223</v>
      </c>
      <c r="T158" s="180">
        <f t="shared" si="27"/>
        <v>0</v>
      </c>
      <c r="U158" s="185" t="str">
        <f t="shared" si="31"/>
        <v>SUBDIRECCION DE GESTION CONTRACTUAL</v>
      </c>
      <c r="V158" s="172" t="str">
        <f t="shared" si="24"/>
        <v>CO-DC</v>
      </c>
      <c r="W158" s="185" t="str">
        <f t="shared" si="25"/>
        <v>Distrito Capital de Bogotá</v>
      </c>
      <c r="X158" s="186" t="s">
        <v>677</v>
      </c>
      <c r="Y158" s="172">
        <v>2427400</v>
      </c>
      <c r="Z158" s="188" t="s">
        <v>87</v>
      </c>
    </row>
    <row r="159" spans="1:26" s="189" customFormat="1" ht="12.75" customHeight="1" x14ac:dyDescent="0.2">
      <c r="A159" s="171" t="s">
        <v>84</v>
      </c>
      <c r="B159" s="172">
        <f t="shared" si="34"/>
        <v>7</v>
      </c>
      <c r="C159" s="173" t="s">
        <v>91</v>
      </c>
      <c r="D159" s="173" t="s">
        <v>89</v>
      </c>
      <c r="E159" s="174"/>
      <c r="F159" s="174">
        <v>451170000</v>
      </c>
      <c r="G159" s="174"/>
      <c r="H159" s="175" t="s">
        <v>42</v>
      </c>
      <c r="I159" s="176" t="s">
        <v>358</v>
      </c>
      <c r="J159" s="177">
        <v>3</v>
      </c>
      <c r="K159" s="178">
        <v>4</v>
      </c>
      <c r="L159" s="179">
        <v>9</v>
      </c>
      <c r="M159" s="172">
        <f t="shared" si="28"/>
        <v>1</v>
      </c>
      <c r="N159" s="180" t="s">
        <v>61</v>
      </c>
      <c r="O159" s="181" t="str">
        <f>IF(ISBLANK(N159),"",VLOOKUP(N159,[9]Parámetros!$G$2:$H$23,2,FALSE))</f>
        <v>Contratación régimen especial - Selección de comisionista</v>
      </c>
      <c r="P159" s="182">
        <f t="shared" si="26"/>
        <v>1</v>
      </c>
      <c r="Q159" s="183">
        <f t="shared" si="29"/>
        <v>451170000</v>
      </c>
      <c r="R159" s="183">
        <f t="shared" si="30"/>
        <v>451170000</v>
      </c>
      <c r="S159" s="184" t="s">
        <v>223</v>
      </c>
      <c r="T159" s="180">
        <f t="shared" si="27"/>
        <v>0</v>
      </c>
      <c r="U159" s="185" t="str">
        <f t="shared" si="31"/>
        <v>SUBDIRECCION DE GESTION CONTRACTUAL</v>
      </c>
      <c r="V159" s="172" t="str">
        <f t="shared" si="24"/>
        <v>CO-DC</v>
      </c>
      <c r="W159" s="185" t="str">
        <f t="shared" si="25"/>
        <v>Distrito Capital de Bogotá</v>
      </c>
      <c r="X159" s="186" t="s">
        <v>359</v>
      </c>
      <c r="Y159" s="172">
        <v>2427400</v>
      </c>
      <c r="Z159" s="188" t="s">
        <v>75</v>
      </c>
    </row>
    <row r="160" spans="1:26" s="189" customFormat="1" ht="12.75" customHeight="1" x14ac:dyDescent="0.2">
      <c r="A160" s="171" t="s">
        <v>84</v>
      </c>
      <c r="B160" s="172">
        <f t="shared" si="34"/>
        <v>8</v>
      </c>
      <c r="C160" s="173" t="s">
        <v>355</v>
      </c>
      <c r="D160" s="173" t="s">
        <v>89</v>
      </c>
      <c r="E160" s="174"/>
      <c r="F160" s="174">
        <v>187110000</v>
      </c>
      <c r="G160" s="174"/>
      <c r="H160" s="175" t="s">
        <v>42</v>
      </c>
      <c r="I160" s="176" t="s">
        <v>358</v>
      </c>
      <c r="J160" s="177">
        <v>3</v>
      </c>
      <c r="K160" s="178">
        <v>4</v>
      </c>
      <c r="L160" s="179">
        <v>9</v>
      </c>
      <c r="M160" s="172">
        <f t="shared" si="28"/>
        <v>1</v>
      </c>
      <c r="N160" s="180" t="s">
        <v>61</v>
      </c>
      <c r="O160" s="181" t="str">
        <f>IF(ISBLANK(N160),"",VLOOKUP(N160,[9]Parámetros!$G$2:$H$23,2,FALSE))</f>
        <v>Contratación régimen especial - Selección de comisionista</v>
      </c>
      <c r="P160" s="182">
        <f t="shared" si="26"/>
        <v>1</v>
      </c>
      <c r="Q160" s="183">
        <f t="shared" si="29"/>
        <v>187110000</v>
      </c>
      <c r="R160" s="183">
        <f t="shared" si="30"/>
        <v>187110000</v>
      </c>
      <c r="S160" s="184" t="s">
        <v>223</v>
      </c>
      <c r="T160" s="180">
        <f t="shared" si="27"/>
        <v>0</v>
      </c>
      <c r="U160" s="185" t="str">
        <f t="shared" si="31"/>
        <v>SUBDIRECCION DE GESTION CONTRACTUAL</v>
      </c>
      <c r="V160" s="172" t="str">
        <f t="shared" si="24"/>
        <v>CO-DC</v>
      </c>
      <c r="W160" s="185" t="str">
        <f t="shared" si="25"/>
        <v>Distrito Capital de Bogotá</v>
      </c>
      <c r="X160" s="186" t="s">
        <v>359</v>
      </c>
      <c r="Y160" s="172">
        <v>2427400</v>
      </c>
      <c r="Z160" s="188" t="s">
        <v>75</v>
      </c>
    </row>
    <row r="161" spans="1:26" s="189" customFormat="1" ht="12.75" customHeight="1" x14ac:dyDescent="0.2">
      <c r="A161" s="171" t="s">
        <v>84</v>
      </c>
      <c r="B161" s="172">
        <f t="shared" si="34"/>
        <v>9</v>
      </c>
      <c r="C161" s="173" t="s">
        <v>356</v>
      </c>
      <c r="D161" s="173" t="s">
        <v>89</v>
      </c>
      <c r="E161" s="174"/>
      <c r="F161" s="174">
        <v>32400000</v>
      </c>
      <c r="G161" s="174"/>
      <c r="H161" s="175" t="s">
        <v>42</v>
      </c>
      <c r="I161" s="176" t="s">
        <v>358</v>
      </c>
      <c r="J161" s="177">
        <v>3</v>
      </c>
      <c r="K161" s="178">
        <v>4</v>
      </c>
      <c r="L161" s="179">
        <v>9</v>
      </c>
      <c r="M161" s="172">
        <f t="shared" si="28"/>
        <v>1</v>
      </c>
      <c r="N161" s="180" t="s">
        <v>61</v>
      </c>
      <c r="O161" s="181" t="str">
        <f>IF(ISBLANK(N161),"",VLOOKUP(N161,[9]Parámetros!$G$2:$H$23,2,FALSE))</f>
        <v>Contratación régimen especial - Selección de comisionista</v>
      </c>
      <c r="P161" s="182">
        <f t="shared" ref="P161:P192" si="35">IF(ISBLANK(N161),"",1)</f>
        <v>1</v>
      </c>
      <c r="Q161" s="183">
        <f t="shared" si="29"/>
        <v>32400000</v>
      </c>
      <c r="R161" s="183">
        <f t="shared" si="30"/>
        <v>32400000</v>
      </c>
      <c r="S161" s="184" t="s">
        <v>223</v>
      </c>
      <c r="T161" s="180">
        <f t="shared" ref="T161:T192" si="36">IF(ISBLANK(S161),"",IF(VALUE(S161)=0,0,IF(VALUE(S161)=1,3,"")))</f>
        <v>0</v>
      </c>
      <c r="U161" s="185" t="str">
        <f t="shared" si="31"/>
        <v>SUBDIRECCION DE GESTION CONTRACTUAL</v>
      </c>
      <c r="V161" s="172" t="str">
        <f t="shared" ref="V161:V224" si="37">IF(ISBLANK(N161),"","CO-DC")</f>
        <v>CO-DC</v>
      </c>
      <c r="W161" s="185" t="str">
        <f t="shared" ref="W161:W224" si="38">IF(ISBLANK(N161),"","Distrito Capital de Bogotá")</f>
        <v>Distrito Capital de Bogotá</v>
      </c>
      <c r="X161" s="186" t="s">
        <v>359</v>
      </c>
      <c r="Y161" s="172">
        <v>2427400</v>
      </c>
      <c r="Z161" s="188" t="s">
        <v>75</v>
      </c>
    </row>
    <row r="162" spans="1:26" s="189" customFormat="1" ht="12.75" customHeight="1" x14ac:dyDescent="0.2">
      <c r="A162" s="171" t="s">
        <v>84</v>
      </c>
      <c r="B162" s="172">
        <f t="shared" si="34"/>
        <v>10</v>
      </c>
      <c r="C162" s="173" t="s">
        <v>91</v>
      </c>
      <c r="D162" s="173" t="s">
        <v>89</v>
      </c>
      <c r="E162" s="174"/>
      <c r="F162" s="174">
        <v>1730400000</v>
      </c>
      <c r="G162" s="174"/>
      <c r="H162" s="175" t="s">
        <v>360</v>
      </c>
      <c r="I162" s="176" t="s">
        <v>361</v>
      </c>
      <c r="J162" s="177">
        <v>3</v>
      </c>
      <c r="K162" s="178">
        <v>4</v>
      </c>
      <c r="L162" s="179">
        <v>9</v>
      </c>
      <c r="M162" s="172">
        <f t="shared" si="28"/>
        <v>1</v>
      </c>
      <c r="N162" s="180" t="s">
        <v>36</v>
      </c>
      <c r="O162" s="181" t="str">
        <f>IF(ISBLANK(N162),"",VLOOKUP(N162,[9]Parámetros!$G$2:$H$23,2,FALSE))</f>
        <v xml:space="preserve">Contratación directa (con ofertas) </v>
      </c>
      <c r="P162" s="182">
        <f t="shared" si="35"/>
        <v>1</v>
      </c>
      <c r="Q162" s="183">
        <f t="shared" si="29"/>
        <v>1730400000</v>
      </c>
      <c r="R162" s="183">
        <f t="shared" si="30"/>
        <v>1730400000</v>
      </c>
      <c r="S162" s="184" t="s">
        <v>223</v>
      </c>
      <c r="T162" s="180">
        <f t="shared" si="36"/>
        <v>0</v>
      </c>
      <c r="U162" s="185" t="str">
        <f t="shared" si="31"/>
        <v>SUBDIRECCION DE GESTION CONTRACTUAL</v>
      </c>
      <c r="V162" s="172" t="str">
        <f t="shared" si="37"/>
        <v>CO-DC</v>
      </c>
      <c r="W162" s="185" t="str">
        <f t="shared" si="38"/>
        <v>Distrito Capital de Bogotá</v>
      </c>
      <c r="X162" s="186" t="s">
        <v>677</v>
      </c>
      <c r="Y162" s="172">
        <v>2427400</v>
      </c>
      <c r="Z162" s="188" t="s">
        <v>87</v>
      </c>
    </row>
    <row r="163" spans="1:26" s="189" customFormat="1" ht="12.75" customHeight="1" x14ac:dyDescent="0.2">
      <c r="A163" s="171" t="s">
        <v>84</v>
      </c>
      <c r="B163" s="172">
        <f t="shared" si="34"/>
        <v>11</v>
      </c>
      <c r="C163" s="173" t="s">
        <v>91</v>
      </c>
      <c r="D163" s="173" t="s">
        <v>89</v>
      </c>
      <c r="E163" s="174"/>
      <c r="F163" s="174">
        <v>18810000000</v>
      </c>
      <c r="G163" s="174"/>
      <c r="H163" s="175" t="s">
        <v>92</v>
      </c>
      <c r="I163" s="176" t="s">
        <v>362</v>
      </c>
      <c r="J163" s="177">
        <v>2</v>
      </c>
      <c r="K163" s="178">
        <v>5</v>
      </c>
      <c r="L163" s="179">
        <v>8</v>
      </c>
      <c r="M163" s="172">
        <f t="shared" si="28"/>
        <v>1</v>
      </c>
      <c r="N163" s="180" t="s">
        <v>36</v>
      </c>
      <c r="O163" s="181" t="str">
        <f>IF(ISBLANK(N163),"",VLOOKUP(N163,[9]Parámetros!$G$2:$H$23,2,FALSE))</f>
        <v xml:space="preserve">Contratación directa (con ofertas) </v>
      </c>
      <c r="P163" s="182">
        <f t="shared" si="35"/>
        <v>1</v>
      </c>
      <c r="Q163" s="183">
        <f t="shared" si="29"/>
        <v>18810000000</v>
      </c>
      <c r="R163" s="183">
        <f t="shared" si="30"/>
        <v>18810000000</v>
      </c>
      <c r="S163" s="184" t="s">
        <v>223</v>
      </c>
      <c r="T163" s="180">
        <f t="shared" si="36"/>
        <v>0</v>
      </c>
      <c r="U163" s="185" t="str">
        <f t="shared" si="31"/>
        <v>SUBDIRECCION DE GESTION CONTRACTUAL</v>
      </c>
      <c r="V163" s="172" t="str">
        <f t="shared" si="37"/>
        <v>CO-DC</v>
      </c>
      <c r="W163" s="185" t="str">
        <f t="shared" si="38"/>
        <v>Distrito Capital de Bogotá</v>
      </c>
      <c r="X163" s="186" t="s">
        <v>677</v>
      </c>
      <c r="Y163" s="172">
        <v>2427400</v>
      </c>
      <c r="Z163" s="188" t="s">
        <v>87</v>
      </c>
    </row>
    <row r="164" spans="1:26" s="189" customFormat="1" ht="12.75" customHeight="1" x14ac:dyDescent="0.2">
      <c r="A164" s="171" t="s">
        <v>84</v>
      </c>
      <c r="B164" s="172">
        <f t="shared" si="34"/>
        <v>12</v>
      </c>
      <c r="C164" s="173" t="s">
        <v>91</v>
      </c>
      <c r="D164" s="173" t="s">
        <v>89</v>
      </c>
      <c r="E164" s="174"/>
      <c r="F164" s="174">
        <v>143296144.09999999</v>
      </c>
      <c r="G164" s="174"/>
      <c r="H164" s="175" t="s">
        <v>650</v>
      </c>
      <c r="I164" s="176" t="s">
        <v>652</v>
      </c>
      <c r="J164" s="177">
        <v>2</v>
      </c>
      <c r="K164" s="178">
        <v>2</v>
      </c>
      <c r="L164" s="179">
        <v>10</v>
      </c>
      <c r="M164" s="172">
        <f t="shared" si="28"/>
        <v>1</v>
      </c>
      <c r="N164" s="180" t="s">
        <v>36</v>
      </c>
      <c r="O164" s="181" t="str">
        <f>IF(ISBLANK(N164),"",VLOOKUP(N164,[9]Parámetros!$G$2:$H$23,2,FALSE))</f>
        <v xml:space="preserve">Contratación directa (con ofertas) </v>
      </c>
      <c r="P164" s="182">
        <f t="shared" si="35"/>
        <v>1</v>
      </c>
      <c r="Q164" s="183">
        <f t="shared" si="29"/>
        <v>143296144.09999999</v>
      </c>
      <c r="R164" s="183">
        <f t="shared" si="30"/>
        <v>143296144.09999999</v>
      </c>
      <c r="S164" s="184" t="s">
        <v>223</v>
      </c>
      <c r="T164" s="180">
        <f t="shared" si="36"/>
        <v>0</v>
      </c>
      <c r="U164" s="185" t="str">
        <f t="shared" si="31"/>
        <v>SUBDIRECCION DE GESTION CONTRACTUAL</v>
      </c>
      <c r="V164" s="172" t="str">
        <f t="shared" si="37"/>
        <v>CO-DC</v>
      </c>
      <c r="W164" s="185" t="str">
        <f t="shared" si="38"/>
        <v>Distrito Capital de Bogotá</v>
      </c>
      <c r="X164" s="186" t="s">
        <v>332</v>
      </c>
      <c r="Y164" s="172">
        <v>2427400</v>
      </c>
      <c r="Z164" s="188" t="s">
        <v>94</v>
      </c>
    </row>
    <row r="165" spans="1:26" s="189" customFormat="1" ht="12.75" customHeight="1" x14ac:dyDescent="0.2">
      <c r="A165" s="171" t="s">
        <v>84</v>
      </c>
      <c r="B165" s="172">
        <f t="shared" si="34"/>
        <v>13</v>
      </c>
      <c r="C165" s="173" t="s">
        <v>91</v>
      </c>
      <c r="D165" s="173" t="s">
        <v>89</v>
      </c>
      <c r="E165" s="174"/>
      <c r="F165" s="174">
        <v>102257200.97499847</v>
      </c>
      <c r="G165" s="174"/>
      <c r="H165" s="175" t="s">
        <v>92</v>
      </c>
      <c r="I165" s="176" t="s">
        <v>363</v>
      </c>
      <c r="J165" s="177">
        <v>3</v>
      </c>
      <c r="K165" s="178">
        <v>4</v>
      </c>
      <c r="L165" s="179">
        <v>9</v>
      </c>
      <c r="M165" s="172">
        <f t="shared" si="28"/>
        <v>1</v>
      </c>
      <c r="N165" s="180" t="s">
        <v>36</v>
      </c>
      <c r="O165" s="181" t="str">
        <f>IF(ISBLANK(N165),"",VLOOKUP(N165,[9]Parámetros!$G$2:$H$23,2,FALSE))</f>
        <v xml:space="preserve">Contratación directa (con ofertas) </v>
      </c>
      <c r="P165" s="182">
        <f t="shared" si="35"/>
        <v>1</v>
      </c>
      <c r="Q165" s="183">
        <f t="shared" si="29"/>
        <v>102257200.97499847</v>
      </c>
      <c r="R165" s="183">
        <f t="shared" si="30"/>
        <v>102257200.97499847</v>
      </c>
      <c r="S165" s="184" t="s">
        <v>223</v>
      </c>
      <c r="T165" s="180">
        <f t="shared" si="36"/>
        <v>0</v>
      </c>
      <c r="U165" s="185" t="str">
        <f t="shared" si="31"/>
        <v>SUBDIRECCION DE GESTION CONTRACTUAL</v>
      </c>
      <c r="V165" s="172" t="str">
        <f t="shared" si="37"/>
        <v>CO-DC</v>
      </c>
      <c r="W165" s="185" t="str">
        <f t="shared" si="38"/>
        <v>Distrito Capital de Bogotá</v>
      </c>
      <c r="X165" s="186" t="s">
        <v>677</v>
      </c>
      <c r="Y165" s="172">
        <v>2427400</v>
      </c>
      <c r="Z165" s="188" t="s">
        <v>87</v>
      </c>
    </row>
    <row r="166" spans="1:26" s="189" customFormat="1" ht="12.75" customHeight="1" x14ac:dyDescent="0.2">
      <c r="A166" s="171" t="s">
        <v>84</v>
      </c>
      <c r="B166" s="172">
        <f t="shared" si="34"/>
        <v>14</v>
      </c>
      <c r="C166" s="173" t="s">
        <v>91</v>
      </c>
      <c r="D166" s="173" t="s">
        <v>89</v>
      </c>
      <c r="E166" s="174"/>
      <c r="F166" s="174">
        <v>126000000</v>
      </c>
      <c r="G166" s="174"/>
      <c r="H166" s="175" t="s">
        <v>93</v>
      </c>
      <c r="I166" s="176" t="s">
        <v>364</v>
      </c>
      <c r="J166" s="177">
        <v>3</v>
      </c>
      <c r="K166" s="178">
        <v>4</v>
      </c>
      <c r="L166" s="179">
        <v>9</v>
      </c>
      <c r="M166" s="172">
        <f t="shared" si="28"/>
        <v>1</v>
      </c>
      <c r="N166" s="180" t="s">
        <v>36</v>
      </c>
      <c r="O166" s="181" t="str">
        <f>IF(ISBLANK(N166),"",VLOOKUP(N166,[9]Parámetros!$G$2:$H$23,2,FALSE))</f>
        <v xml:space="preserve">Contratación directa (con ofertas) </v>
      </c>
      <c r="P166" s="182">
        <f t="shared" si="35"/>
        <v>1</v>
      </c>
      <c r="Q166" s="183">
        <f t="shared" si="29"/>
        <v>126000000</v>
      </c>
      <c r="R166" s="183">
        <f t="shared" si="30"/>
        <v>126000000</v>
      </c>
      <c r="S166" s="184" t="s">
        <v>223</v>
      </c>
      <c r="T166" s="180">
        <f t="shared" si="36"/>
        <v>0</v>
      </c>
      <c r="U166" s="185" t="str">
        <f t="shared" si="31"/>
        <v>SUBDIRECCION DE GESTION CONTRACTUAL</v>
      </c>
      <c r="V166" s="172" t="str">
        <f t="shared" si="37"/>
        <v>CO-DC</v>
      </c>
      <c r="W166" s="185" t="str">
        <f t="shared" si="38"/>
        <v>Distrito Capital de Bogotá</v>
      </c>
      <c r="X166" s="186" t="s">
        <v>677</v>
      </c>
      <c r="Y166" s="172">
        <v>2427400</v>
      </c>
      <c r="Z166" s="188" t="s">
        <v>87</v>
      </c>
    </row>
    <row r="167" spans="1:26" s="189" customFormat="1" ht="12.75" customHeight="1" x14ac:dyDescent="0.2">
      <c r="A167" s="171" t="s">
        <v>84</v>
      </c>
      <c r="B167" s="172">
        <f t="shared" si="34"/>
        <v>15</v>
      </c>
      <c r="C167" s="173" t="s">
        <v>356</v>
      </c>
      <c r="D167" s="173" t="s">
        <v>89</v>
      </c>
      <c r="E167" s="174"/>
      <c r="F167" s="174">
        <v>130000000</v>
      </c>
      <c r="G167" s="174"/>
      <c r="H167" s="175" t="s">
        <v>650</v>
      </c>
      <c r="I167" s="176" t="s">
        <v>652</v>
      </c>
      <c r="J167" s="177">
        <v>2</v>
      </c>
      <c r="K167" s="178">
        <v>2</v>
      </c>
      <c r="L167" s="179">
        <v>10</v>
      </c>
      <c r="M167" s="172">
        <f t="shared" si="28"/>
        <v>1</v>
      </c>
      <c r="N167" s="180" t="s">
        <v>36</v>
      </c>
      <c r="O167" s="181" t="str">
        <f>IF(ISBLANK(N167),"",VLOOKUP(N167,[9]Parámetros!$G$2:$H$23,2,FALSE))</f>
        <v xml:space="preserve">Contratación directa (con ofertas) </v>
      </c>
      <c r="P167" s="182">
        <f t="shared" si="35"/>
        <v>1</v>
      </c>
      <c r="Q167" s="183">
        <f t="shared" si="29"/>
        <v>130000000</v>
      </c>
      <c r="R167" s="183">
        <f t="shared" si="30"/>
        <v>130000000</v>
      </c>
      <c r="S167" s="184" t="s">
        <v>223</v>
      </c>
      <c r="T167" s="180">
        <f t="shared" si="36"/>
        <v>0</v>
      </c>
      <c r="U167" s="185" t="str">
        <f t="shared" si="31"/>
        <v>SUBDIRECCION DE GESTION CONTRACTUAL</v>
      </c>
      <c r="V167" s="172" t="str">
        <f t="shared" si="37"/>
        <v>CO-DC</v>
      </c>
      <c r="W167" s="185" t="str">
        <f t="shared" si="38"/>
        <v>Distrito Capital de Bogotá</v>
      </c>
      <c r="X167" s="186" t="s">
        <v>332</v>
      </c>
      <c r="Y167" s="172">
        <v>2427400</v>
      </c>
      <c r="Z167" s="188" t="s">
        <v>94</v>
      </c>
    </row>
    <row r="168" spans="1:26" s="189" customFormat="1" ht="12.75" customHeight="1" x14ac:dyDescent="0.2">
      <c r="A168" s="171" t="s">
        <v>84</v>
      </c>
      <c r="B168" s="172">
        <f t="shared" si="34"/>
        <v>16</v>
      </c>
      <c r="C168" s="173" t="s">
        <v>365</v>
      </c>
      <c r="D168" s="173" t="s">
        <v>366</v>
      </c>
      <c r="E168" s="174"/>
      <c r="F168" s="174">
        <v>1841153635.2</v>
      </c>
      <c r="G168" s="174"/>
      <c r="H168" s="175">
        <v>80111600</v>
      </c>
      <c r="I168" s="176" t="s">
        <v>354</v>
      </c>
      <c r="J168" s="177">
        <v>1</v>
      </c>
      <c r="K168" s="178">
        <v>1</v>
      </c>
      <c r="L168" s="179">
        <v>12</v>
      </c>
      <c r="M168" s="172">
        <f t="shared" si="28"/>
        <v>1</v>
      </c>
      <c r="N168" s="180" t="s">
        <v>216</v>
      </c>
      <c r="O168" s="181" t="str">
        <f>IF(ISBLANK(N168),"",VLOOKUP(N168,[9]Parámetros!$G$2:$H$23,2,FALSE))</f>
        <v>Contratación directa.</v>
      </c>
      <c r="P168" s="182">
        <f t="shared" si="35"/>
        <v>1</v>
      </c>
      <c r="Q168" s="183">
        <f t="shared" si="29"/>
        <v>1841153635.2</v>
      </c>
      <c r="R168" s="183">
        <f t="shared" si="30"/>
        <v>1841153635.2</v>
      </c>
      <c r="S168" s="184" t="s">
        <v>223</v>
      </c>
      <c r="T168" s="180">
        <f t="shared" si="36"/>
        <v>0</v>
      </c>
      <c r="U168" s="185" t="str">
        <f t="shared" si="31"/>
        <v>SUBDIRECCION DE GESTION CONTRACTUAL</v>
      </c>
      <c r="V168" s="172" t="str">
        <f t="shared" si="37"/>
        <v>CO-DC</v>
      </c>
      <c r="W168" s="185" t="str">
        <f t="shared" si="38"/>
        <v>Distrito Capital de Bogotá</v>
      </c>
      <c r="X168" s="186" t="s">
        <v>677</v>
      </c>
      <c r="Y168" s="172">
        <v>2427400</v>
      </c>
      <c r="Z168" s="188" t="s">
        <v>87</v>
      </c>
    </row>
    <row r="169" spans="1:26" s="189" customFormat="1" ht="12.75" customHeight="1" x14ac:dyDescent="0.2">
      <c r="A169" s="171" t="s">
        <v>84</v>
      </c>
      <c r="B169" s="172">
        <f t="shared" si="34"/>
        <v>17</v>
      </c>
      <c r="C169" s="173" t="s">
        <v>365</v>
      </c>
      <c r="D169" s="173" t="s">
        <v>366</v>
      </c>
      <c r="E169" s="174"/>
      <c r="F169" s="174">
        <v>189000000</v>
      </c>
      <c r="G169" s="174"/>
      <c r="H169" s="175" t="s">
        <v>42</v>
      </c>
      <c r="I169" s="176" t="s">
        <v>358</v>
      </c>
      <c r="J169" s="177">
        <v>3</v>
      </c>
      <c r="K169" s="178">
        <v>4</v>
      </c>
      <c r="L169" s="179">
        <v>9</v>
      </c>
      <c r="M169" s="172">
        <f t="shared" si="28"/>
        <v>1</v>
      </c>
      <c r="N169" s="180" t="s">
        <v>61</v>
      </c>
      <c r="O169" s="181" t="str">
        <f>IF(ISBLANK(N169),"",VLOOKUP(N169,[9]Parámetros!$G$2:$H$23,2,FALSE))</f>
        <v>Contratación régimen especial - Selección de comisionista</v>
      </c>
      <c r="P169" s="182">
        <f t="shared" si="35"/>
        <v>1</v>
      </c>
      <c r="Q169" s="183">
        <f t="shared" si="29"/>
        <v>189000000</v>
      </c>
      <c r="R169" s="183">
        <f t="shared" si="30"/>
        <v>189000000</v>
      </c>
      <c r="S169" s="184" t="s">
        <v>223</v>
      </c>
      <c r="T169" s="180">
        <f t="shared" si="36"/>
        <v>0</v>
      </c>
      <c r="U169" s="185" t="str">
        <f t="shared" si="31"/>
        <v>SUBDIRECCION DE GESTION CONTRACTUAL</v>
      </c>
      <c r="V169" s="172" t="str">
        <f t="shared" si="37"/>
        <v>CO-DC</v>
      </c>
      <c r="W169" s="185" t="str">
        <f t="shared" si="38"/>
        <v>Distrito Capital de Bogotá</v>
      </c>
      <c r="X169" s="186" t="s">
        <v>359</v>
      </c>
      <c r="Y169" s="172">
        <v>2427400</v>
      </c>
      <c r="Z169" s="188" t="s">
        <v>75</v>
      </c>
    </row>
    <row r="170" spans="1:26" s="189" customFormat="1" ht="12.75" customHeight="1" x14ac:dyDescent="0.2">
      <c r="A170" s="171" t="s">
        <v>84</v>
      </c>
      <c r="B170" s="172">
        <f t="shared" si="34"/>
        <v>18</v>
      </c>
      <c r="C170" s="173" t="s">
        <v>365</v>
      </c>
      <c r="D170" s="173" t="s">
        <v>366</v>
      </c>
      <c r="E170" s="174"/>
      <c r="F170" s="174">
        <v>6579163981</v>
      </c>
      <c r="G170" s="174"/>
      <c r="H170" s="175" t="s">
        <v>801</v>
      </c>
      <c r="I170" s="176" t="s">
        <v>357</v>
      </c>
      <c r="J170" s="177">
        <v>2</v>
      </c>
      <c r="K170" s="178">
        <v>3</v>
      </c>
      <c r="L170" s="179">
        <v>9</v>
      </c>
      <c r="M170" s="172">
        <f t="shared" si="28"/>
        <v>1</v>
      </c>
      <c r="N170" s="180" t="s">
        <v>234</v>
      </c>
      <c r="O170" s="181" t="str">
        <f>IF(ISBLANK(N170),"",VLOOKUP(N170,[9]Parámetros!$G$2:$H$23,2,FALSE))</f>
        <v>Licitación pública</v>
      </c>
      <c r="P170" s="182">
        <f t="shared" si="35"/>
        <v>1</v>
      </c>
      <c r="Q170" s="183">
        <f t="shared" si="29"/>
        <v>6579163981</v>
      </c>
      <c r="R170" s="183">
        <f t="shared" si="30"/>
        <v>6579163981</v>
      </c>
      <c r="S170" s="184" t="s">
        <v>223</v>
      </c>
      <c r="T170" s="180">
        <f t="shared" si="36"/>
        <v>0</v>
      </c>
      <c r="U170" s="185" t="str">
        <f t="shared" si="31"/>
        <v>SUBDIRECCION DE GESTION CONTRACTUAL</v>
      </c>
      <c r="V170" s="172" t="str">
        <f t="shared" si="37"/>
        <v>CO-DC</v>
      </c>
      <c r="W170" s="185" t="str">
        <f t="shared" si="38"/>
        <v>Distrito Capital de Bogotá</v>
      </c>
      <c r="X170" s="186" t="s">
        <v>677</v>
      </c>
      <c r="Y170" s="172">
        <v>2427400</v>
      </c>
      <c r="Z170" s="188" t="s">
        <v>87</v>
      </c>
    </row>
    <row r="171" spans="1:26" s="189" customFormat="1" ht="12.75" customHeight="1" x14ac:dyDescent="0.2">
      <c r="A171" s="171" t="s">
        <v>84</v>
      </c>
      <c r="B171" s="172">
        <f t="shared" si="34"/>
        <v>19</v>
      </c>
      <c r="C171" s="173" t="s">
        <v>365</v>
      </c>
      <c r="D171" s="173" t="s">
        <v>366</v>
      </c>
      <c r="E171" s="174"/>
      <c r="F171" s="174">
        <v>2440000000</v>
      </c>
      <c r="G171" s="174"/>
      <c r="H171" s="175" t="s">
        <v>92</v>
      </c>
      <c r="I171" s="176" t="s">
        <v>362</v>
      </c>
      <c r="J171" s="177">
        <v>2</v>
      </c>
      <c r="K171" s="178">
        <v>5</v>
      </c>
      <c r="L171" s="179">
        <v>8</v>
      </c>
      <c r="M171" s="172">
        <f t="shared" si="28"/>
        <v>1</v>
      </c>
      <c r="N171" s="180" t="s">
        <v>36</v>
      </c>
      <c r="O171" s="181" t="str">
        <f>IF(ISBLANK(N171),"",VLOOKUP(N171,[9]Parámetros!$G$2:$H$23,2,FALSE))</f>
        <v xml:space="preserve">Contratación directa (con ofertas) </v>
      </c>
      <c r="P171" s="182">
        <f t="shared" si="35"/>
        <v>1</v>
      </c>
      <c r="Q171" s="183">
        <f t="shared" si="29"/>
        <v>2440000000</v>
      </c>
      <c r="R171" s="183">
        <f t="shared" si="30"/>
        <v>2440000000</v>
      </c>
      <c r="S171" s="184" t="s">
        <v>223</v>
      </c>
      <c r="T171" s="180">
        <f t="shared" si="36"/>
        <v>0</v>
      </c>
      <c r="U171" s="185" t="str">
        <f t="shared" si="31"/>
        <v>SUBDIRECCION DE GESTION CONTRACTUAL</v>
      </c>
      <c r="V171" s="172" t="str">
        <f t="shared" si="37"/>
        <v>CO-DC</v>
      </c>
      <c r="W171" s="185" t="str">
        <f t="shared" si="38"/>
        <v>Distrito Capital de Bogotá</v>
      </c>
      <c r="X171" s="186" t="s">
        <v>677</v>
      </c>
      <c r="Y171" s="172">
        <v>2427400</v>
      </c>
      <c r="Z171" s="188" t="s">
        <v>87</v>
      </c>
    </row>
    <row r="172" spans="1:26" s="189" customFormat="1" ht="12.75" customHeight="1" x14ac:dyDescent="0.2">
      <c r="A172" s="171" t="s">
        <v>84</v>
      </c>
      <c r="B172" s="172">
        <f t="shared" si="34"/>
        <v>20</v>
      </c>
      <c r="C172" s="173" t="s">
        <v>365</v>
      </c>
      <c r="D172" s="173" t="s">
        <v>366</v>
      </c>
      <c r="E172" s="174"/>
      <c r="F172" s="174">
        <v>330630000</v>
      </c>
      <c r="G172" s="174"/>
      <c r="H172" s="175" t="s">
        <v>92</v>
      </c>
      <c r="I172" s="176" t="s">
        <v>363</v>
      </c>
      <c r="J172" s="177">
        <v>3</v>
      </c>
      <c r="K172" s="178">
        <v>4</v>
      </c>
      <c r="L172" s="179">
        <v>9</v>
      </c>
      <c r="M172" s="172">
        <f t="shared" si="28"/>
        <v>1</v>
      </c>
      <c r="N172" s="180" t="s">
        <v>36</v>
      </c>
      <c r="O172" s="181" t="str">
        <f>IF(ISBLANK(N172),"",VLOOKUP(N172,[9]Parámetros!$G$2:$H$23,2,FALSE))</f>
        <v xml:space="preserve">Contratación directa (con ofertas) </v>
      </c>
      <c r="P172" s="182">
        <f t="shared" si="35"/>
        <v>1</v>
      </c>
      <c r="Q172" s="183">
        <f t="shared" si="29"/>
        <v>330630000</v>
      </c>
      <c r="R172" s="183">
        <f t="shared" si="30"/>
        <v>330630000</v>
      </c>
      <c r="S172" s="184" t="s">
        <v>223</v>
      </c>
      <c r="T172" s="180">
        <f t="shared" si="36"/>
        <v>0</v>
      </c>
      <c r="U172" s="185" t="str">
        <f t="shared" si="31"/>
        <v>SUBDIRECCION DE GESTION CONTRACTUAL</v>
      </c>
      <c r="V172" s="172" t="str">
        <f t="shared" si="37"/>
        <v>CO-DC</v>
      </c>
      <c r="W172" s="185" t="str">
        <f t="shared" si="38"/>
        <v>Distrito Capital de Bogotá</v>
      </c>
      <c r="X172" s="186" t="s">
        <v>677</v>
      </c>
      <c r="Y172" s="172">
        <v>2427400</v>
      </c>
      <c r="Z172" s="188" t="s">
        <v>87</v>
      </c>
    </row>
    <row r="173" spans="1:26" s="189" customFormat="1" ht="12.75" customHeight="1" x14ac:dyDescent="0.2">
      <c r="A173" s="171" t="s">
        <v>84</v>
      </c>
      <c r="B173" s="172">
        <f t="shared" si="34"/>
        <v>21</v>
      </c>
      <c r="C173" s="173" t="s">
        <v>365</v>
      </c>
      <c r="D173" s="173" t="s">
        <v>366</v>
      </c>
      <c r="E173" s="174"/>
      <c r="F173" s="174">
        <v>264504000</v>
      </c>
      <c r="G173" s="174"/>
      <c r="H173" s="175" t="s">
        <v>360</v>
      </c>
      <c r="I173" s="176" t="s">
        <v>361</v>
      </c>
      <c r="J173" s="177">
        <v>3</v>
      </c>
      <c r="K173" s="178">
        <v>4</v>
      </c>
      <c r="L173" s="179">
        <v>9</v>
      </c>
      <c r="M173" s="172">
        <f t="shared" si="28"/>
        <v>1</v>
      </c>
      <c r="N173" s="180" t="s">
        <v>36</v>
      </c>
      <c r="O173" s="181" t="str">
        <f>IF(ISBLANK(N173),"",VLOOKUP(N173,[9]Parámetros!$G$2:$H$23,2,FALSE))</f>
        <v xml:space="preserve">Contratación directa (con ofertas) </v>
      </c>
      <c r="P173" s="182">
        <f t="shared" si="35"/>
        <v>1</v>
      </c>
      <c r="Q173" s="183">
        <f t="shared" si="29"/>
        <v>264504000</v>
      </c>
      <c r="R173" s="183">
        <f t="shared" si="30"/>
        <v>264504000</v>
      </c>
      <c r="S173" s="184" t="s">
        <v>223</v>
      </c>
      <c r="T173" s="180">
        <f t="shared" si="36"/>
        <v>0</v>
      </c>
      <c r="U173" s="185" t="str">
        <f t="shared" si="31"/>
        <v>SUBDIRECCION DE GESTION CONTRACTUAL</v>
      </c>
      <c r="V173" s="172" t="str">
        <f t="shared" si="37"/>
        <v>CO-DC</v>
      </c>
      <c r="W173" s="185" t="str">
        <f t="shared" si="38"/>
        <v>Distrito Capital de Bogotá</v>
      </c>
      <c r="X173" s="186" t="s">
        <v>677</v>
      </c>
      <c r="Y173" s="172">
        <v>2427400</v>
      </c>
      <c r="Z173" s="188" t="s">
        <v>87</v>
      </c>
    </row>
    <row r="174" spans="1:26" s="189" customFormat="1" ht="12.75" customHeight="1" x14ac:dyDescent="0.2">
      <c r="A174" s="171" t="s">
        <v>84</v>
      </c>
      <c r="B174" s="172">
        <f t="shared" si="34"/>
        <v>22</v>
      </c>
      <c r="C174" s="173" t="s">
        <v>367</v>
      </c>
      <c r="D174" s="173" t="s">
        <v>368</v>
      </c>
      <c r="E174" s="174"/>
      <c r="F174" s="174">
        <v>1388265011.8870001</v>
      </c>
      <c r="G174" s="174"/>
      <c r="H174" s="175">
        <v>80111600</v>
      </c>
      <c r="I174" s="176" t="s">
        <v>354</v>
      </c>
      <c r="J174" s="177">
        <v>1</v>
      </c>
      <c r="K174" s="178">
        <v>1</v>
      </c>
      <c r="L174" s="179">
        <v>12</v>
      </c>
      <c r="M174" s="172">
        <f t="shared" si="28"/>
        <v>1</v>
      </c>
      <c r="N174" s="180" t="s">
        <v>216</v>
      </c>
      <c r="O174" s="181" t="str">
        <f>IF(ISBLANK(N174),"",VLOOKUP(N174,[9]Parámetros!$G$2:$H$23,2,FALSE))</f>
        <v>Contratación directa.</v>
      </c>
      <c r="P174" s="182">
        <f t="shared" si="35"/>
        <v>1</v>
      </c>
      <c r="Q174" s="183">
        <f t="shared" si="29"/>
        <v>1388265011.8870001</v>
      </c>
      <c r="R174" s="183">
        <f t="shared" si="30"/>
        <v>1388265011.8870001</v>
      </c>
      <c r="S174" s="184" t="s">
        <v>223</v>
      </c>
      <c r="T174" s="180">
        <f t="shared" si="36"/>
        <v>0</v>
      </c>
      <c r="U174" s="185" t="str">
        <f t="shared" si="31"/>
        <v>SUBDIRECCION DE GESTION CONTRACTUAL</v>
      </c>
      <c r="V174" s="172" t="str">
        <f t="shared" si="37"/>
        <v>CO-DC</v>
      </c>
      <c r="W174" s="185" t="str">
        <f t="shared" si="38"/>
        <v>Distrito Capital de Bogotá</v>
      </c>
      <c r="X174" s="186" t="s">
        <v>677</v>
      </c>
      <c r="Y174" s="172">
        <v>2427400</v>
      </c>
      <c r="Z174" s="188" t="s">
        <v>87</v>
      </c>
    </row>
    <row r="175" spans="1:26" s="189" customFormat="1" ht="12.75" customHeight="1" x14ac:dyDescent="0.2">
      <c r="A175" s="171" t="s">
        <v>84</v>
      </c>
      <c r="B175" s="172">
        <f t="shared" si="34"/>
        <v>23</v>
      </c>
      <c r="C175" s="173" t="s">
        <v>367</v>
      </c>
      <c r="D175" s="173" t="s">
        <v>368</v>
      </c>
      <c r="E175" s="174"/>
      <c r="F175" s="174">
        <v>155520000</v>
      </c>
      <c r="G175" s="174"/>
      <c r="H175" s="175" t="s">
        <v>42</v>
      </c>
      <c r="I175" s="176" t="s">
        <v>358</v>
      </c>
      <c r="J175" s="177">
        <v>3</v>
      </c>
      <c r="K175" s="178">
        <v>4</v>
      </c>
      <c r="L175" s="179">
        <v>9</v>
      </c>
      <c r="M175" s="172">
        <f t="shared" si="28"/>
        <v>1</v>
      </c>
      <c r="N175" s="180" t="s">
        <v>61</v>
      </c>
      <c r="O175" s="181" t="str">
        <f>IF(ISBLANK(N175),"",VLOOKUP(N175,[9]Parámetros!$G$2:$H$23,2,FALSE))</f>
        <v>Contratación régimen especial - Selección de comisionista</v>
      </c>
      <c r="P175" s="182">
        <f t="shared" si="35"/>
        <v>1</v>
      </c>
      <c r="Q175" s="183">
        <f t="shared" si="29"/>
        <v>155520000</v>
      </c>
      <c r="R175" s="183">
        <f t="shared" si="30"/>
        <v>155520000</v>
      </c>
      <c r="S175" s="184" t="s">
        <v>223</v>
      </c>
      <c r="T175" s="180">
        <f t="shared" si="36"/>
        <v>0</v>
      </c>
      <c r="U175" s="185" t="str">
        <f t="shared" si="31"/>
        <v>SUBDIRECCION DE GESTION CONTRACTUAL</v>
      </c>
      <c r="V175" s="172" t="str">
        <f t="shared" si="37"/>
        <v>CO-DC</v>
      </c>
      <c r="W175" s="185" t="str">
        <f t="shared" si="38"/>
        <v>Distrito Capital de Bogotá</v>
      </c>
      <c r="X175" s="186" t="s">
        <v>359</v>
      </c>
      <c r="Y175" s="172">
        <v>2427400</v>
      </c>
      <c r="Z175" s="188" t="s">
        <v>75</v>
      </c>
    </row>
    <row r="176" spans="1:26" s="189" customFormat="1" ht="12.75" customHeight="1" x14ac:dyDescent="0.2">
      <c r="A176" s="171" t="s">
        <v>84</v>
      </c>
      <c r="B176" s="172">
        <f t="shared" si="34"/>
        <v>24</v>
      </c>
      <c r="C176" s="173" t="s">
        <v>367</v>
      </c>
      <c r="D176" s="173" t="s">
        <v>368</v>
      </c>
      <c r="E176" s="174"/>
      <c r="F176" s="174">
        <v>510000000</v>
      </c>
      <c r="G176" s="174"/>
      <c r="H176" s="175" t="s">
        <v>801</v>
      </c>
      <c r="I176" s="176" t="s">
        <v>357</v>
      </c>
      <c r="J176" s="177">
        <v>2</v>
      </c>
      <c r="K176" s="178">
        <v>3</v>
      </c>
      <c r="L176" s="179">
        <v>9</v>
      </c>
      <c r="M176" s="172">
        <f t="shared" si="28"/>
        <v>1</v>
      </c>
      <c r="N176" s="180" t="s">
        <v>234</v>
      </c>
      <c r="O176" s="181" t="str">
        <f>IF(ISBLANK(N176),"",VLOOKUP(N176,[9]Parámetros!$G$2:$H$23,2,FALSE))</f>
        <v>Licitación pública</v>
      </c>
      <c r="P176" s="182">
        <f t="shared" si="35"/>
        <v>1</v>
      </c>
      <c r="Q176" s="183">
        <f t="shared" si="29"/>
        <v>510000000</v>
      </c>
      <c r="R176" s="183">
        <f t="shared" si="30"/>
        <v>510000000</v>
      </c>
      <c r="S176" s="184" t="s">
        <v>223</v>
      </c>
      <c r="T176" s="180">
        <f t="shared" si="36"/>
        <v>0</v>
      </c>
      <c r="U176" s="185" t="str">
        <f t="shared" si="31"/>
        <v>SUBDIRECCION DE GESTION CONTRACTUAL</v>
      </c>
      <c r="V176" s="172" t="str">
        <f t="shared" si="37"/>
        <v>CO-DC</v>
      </c>
      <c r="W176" s="185" t="str">
        <f t="shared" si="38"/>
        <v>Distrito Capital de Bogotá</v>
      </c>
      <c r="X176" s="186" t="s">
        <v>677</v>
      </c>
      <c r="Y176" s="172">
        <v>2427400</v>
      </c>
      <c r="Z176" s="188" t="s">
        <v>87</v>
      </c>
    </row>
    <row r="177" spans="1:26" s="189" customFormat="1" ht="12.75" customHeight="1" x14ac:dyDescent="0.2">
      <c r="A177" s="171" t="s">
        <v>84</v>
      </c>
      <c r="B177" s="172">
        <f t="shared" si="34"/>
        <v>25</v>
      </c>
      <c r="C177" s="173" t="s">
        <v>367</v>
      </c>
      <c r="D177" s="173" t="s">
        <v>368</v>
      </c>
      <c r="E177" s="174"/>
      <c r="F177" s="174">
        <v>2070778427.1299996</v>
      </c>
      <c r="G177" s="174"/>
      <c r="H177" s="175" t="s">
        <v>92</v>
      </c>
      <c r="I177" s="176" t="s">
        <v>362</v>
      </c>
      <c r="J177" s="177">
        <v>2</v>
      </c>
      <c r="K177" s="178">
        <v>5</v>
      </c>
      <c r="L177" s="179">
        <v>8</v>
      </c>
      <c r="M177" s="172">
        <f t="shared" si="28"/>
        <v>1</v>
      </c>
      <c r="N177" s="180" t="s">
        <v>36</v>
      </c>
      <c r="O177" s="181" t="str">
        <f>IF(ISBLANK(N177),"",VLOOKUP(N177,[9]Parámetros!$G$2:$H$23,2,FALSE))</f>
        <v xml:space="preserve">Contratación directa (con ofertas) </v>
      </c>
      <c r="P177" s="182">
        <f t="shared" si="35"/>
        <v>1</v>
      </c>
      <c r="Q177" s="183">
        <f t="shared" si="29"/>
        <v>2070778427.1299996</v>
      </c>
      <c r="R177" s="183">
        <f t="shared" si="30"/>
        <v>2070778427.1299996</v>
      </c>
      <c r="S177" s="184" t="s">
        <v>223</v>
      </c>
      <c r="T177" s="180">
        <f t="shared" si="36"/>
        <v>0</v>
      </c>
      <c r="U177" s="185" t="str">
        <f t="shared" si="31"/>
        <v>SUBDIRECCION DE GESTION CONTRACTUAL</v>
      </c>
      <c r="V177" s="172" t="str">
        <f t="shared" si="37"/>
        <v>CO-DC</v>
      </c>
      <c r="W177" s="185" t="str">
        <f t="shared" si="38"/>
        <v>Distrito Capital de Bogotá</v>
      </c>
      <c r="X177" s="186" t="s">
        <v>677</v>
      </c>
      <c r="Y177" s="172">
        <v>2427400</v>
      </c>
      <c r="Z177" s="188" t="s">
        <v>87</v>
      </c>
    </row>
    <row r="178" spans="1:26" s="189" customFormat="1" ht="12.75" customHeight="1" x14ac:dyDescent="0.2">
      <c r="A178" s="171" t="s">
        <v>84</v>
      </c>
      <c r="B178" s="172">
        <f t="shared" si="34"/>
        <v>26</v>
      </c>
      <c r="C178" s="173" t="s">
        <v>369</v>
      </c>
      <c r="D178" s="173" t="s">
        <v>370</v>
      </c>
      <c r="E178" s="174"/>
      <c r="F178" s="174">
        <v>928459073.99864995</v>
      </c>
      <c r="G178" s="174"/>
      <c r="H178" s="175">
        <v>80111600</v>
      </c>
      <c r="I178" s="176" t="s">
        <v>354</v>
      </c>
      <c r="J178" s="177">
        <v>1</v>
      </c>
      <c r="K178" s="178">
        <v>1</v>
      </c>
      <c r="L178" s="179">
        <v>12</v>
      </c>
      <c r="M178" s="172">
        <f t="shared" si="28"/>
        <v>1</v>
      </c>
      <c r="N178" s="180" t="s">
        <v>216</v>
      </c>
      <c r="O178" s="181" t="str">
        <f>IF(ISBLANK(N178),"",VLOOKUP(N178,[9]Parámetros!$G$2:$H$23,2,FALSE))</f>
        <v>Contratación directa.</v>
      </c>
      <c r="P178" s="182">
        <f t="shared" si="35"/>
        <v>1</v>
      </c>
      <c r="Q178" s="183">
        <f t="shared" si="29"/>
        <v>928459073.99864995</v>
      </c>
      <c r="R178" s="183">
        <f t="shared" si="30"/>
        <v>928459073.99864995</v>
      </c>
      <c r="S178" s="184" t="s">
        <v>223</v>
      </c>
      <c r="T178" s="180">
        <f t="shared" si="36"/>
        <v>0</v>
      </c>
      <c r="U178" s="185" t="str">
        <f t="shared" si="31"/>
        <v>SUBDIRECCION DE GESTION CONTRACTUAL</v>
      </c>
      <c r="V178" s="172" t="str">
        <f t="shared" si="37"/>
        <v>CO-DC</v>
      </c>
      <c r="W178" s="185" t="str">
        <f t="shared" si="38"/>
        <v>Distrito Capital de Bogotá</v>
      </c>
      <c r="X178" s="186" t="s">
        <v>677</v>
      </c>
      <c r="Y178" s="172">
        <v>2427400</v>
      </c>
      <c r="Z178" s="188" t="s">
        <v>87</v>
      </c>
    </row>
    <row r="179" spans="1:26" s="189" customFormat="1" ht="12.75" customHeight="1" x14ac:dyDescent="0.2">
      <c r="A179" s="171" t="s">
        <v>84</v>
      </c>
      <c r="B179" s="172">
        <f t="shared" si="34"/>
        <v>27</v>
      </c>
      <c r="C179" s="173" t="s">
        <v>371</v>
      </c>
      <c r="D179" s="173" t="s">
        <v>370</v>
      </c>
      <c r="E179" s="174"/>
      <c r="F179" s="174">
        <v>460662816.76789999</v>
      </c>
      <c r="G179" s="174"/>
      <c r="H179" s="175">
        <v>80111600</v>
      </c>
      <c r="I179" s="176" t="s">
        <v>354</v>
      </c>
      <c r="J179" s="177">
        <v>1</v>
      </c>
      <c r="K179" s="178">
        <v>1</v>
      </c>
      <c r="L179" s="179">
        <v>12</v>
      </c>
      <c r="M179" s="172">
        <f t="shared" si="28"/>
        <v>1</v>
      </c>
      <c r="N179" s="180" t="s">
        <v>216</v>
      </c>
      <c r="O179" s="181" t="str">
        <f>IF(ISBLANK(N179),"",VLOOKUP(N179,[9]Parámetros!$G$2:$H$23,2,FALSE))</f>
        <v>Contratación directa.</v>
      </c>
      <c r="P179" s="182">
        <f t="shared" si="35"/>
        <v>1</v>
      </c>
      <c r="Q179" s="183">
        <f t="shared" si="29"/>
        <v>460662816.76789999</v>
      </c>
      <c r="R179" s="183">
        <f t="shared" si="30"/>
        <v>460662816.76789999</v>
      </c>
      <c r="S179" s="184" t="s">
        <v>223</v>
      </c>
      <c r="T179" s="180">
        <f t="shared" si="36"/>
        <v>0</v>
      </c>
      <c r="U179" s="185" t="str">
        <f t="shared" si="31"/>
        <v>SUBDIRECCION DE GESTION CONTRACTUAL</v>
      </c>
      <c r="V179" s="172" t="str">
        <f t="shared" si="37"/>
        <v>CO-DC</v>
      </c>
      <c r="W179" s="185" t="str">
        <f t="shared" si="38"/>
        <v>Distrito Capital de Bogotá</v>
      </c>
      <c r="X179" s="186" t="s">
        <v>677</v>
      </c>
      <c r="Y179" s="172">
        <v>2427400</v>
      </c>
      <c r="Z179" s="188" t="s">
        <v>87</v>
      </c>
    </row>
    <row r="180" spans="1:26" s="189" customFormat="1" ht="12.75" customHeight="1" x14ac:dyDescent="0.2">
      <c r="A180" s="171" t="s">
        <v>84</v>
      </c>
      <c r="B180" s="172">
        <f t="shared" si="34"/>
        <v>28</v>
      </c>
      <c r="C180" s="173" t="s">
        <v>369</v>
      </c>
      <c r="D180" s="173" t="s">
        <v>370</v>
      </c>
      <c r="E180" s="174"/>
      <c r="F180" s="174">
        <v>158400000</v>
      </c>
      <c r="G180" s="174"/>
      <c r="H180" s="175" t="s">
        <v>42</v>
      </c>
      <c r="I180" s="176" t="s">
        <v>358</v>
      </c>
      <c r="J180" s="177">
        <v>3</v>
      </c>
      <c r="K180" s="178">
        <v>4</v>
      </c>
      <c r="L180" s="179">
        <v>9</v>
      </c>
      <c r="M180" s="172">
        <f t="shared" si="28"/>
        <v>1</v>
      </c>
      <c r="N180" s="180" t="s">
        <v>61</v>
      </c>
      <c r="O180" s="181" t="str">
        <f>IF(ISBLANK(N180),"",VLOOKUP(N180,[9]Parámetros!$G$2:$H$23,2,FALSE))</f>
        <v>Contratación régimen especial - Selección de comisionista</v>
      </c>
      <c r="P180" s="182">
        <f t="shared" si="35"/>
        <v>1</v>
      </c>
      <c r="Q180" s="183">
        <f t="shared" si="29"/>
        <v>158400000</v>
      </c>
      <c r="R180" s="183">
        <f t="shared" si="30"/>
        <v>158400000</v>
      </c>
      <c r="S180" s="184" t="s">
        <v>223</v>
      </c>
      <c r="T180" s="180">
        <f t="shared" si="36"/>
        <v>0</v>
      </c>
      <c r="U180" s="185" t="str">
        <f t="shared" si="31"/>
        <v>SUBDIRECCION DE GESTION CONTRACTUAL</v>
      </c>
      <c r="V180" s="172" t="str">
        <f t="shared" si="37"/>
        <v>CO-DC</v>
      </c>
      <c r="W180" s="185" t="str">
        <f t="shared" si="38"/>
        <v>Distrito Capital de Bogotá</v>
      </c>
      <c r="X180" s="186" t="s">
        <v>359</v>
      </c>
      <c r="Y180" s="172">
        <v>2427400</v>
      </c>
      <c r="Z180" s="188" t="s">
        <v>75</v>
      </c>
    </row>
    <row r="181" spans="1:26" s="189" customFormat="1" ht="12.75" customHeight="1" x14ac:dyDescent="0.2">
      <c r="A181" s="171" t="s">
        <v>84</v>
      </c>
      <c r="B181" s="172">
        <f t="shared" si="34"/>
        <v>29</v>
      </c>
      <c r="C181" s="173" t="s">
        <v>371</v>
      </c>
      <c r="D181" s="173" t="s">
        <v>370</v>
      </c>
      <c r="E181" s="174"/>
      <c r="F181" s="174">
        <v>60750000</v>
      </c>
      <c r="G181" s="174"/>
      <c r="H181" s="175" t="s">
        <v>42</v>
      </c>
      <c r="I181" s="176" t="s">
        <v>358</v>
      </c>
      <c r="J181" s="177">
        <v>3</v>
      </c>
      <c r="K181" s="178">
        <v>4</v>
      </c>
      <c r="L181" s="179">
        <v>9</v>
      </c>
      <c r="M181" s="172">
        <f t="shared" si="28"/>
        <v>1</v>
      </c>
      <c r="N181" s="180" t="s">
        <v>61</v>
      </c>
      <c r="O181" s="181" t="str">
        <f>IF(ISBLANK(N181),"",VLOOKUP(N181,[9]Parámetros!$G$2:$H$23,2,FALSE))</f>
        <v>Contratación régimen especial - Selección de comisionista</v>
      </c>
      <c r="P181" s="182">
        <f t="shared" si="35"/>
        <v>1</v>
      </c>
      <c r="Q181" s="183">
        <f t="shared" si="29"/>
        <v>60750000</v>
      </c>
      <c r="R181" s="183">
        <f t="shared" si="30"/>
        <v>60750000</v>
      </c>
      <c r="S181" s="184" t="s">
        <v>223</v>
      </c>
      <c r="T181" s="180">
        <f t="shared" si="36"/>
        <v>0</v>
      </c>
      <c r="U181" s="185" t="str">
        <f t="shared" si="31"/>
        <v>SUBDIRECCION DE GESTION CONTRACTUAL</v>
      </c>
      <c r="V181" s="172" t="str">
        <f t="shared" si="37"/>
        <v>CO-DC</v>
      </c>
      <c r="W181" s="185" t="str">
        <f t="shared" si="38"/>
        <v>Distrito Capital de Bogotá</v>
      </c>
      <c r="X181" s="186" t="s">
        <v>359</v>
      </c>
      <c r="Y181" s="172">
        <v>2427400</v>
      </c>
      <c r="Z181" s="188" t="s">
        <v>75</v>
      </c>
    </row>
    <row r="182" spans="1:26" s="189" customFormat="1" ht="12.75" customHeight="1" x14ac:dyDescent="0.2">
      <c r="A182" s="171" t="s">
        <v>84</v>
      </c>
      <c r="B182" s="172">
        <f t="shared" si="34"/>
        <v>30</v>
      </c>
      <c r="C182" s="173" t="s">
        <v>369</v>
      </c>
      <c r="D182" s="173" t="s">
        <v>370</v>
      </c>
      <c r="E182" s="174"/>
      <c r="F182" s="174">
        <v>1486268992</v>
      </c>
      <c r="G182" s="174"/>
      <c r="H182" s="175" t="s">
        <v>801</v>
      </c>
      <c r="I182" s="176" t="s">
        <v>357</v>
      </c>
      <c r="J182" s="177">
        <v>2</v>
      </c>
      <c r="K182" s="178">
        <v>3</v>
      </c>
      <c r="L182" s="179">
        <v>9</v>
      </c>
      <c r="M182" s="172">
        <f t="shared" si="28"/>
        <v>1</v>
      </c>
      <c r="N182" s="180" t="s">
        <v>234</v>
      </c>
      <c r="O182" s="181" t="str">
        <f>IF(ISBLANK(N182),"",VLOOKUP(N182,[9]Parámetros!$G$2:$H$23,2,FALSE))</f>
        <v>Licitación pública</v>
      </c>
      <c r="P182" s="182">
        <f t="shared" si="35"/>
        <v>1</v>
      </c>
      <c r="Q182" s="183">
        <f t="shared" si="29"/>
        <v>1486268992</v>
      </c>
      <c r="R182" s="183">
        <f t="shared" si="30"/>
        <v>1486268992</v>
      </c>
      <c r="S182" s="184" t="s">
        <v>223</v>
      </c>
      <c r="T182" s="180">
        <f t="shared" si="36"/>
        <v>0</v>
      </c>
      <c r="U182" s="185" t="str">
        <f t="shared" si="31"/>
        <v>SUBDIRECCION DE GESTION CONTRACTUAL</v>
      </c>
      <c r="V182" s="172" t="str">
        <f t="shared" si="37"/>
        <v>CO-DC</v>
      </c>
      <c r="W182" s="185" t="str">
        <f t="shared" si="38"/>
        <v>Distrito Capital de Bogotá</v>
      </c>
      <c r="X182" s="186" t="s">
        <v>677</v>
      </c>
      <c r="Y182" s="172">
        <v>2427400</v>
      </c>
      <c r="Z182" s="188" t="s">
        <v>87</v>
      </c>
    </row>
    <row r="183" spans="1:26" s="189" customFormat="1" ht="12.75" customHeight="1" x14ac:dyDescent="0.2">
      <c r="A183" s="171" t="s">
        <v>84</v>
      </c>
      <c r="B183" s="172">
        <f t="shared" si="34"/>
        <v>31</v>
      </c>
      <c r="C183" s="173" t="s">
        <v>371</v>
      </c>
      <c r="D183" s="173" t="s">
        <v>370</v>
      </c>
      <c r="E183" s="174"/>
      <c r="F183" s="174">
        <v>371000000</v>
      </c>
      <c r="G183" s="174"/>
      <c r="H183" s="175" t="s">
        <v>801</v>
      </c>
      <c r="I183" s="176" t="s">
        <v>357</v>
      </c>
      <c r="J183" s="177">
        <v>2</v>
      </c>
      <c r="K183" s="178">
        <v>3</v>
      </c>
      <c r="L183" s="179">
        <v>9</v>
      </c>
      <c r="M183" s="172">
        <f t="shared" si="28"/>
        <v>1</v>
      </c>
      <c r="N183" s="180" t="s">
        <v>234</v>
      </c>
      <c r="O183" s="181" t="str">
        <f>IF(ISBLANK(N183),"",VLOOKUP(N183,[9]Parámetros!$G$2:$H$23,2,FALSE))</f>
        <v>Licitación pública</v>
      </c>
      <c r="P183" s="182">
        <f t="shared" si="35"/>
        <v>1</v>
      </c>
      <c r="Q183" s="183">
        <f t="shared" si="29"/>
        <v>371000000</v>
      </c>
      <c r="R183" s="183">
        <f t="shared" si="30"/>
        <v>371000000</v>
      </c>
      <c r="S183" s="184" t="s">
        <v>223</v>
      </c>
      <c r="T183" s="180">
        <f t="shared" si="36"/>
        <v>0</v>
      </c>
      <c r="U183" s="185" t="str">
        <f t="shared" si="31"/>
        <v>SUBDIRECCION DE GESTION CONTRACTUAL</v>
      </c>
      <c r="V183" s="172" t="str">
        <f t="shared" si="37"/>
        <v>CO-DC</v>
      </c>
      <c r="W183" s="185" t="str">
        <f t="shared" si="38"/>
        <v>Distrito Capital de Bogotá</v>
      </c>
      <c r="X183" s="186" t="s">
        <v>677</v>
      </c>
      <c r="Y183" s="172">
        <v>2427400</v>
      </c>
      <c r="Z183" s="188" t="s">
        <v>87</v>
      </c>
    </row>
    <row r="184" spans="1:26" s="189" customFormat="1" ht="12.75" customHeight="1" x14ac:dyDescent="0.2">
      <c r="A184" s="171" t="s">
        <v>84</v>
      </c>
      <c r="B184" s="172">
        <f t="shared" si="34"/>
        <v>32</v>
      </c>
      <c r="C184" s="173" t="s">
        <v>369</v>
      </c>
      <c r="D184" s="173" t="s">
        <v>370</v>
      </c>
      <c r="E184" s="174"/>
      <c r="F184" s="174">
        <v>494400000</v>
      </c>
      <c r="G184" s="174"/>
      <c r="H184" s="175" t="s">
        <v>360</v>
      </c>
      <c r="I184" s="176" t="s">
        <v>361</v>
      </c>
      <c r="J184" s="177">
        <v>3</v>
      </c>
      <c r="K184" s="178">
        <v>4</v>
      </c>
      <c r="L184" s="179">
        <v>9</v>
      </c>
      <c r="M184" s="172">
        <f t="shared" si="28"/>
        <v>1</v>
      </c>
      <c r="N184" s="180" t="s">
        <v>36</v>
      </c>
      <c r="O184" s="181" t="str">
        <f>IF(ISBLANK(N184),"",VLOOKUP(N184,[9]Parámetros!$G$2:$H$23,2,FALSE))</f>
        <v xml:space="preserve">Contratación directa (con ofertas) </v>
      </c>
      <c r="P184" s="182">
        <f t="shared" si="35"/>
        <v>1</v>
      </c>
      <c r="Q184" s="183">
        <f t="shared" si="29"/>
        <v>494400000</v>
      </c>
      <c r="R184" s="183">
        <f t="shared" si="30"/>
        <v>494400000</v>
      </c>
      <c r="S184" s="184" t="s">
        <v>223</v>
      </c>
      <c r="T184" s="180">
        <f t="shared" si="36"/>
        <v>0</v>
      </c>
      <c r="U184" s="185" t="str">
        <f t="shared" si="31"/>
        <v>SUBDIRECCION DE GESTION CONTRACTUAL</v>
      </c>
      <c r="V184" s="172" t="str">
        <f t="shared" si="37"/>
        <v>CO-DC</v>
      </c>
      <c r="W184" s="185" t="str">
        <f t="shared" si="38"/>
        <v>Distrito Capital de Bogotá</v>
      </c>
      <c r="X184" s="186" t="s">
        <v>677</v>
      </c>
      <c r="Y184" s="172">
        <v>2427400</v>
      </c>
      <c r="Z184" s="188" t="s">
        <v>87</v>
      </c>
    </row>
    <row r="185" spans="1:26" s="189" customFormat="1" ht="12.75" customHeight="1" x14ac:dyDescent="0.2">
      <c r="A185" s="171" t="s">
        <v>84</v>
      </c>
      <c r="B185" s="172">
        <f t="shared" si="34"/>
        <v>33</v>
      </c>
      <c r="C185" s="173" t="s">
        <v>369</v>
      </c>
      <c r="D185" s="173" t="s">
        <v>370</v>
      </c>
      <c r="E185" s="174"/>
      <c r="F185" s="174">
        <v>1610000000</v>
      </c>
      <c r="G185" s="174"/>
      <c r="H185" s="175" t="s">
        <v>92</v>
      </c>
      <c r="I185" s="176" t="s">
        <v>362</v>
      </c>
      <c r="J185" s="177">
        <v>2</v>
      </c>
      <c r="K185" s="178">
        <v>5</v>
      </c>
      <c r="L185" s="179">
        <v>8</v>
      </c>
      <c r="M185" s="172">
        <f t="shared" si="28"/>
        <v>1</v>
      </c>
      <c r="N185" s="180" t="s">
        <v>36</v>
      </c>
      <c r="O185" s="181" t="str">
        <f>IF(ISBLANK(N185),"",VLOOKUP(N185,[9]Parámetros!$G$2:$H$23,2,FALSE))</f>
        <v xml:space="preserve">Contratación directa (con ofertas) </v>
      </c>
      <c r="P185" s="182">
        <f t="shared" si="35"/>
        <v>1</v>
      </c>
      <c r="Q185" s="183">
        <f t="shared" si="29"/>
        <v>1610000000</v>
      </c>
      <c r="R185" s="183">
        <f t="shared" si="30"/>
        <v>1610000000</v>
      </c>
      <c r="S185" s="184" t="s">
        <v>223</v>
      </c>
      <c r="T185" s="180">
        <f t="shared" si="36"/>
        <v>0</v>
      </c>
      <c r="U185" s="185" t="str">
        <f t="shared" si="31"/>
        <v>SUBDIRECCION DE GESTION CONTRACTUAL</v>
      </c>
      <c r="V185" s="172" t="str">
        <f t="shared" si="37"/>
        <v>CO-DC</v>
      </c>
      <c r="W185" s="185" t="str">
        <f t="shared" si="38"/>
        <v>Distrito Capital de Bogotá</v>
      </c>
      <c r="X185" s="186" t="s">
        <v>677</v>
      </c>
      <c r="Y185" s="172">
        <v>2427400</v>
      </c>
      <c r="Z185" s="188" t="s">
        <v>87</v>
      </c>
    </row>
    <row r="186" spans="1:26" s="189" customFormat="1" ht="12.75" customHeight="1" x14ac:dyDescent="0.2">
      <c r="A186" s="171" t="s">
        <v>84</v>
      </c>
      <c r="B186" s="172">
        <f t="shared" si="34"/>
        <v>34</v>
      </c>
      <c r="C186" s="173" t="s">
        <v>371</v>
      </c>
      <c r="D186" s="173" t="s">
        <v>370</v>
      </c>
      <c r="E186" s="174"/>
      <c r="F186" s="174">
        <v>575000000</v>
      </c>
      <c r="G186" s="174"/>
      <c r="H186" s="175" t="s">
        <v>92</v>
      </c>
      <c r="I186" s="176" t="s">
        <v>362</v>
      </c>
      <c r="J186" s="177">
        <v>2</v>
      </c>
      <c r="K186" s="178">
        <v>5</v>
      </c>
      <c r="L186" s="179">
        <v>8</v>
      </c>
      <c r="M186" s="172">
        <f t="shared" si="28"/>
        <v>1</v>
      </c>
      <c r="N186" s="180" t="s">
        <v>36</v>
      </c>
      <c r="O186" s="181" t="str">
        <f>IF(ISBLANK(N186),"",VLOOKUP(N186,[9]Parámetros!$G$2:$H$23,2,FALSE))</f>
        <v xml:space="preserve">Contratación directa (con ofertas) </v>
      </c>
      <c r="P186" s="182">
        <f t="shared" si="35"/>
        <v>1</v>
      </c>
      <c r="Q186" s="183">
        <f t="shared" si="29"/>
        <v>575000000</v>
      </c>
      <c r="R186" s="183">
        <f t="shared" si="30"/>
        <v>575000000</v>
      </c>
      <c r="S186" s="184" t="s">
        <v>223</v>
      </c>
      <c r="T186" s="180">
        <f t="shared" si="36"/>
        <v>0</v>
      </c>
      <c r="U186" s="185" t="str">
        <f t="shared" si="31"/>
        <v>SUBDIRECCION DE GESTION CONTRACTUAL</v>
      </c>
      <c r="V186" s="172" t="str">
        <f t="shared" si="37"/>
        <v>CO-DC</v>
      </c>
      <c r="W186" s="185" t="str">
        <f t="shared" si="38"/>
        <v>Distrito Capital de Bogotá</v>
      </c>
      <c r="X186" s="186" t="s">
        <v>677</v>
      </c>
      <c r="Y186" s="172">
        <v>2427400</v>
      </c>
      <c r="Z186" s="188" t="s">
        <v>87</v>
      </c>
    </row>
    <row r="187" spans="1:26" s="189" customFormat="1" ht="12.75" customHeight="1" x14ac:dyDescent="0.2">
      <c r="A187" s="171" t="s">
        <v>84</v>
      </c>
      <c r="B187" s="172">
        <f t="shared" si="34"/>
        <v>35</v>
      </c>
      <c r="C187" s="173" t="s">
        <v>372</v>
      </c>
      <c r="D187" s="173" t="s">
        <v>373</v>
      </c>
      <c r="E187" s="174"/>
      <c r="F187" s="174">
        <v>1601373918</v>
      </c>
      <c r="G187" s="174"/>
      <c r="H187" s="175">
        <v>80111600</v>
      </c>
      <c r="I187" s="176" t="s">
        <v>354</v>
      </c>
      <c r="J187" s="177">
        <v>1</v>
      </c>
      <c r="K187" s="178">
        <v>1</v>
      </c>
      <c r="L187" s="179">
        <v>12</v>
      </c>
      <c r="M187" s="172">
        <f t="shared" si="28"/>
        <v>1</v>
      </c>
      <c r="N187" s="180" t="s">
        <v>216</v>
      </c>
      <c r="O187" s="181" t="str">
        <f>IF(ISBLANK(N187),"",VLOOKUP(N187,[9]Parámetros!$G$2:$H$23,2,FALSE))</f>
        <v>Contratación directa.</v>
      </c>
      <c r="P187" s="182">
        <f t="shared" si="35"/>
        <v>1</v>
      </c>
      <c r="Q187" s="183">
        <f t="shared" si="29"/>
        <v>1601373918</v>
      </c>
      <c r="R187" s="183">
        <f t="shared" si="30"/>
        <v>1601373918</v>
      </c>
      <c r="S187" s="184" t="s">
        <v>223</v>
      </c>
      <c r="T187" s="180">
        <f t="shared" si="36"/>
        <v>0</v>
      </c>
      <c r="U187" s="185" t="str">
        <f t="shared" si="31"/>
        <v>SUBDIRECCION DE GESTION CONTRACTUAL</v>
      </c>
      <c r="V187" s="172" t="str">
        <f t="shared" si="37"/>
        <v>CO-DC</v>
      </c>
      <c r="W187" s="185" t="str">
        <f t="shared" si="38"/>
        <v>Distrito Capital de Bogotá</v>
      </c>
      <c r="X187" s="186" t="s">
        <v>677</v>
      </c>
      <c r="Y187" s="172">
        <v>2427400</v>
      </c>
      <c r="Z187" s="188" t="s">
        <v>87</v>
      </c>
    </row>
    <row r="188" spans="1:26" s="189" customFormat="1" ht="12.75" customHeight="1" x14ac:dyDescent="0.2">
      <c r="A188" s="171" t="s">
        <v>84</v>
      </c>
      <c r="B188" s="172">
        <f t="shared" ref="B188:B222" si="39">+B187+1</f>
        <v>36</v>
      </c>
      <c r="C188" s="173" t="s">
        <v>372</v>
      </c>
      <c r="D188" s="173" t="s">
        <v>373</v>
      </c>
      <c r="E188" s="174"/>
      <c r="F188" s="174">
        <v>4656415718</v>
      </c>
      <c r="G188" s="174"/>
      <c r="H188" s="175" t="s">
        <v>801</v>
      </c>
      <c r="I188" s="176" t="s">
        <v>357</v>
      </c>
      <c r="J188" s="177">
        <v>2</v>
      </c>
      <c r="K188" s="178">
        <v>3</v>
      </c>
      <c r="L188" s="179">
        <v>9</v>
      </c>
      <c r="M188" s="172">
        <f t="shared" si="28"/>
        <v>1</v>
      </c>
      <c r="N188" s="180" t="s">
        <v>234</v>
      </c>
      <c r="O188" s="181" t="str">
        <f>IF(ISBLANK(N188),"",VLOOKUP(N188,[9]Parámetros!$G$2:$H$23,2,FALSE))</f>
        <v>Licitación pública</v>
      </c>
      <c r="P188" s="182">
        <f t="shared" si="35"/>
        <v>1</v>
      </c>
      <c r="Q188" s="183">
        <f t="shared" si="29"/>
        <v>4656415718</v>
      </c>
      <c r="R188" s="183">
        <f t="shared" si="30"/>
        <v>4656415718</v>
      </c>
      <c r="S188" s="184" t="s">
        <v>223</v>
      </c>
      <c r="T188" s="180">
        <f t="shared" si="36"/>
        <v>0</v>
      </c>
      <c r="U188" s="185" t="str">
        <f t="shared" si="31"/>
        <v>SUBDIRECCION DE GESTION CONTRACTUAL</v>
      </c>
      <c r="V188" s="172" t="str">
        <f t="shared" si="37"/>
        <v>CO-DC</v>
      </c>
      <c r="W188" s="185" t="str">
        <f t="shared" si="38"/>
        <v>Distrito Capital de Bogotá</v>
      </c>
      <c r="X188" s="186" t="s">
        <v>677</v>
      </c>
      <c r="Y188" s="172">
        <v>2427400</v>
      </c>
      <c r="Z188" s="188" t="s">
        <v>87</v>
      </c>
    </row>
    <row r="189" spans="1:26" s="189" customFormat="1" ht="12.75" customHeight="1" x14ac:dyDescent="0.2">
      <c r="A189" s="171" t="s">
        <v>84</v>
      </c>
      <c r="B189" s="172">
        <f t="shared" si="39"/>
        <v>37</v>
      </c>
      <c r="C189" s="173" t="s">
        <v>372</v>
      </c>
      <c r="D189" s="173" t="s">
        <v>373</v>
      </c>
      <c r="E189" s="174"/>
      <c r="F189" s="174">
        <v>71280000</v>
      </c>
      <c r="G189" s="174"/>
      <c r="H189" s="175" t="s">
        <v>42</v>
      </c>
      <c r="I189" s="176" t="s">
        <v>358</v>
      </c>
      <c r="J189" s="177">
        <v>3</v>
      </c>
      <c r="K189" s="178">
        <v>4</v>
      </c>
      <c r="L189" s="179">
        <v>9</v>
      </c>
      <c r="M189" s="172">
        <f t="shared" si="28"/>
        <v>1</v>
      </c>
      <c r="N189" s="180" t="s">
        <v>61</v>
      </c>
      <c r="O189" s="181" t="str">
        <f>IF(ISBLANK(N189),"",VLOOKUP(N189,[9]Parámetros!$G$2:$H$23,2,FALSE))</f>
        <v>Contratación régimen especial - Selección de comisionista</v>
      </c>
      <c r="P189" s="182">
        <f t="shared" si="35"/>
        <v>1</v>
      </c>
      <c r="Q189" s="183">
        <f t="shared" si="29"/>
        <v>71280000</v>
      </c>
      <c r="R189" s="183">
        <f t="shared" si="30"/>
        <v>71280000</v>
      </c>
      <c r="S189" s="184" t="s">
        <v>223</v>
      </c>
      <c r="T189" s="180">
        <f t="shared" si="36"/>
        <v>0</v>
      </c>
      <c r="U189" s="185" t="str">
        <f t="shared" si="31"/>
        <v>SUBDIRECCION DE GESTION CONTRACTUAL</v>
      </c>
      <c r="V189" s="172" t="str">
        <f t="shared" si="37"/>
        <v>CO-DC</v>
      </c>
      <c r="W189" s="185" t="str">
        <f t="shared" si="38"/>
        <v>Distrito Capital de Bogotá</v>
      </c>
      <c r="X189" s="186" t="s">
        <v>359</v>
      </c>
      <c r="Y189" s="172">
        <v>2427400</v>
      </c>
      <c r="Z189" s="188" t="s">
        <v>75</v>
      </c>
    </row>
    <row r="190" spans="1:26" s="189" customFormat="1" ht="12.75" customHeight="1" x14ac:dyDescent="0.2">
      <c r="A190" s="171" t="s">
        <v>84</v>
      </c>
      <c r="B190" s="172">
        <f t="shared" si="39"/>
        <v>38</v>
      </c>
      <c r="C190" s="173" t="s">
        <v>372</v>
      </c>
      <c r="D190" s="173" t="s">
        <v>373</v>
      </c>
      <c r="E190" s="174"/>
      <c r="F190" s="174">
        <v>180000000</v>
      </c>
      <c r="G190" s="174"/>
      <c r="H190" s="175" t="s">
        <v>650</v>
      </c>
      <c r="I190" s="176" t="s">
        <v>652</v>
      </c>
      <c r="J190" s="177">
        <v>2</v>
      </c>
      <c r="K190" s="178">
        <v>2</v>
      </c>
      <c r="L190" s="179">
        <v>10</v>
      </c>
      <c r="M190" s="172">
        <f t="shared" si="28"/>
        <v>1</v>
      </c>
      <c r="N190" s="180" t="s">
        <v>36</v>
      </c>
      <c r="O190" s="181" t="str">
        <f>IF(ISBLANK(N190),"",VLOOKUP(N190,[9]Parámetros!$G$2:$H$23,2,FALSE))</f>
        <v xml:space="preserve">Contratación directa (con ofertas) </v>
      </c>
      <c r="P190" s="182">
        <f t="shared" si="35"/>
        <v>1</v>
      </c>
      <c r="Q190" s="183">
        <f t="shared" si="29"/>
        <v>180000000</v>
      </c>
      <c r="R190" s="183">
        <f t="shared" si="30"/>
        <v>180000000</v>
      </c>
      <c r="S190" s="184" t="s">
        <v>223</v>
      </c>
      <c r="T190" s="180">
        <f t="shared" si="36"/>
        <v>0</v>
      </c>
      <c r="U190" s="185" t="str">
        <f t="shared" si="31"/>
        <v>SUBDIRECCION DE GESTION CONTRACTUAL</v>
      </c>
      <c r="V190" s="172" t="str">
        <f t="shared" si="37"/>
        <v>CO-DC</v>
      </c>
      <c r="W190" s="185" t="str">
        <f t="shared" si="38"/>
        <v>Distrito Capital de Bogotá</v>
      </c>
      <c r="X190" s="186" t="s">
        <v>332</v>
      </c>
      <c r="Y190" s="172">
        <v>2427400</v>
      </c>
      <c r="Z190" s="188" t="s">
        <v>94</v>
      </c>
    </row>
    <row r="191" spans="1:26" s="189" customFormat="1" ht="12.75" customHeight="1" x14ac:dyDescent="0.2">
      <c r="A191" s="171" t="s">
        <v>84</v>
      </c>
      <c r="B191" s="172">
        <f t="shared" si="39"/>
        <v>39</v>
      </c>
      <c r="C191" s="173" t="s">
        <v>85</v>
      </c>
      <c r="D191" s="173" t="s">
        <v>86</v>
      </c>
      <c r="E191" s="174"/>
      <c r="F191" s="174">
        <v>1752566308</v>
      </c>
      <c r="G191" s="174"/>
      <c r="H191" s="175">
        <v>80111600</v>
      </c>
      <c r="I191" s="176" t="s">
        <v>354</v>
      </c>
      <c r="J191" s="177">
        <v>1</v>
      </c>
      <c r="K191" s="178">
        <v>1</v>
      </c>
      <c r="L191" s="179">
        <v>12</v>
      </c>
      <c r="M191" s="172">
        <f t="shared" si="28"/>
        <v>1</v>
      </c>
      <c r="N191" s="180" t="s">
        <v>216</v>
      </c>
      <c r="O191" s="181" t="str">
        <f>IF(ISBLANK(N191),"",VLOOKUP(N191,[9]Parámetros!$G$2:$H$23,2,FALSE))</f>
        <v>Contratación directa.</v>
      </c>
      <c r="P191" s="182">
        <f t="shared" si="35"/>
        <v>1</v>
      </c>
      <c r="Q191" s="183">
        <f t="shared" si="29"/>
        <v>1752566308</v>
      </c>
      <c r="R191" s="183">
        <f t="shared" si="30"/>
        <v>1752566308</v>
      </c>
      <c r="S191" s="184" t="s">
        <v>223</v>
      </c>
      <c r="T191" s="180">
        <f t="shared" si="36"/>
        <v>0</v>
      </c>
      <c r="U191" s="185" t="str">
        <f t="shared" si="31"/>
        <v>SUBDIRECCION DE GESTION CONTRACTUAL</v>
      </c>
      <c r="V191" s="172" t="str">
        <f t="shared" si="37"/>
        <v>CO-DC</v>
      </c>
      <c r="W191" s="185" t="str">
        <f t="shared" si="38"/>
        <v>Distrito Capital de Bogotá</v>
      </c>
      <c r="X191" s="186" t="s">
        <v>677</v>
      </c>
      <c r="Y191" s="172">
        <v>2427400</v>
      </c>
      <c r="Z191" s="188" t="s">
        <v>87</v>
      </c>
    </row>
    <row r="192" spans="1:26" s="189" customFormat="1" ht="12.75" customHeight="1" x14ac:dyDescent="0.2">
      <c r="A192" s="171" t="s">
        <v>84</v>
      </c>
      <c r="B192" s="172">
        <f t="shared" si="39"/>
        <v>40</v>
      </c>
      <c r="C192" s="173" t="s">
        <v>85</v>
      </c>
      <c r="D192" s="173" t="s">
        <v>86</v>
      </c>
      <c r="E192" s="174">
        <v>84511564</v>
      </c>
      <c r="F192" s="174"/>
      <c r="G192" s="174"/>
      <c r="H192" s="175" t="s">
        <v>42</v>
      </c>
      <c r="I192" s="176" t="s">
        <v>358</v>
      </c>
      <c r="J192" s="177">
        <v>3</v>
      </c>
      <c r="K192" s="178">
        <v>4</v>
      </c>
      <c r="L192" s="179">
        <v>9</v>
      </c>
      <c r="M192" s="172">
        <f t="shared" si="28"/>
        <v>1</v>
      </c>
      <c r="N192" s="180" t="s">
        <v>61</v>
      </c>
      <c r="O192" s="181" t="str">
        <f>IF(ISBLANK(N192),"",VLOOKUP(N192,[9]Parámetros!$G$2:$H$23,2,FALSE))</f>
        <v>Contratación régimen especial - Selección de comisionista</v>
      </c>
      <c r="P192" s="182">
        <f t="shared" si="35"/>
        <v>1</v>
      </c>
      <c r="Q192" s="183">
        <f t="shared" si="29"/>
        <v>84511564</v>
      </c>
      <c r="R192" s="183">
        <f t="shared" si="30"/>
        <v>0</v>
      </c>
      <c r="S192" s="184" t="s">
        <v>226</v>
      </c>
      <c r="T192" s="180">
        <f t="shared" si="36"/>
        <v>3</v>
      </c>
      <c r="U192" s="185" t="str">
        <f t="shared" si="31"/>
        <v>SUBDIRECCION DE GESTION CONTRACTUAL</v>
      </c>
      <c r="V192" s="172" t="str">
        <f t="shared" si="37"/>
        <v>CO-DC</v>
      </c>
      <c r="W192" s="185" t="str">
        <f t="shared" si="38"/>
        <v>Distrito Capital de Bogotá</v>
      </c>
      <c r="X192" s="186" t="s">
        <v>359</v>
      </c>
      <c r="Y192" s="172">
        <v>2427400</v>
      </c>
      <c r="Z192" s="188" t="s">
        <v>75</v>
      </c>
    </row>
    <row r="193" spans="1:26" s="189" customFormat="1" ht="12.75" customHeight="1" x14ac:dyDescent="0.2">
      <c r="A193" s="171" t="s">
        <v>84</v>
      </c>
      <c r="B193" s="172">
        <f t="shared" si="39"/>
        <v>41</v>
      </c>
      <c r="C193" s="173" t="s">
        <v>85</v>
      </c>
      <c r="D193" s="173" t="s">
        <v>86</v>
      </c>
      <c r="E193" s="174"/>
      <c r="F193" s="174">
        <v>42930000</v>
      </c>
      <c r="G193" s="174"/>
      <c r="H193" s="175" t="s">
        <v>42</v>
      </c>
      <c r="I193" s="176" t="s">
        <v>358</v>
      </c>
      <c r="J193" s="177">
        <v>3</v>
      </c>
      <c r="K193" s="178">
        <v>4</v>
      </c>
      <c r="L193" s="179">
        <v>9</v>
      </c>
      <c r="M193" s="172">
        <f t="shared" si="28"/>
        <v>1</v>
      </c>
      <c r="N193" s="180" t="s">
        <v>61</v>
      </c>
      <c r="O193" s="181" t="str">
        <f>IF(ISBLANK(N193),"",VLOOKUP(N193,[9]Parámetros!$G$2:$H$23,2,FALSE))</f>
        <v>Contratación régimen especial - Selección de comisionista</v>
      </c>
      <c r="P193" s="182">
        <f t="shared" ref="P193:P223" si="40">IF(ISBLANK(N193),"",1)</f>
        <v>1</v>
      </c>
      <c r="Q193" s="183">
        <f t="shared" si="29"/>
        <v>42930000</v>
      </c>
      <c r="R193" s="183">
        <f t="shared" si="30"/>
        <v>42930000</v>
      </c>
      <c r="S193" s="184" t="s">
        <v>223</v>
      </c>
      <c r="T193" s="180">
        <f t="shared" ref="T193:T223" si="41">IF(ISBLANK(S193),"",IF(VALUE(S193)=0,0,IF(VALUE(S193)=1,3,"")))</f>
        <v>0</v>
      </c>
      <c r="U193" s="185" t="str">
        <f t="shared" si="31"/>
        <v>SUBDIRECCION DE GESTION CONTRACTUAL</v>
      </c>
      <c r="V193" s="172" t="str">
        <f t="shared" si="37"/>
        <v>CO-DC</v>
      </c>
      <c r="W193" s="185" t="str">
        <f t="shared" si="38"/>
        <v>Distrito Capital de Bogotá</v>
      </c>
      <c r="X193" s="186" t="s">
        <v>359</v>
      </c>
      <c r="Y193" s="172">
        <v>2427400</v>
      </c>
      <c r="Z193" s="188" t="s">
        <v>75</v>
      </c>
    </row>
    <row r="194" spans="1:26" s="189" customFormat="1" ht="12.75" customHeight="1" x14ac:dyDescent="0.2">
      <c r="A194" s="171" t="s">
        <v>84</v>
      </c>
      <c r="B194" s="172">
        <f t="shared" si="39"/>
        <v>42</v>
      </c>
      <c r="C194" s="173" t="s">
        <v>85</v>
      </c>
      <c r="D194" s="173" t="s">
        <v>86</v>
      </c>
      <c r="E194" s="174"/>
      <c r="F194" s="174">
        <v>400000000</v>
      </c>
      <c r="G194" s="174"/>
      <c r="H194" s="175" t="s">
        <v>103</v>
      </c>
      <c r="I194" s="176" t="s">
        <v>374</v>
      </c>
      <c r="J194" s="177">
        <v>2</v>
      </c>
      <c r="K194" s="178">
        <v>3</v>
      </c>
      <c r="L194" s="179">
        <v>10</v>
      </c>
      <c r="M194" s="172">
        <f t="shared" si="28"/>
        <v>1</v>
      </c>
      <c r="N194" s="180" t="s">
        <v>36</v>
      </c>
      <c r="O194" s="181" t="str">
        <f>IF(ISBLANK(N194),"",VLOOKUP(N194,[1]Parámetros!$G$2:$H$23,2,FALSE))</f>
        <v xml:space="preserve">Contratación directa (con ofertas) </v>
      </c>
      <c r="P194" s="182">
        <f t="shared" si="40"/>
        <v>1</v>
      </c>
      <c r="Q194" s="183">
        <f t="shared" si="29"/>
        <v>400000000</v>
      </c>
      <c r="R194" s="183">
        <f t="shared" si="30"/>
        <v>400000000</v>
      </c>
      <c r="S194" s="184" t="s">
        <v>226</v>
      </c>
      <c r="T194" s="180">
        <f t="shared" si="41"/>
        <v>3</v>
      </c>
      <c r="U194" s="185" t="str">
        <f t="shared" si="31"/>
        <v>SUBDIRECCION DE GESTION CONTRACTUAL</v>
      </c>
      <c r="V194" s="172" t="str">
        <f t="shared" si="37"/>
        <v>CO-DC</v>
      </c>
      <c r="W194" s="185" t="str">
        <f t="shared" si="38"/>
        <v>Distrito Capital de Bogotá</v>
      </c>
      <c r="X194" s="186" t="s">
        <v>677</v>
      </c>
      <c r="Y194" s="172">
        <v>2427400</v>
      </c>
      <c r="Z194" s="188" t="s">
        <v>87</v>
      </c>
    </row>
    <row r="195" spans="1:26" s="189" customFormat="1" ht="12.75" customHeight="1" x14ac:dyDescent="0.2">
      <c r="A195" s="171" t="s">
        <v>84</v>
      </c>
      <c r="B195" s="172">
        <f t="shared" si="39"/>
        <v>43</v>
      </c>
      <c r="C195" s="173" t="s">
        <v>85</v>
      </c>
      <c r="D195" s="173" t="s">
        <v>86</v>
      </c>
      <c r="E195" s="174"/>
      <c r="F195" s="174">
        <v>1800000000</v>
      </c>
      <c r="G195" s="174"/>
      <c r="H195" s="175" t="s">
        <v>92</v>
      </c>
      <c r="I195" s="176" t="s">
        <v>362</v>
      </c>
      <c r="J195" s="177">
        <v>2</v>
      </c>
      <c r="K195" s="178">
        <v>5</v>
      </c>
      <c r="L195" s="179">
        <v>8</v>
      </c>
      <c r="M195" s="172">
        <f t="shared" si="28"/>
        <v>1</v>
      </c>
      <c r="N195" s="180" t="s">
        <v>36</v>
      </c>
      <c r="O195" s="181" t="str">
        <f>IF(ISBLANK(N195),"",VLOOKUP(N195,[9]Parámetros!$G$2:$H$23,2,FALSE))</f>
        <v xml:space="preserve">Contratación directa (con ofertas) </v>
      </c>
      <c r="P195" s="182">
        <f t="shared" si="40"/>
        <v>1</v>
      </c>
      <c r="Q195" s="183">
        <f t="shared" si="29"/>
        <v>1800000000</v>
      </c>
      <c r="R195" s="183">
        <f t="shared" si="30"/>
        <v>1800000000</v>
      </c>
      <c r="S195" s="184" t="s">
        <v>223</v>
      </c>
      <c r="T195" s="180">
        <f t="shared" si="41"/>
        <v>0</v>
      </c>
      <c r="U195" s="185" t="str">
        <f t="shared" si="31"/>
        <v>SUBDIRECCION DE GESTION CONTRACTUAL</v>
      </c>
      <c r="V195" s="172" t="str">
        <f t="shared" si="37"/>
        <v>CO-DC</v>
      </c>
      <c r="W195" s="185" t="str">
        <f t="shared" si="38"/>
        <v>Distrito Capital de Bogotá</v>
      </c>
      <c r="X195" s="186" t="s">
        <v>677</v>
      </c>
      <c r="Y195" s="172">
        <v>2427400</v>
      </c>
      <c r="Z195" s="188" t="s">
        <v>87</v>
      </c>
    </row>
    <row r="196" spans="1:26" s="189" customFormat="1" ht="12.75" customHeight="1" x14ac:dyDescent="0.2">
      <c r="A196" s="171" t="s">
        <v>84</v>
      </c>
      <c r="B196" s="172">
        <f t="shared" si="39"/>
        <v>44</v>
      </c>
      <c r="C196" s="173" t="s">
        <v>355</v>
      </c>
      <c r="D196" s="173" t="s">
        <v>86</v>
      </c>
      <c r="E196" s="174"/>
      <c r="F196" s="174">
        <v>2700000000</v>
      </c>
      <c r="G196" s="174"/>
      <c r="H196" s="175" t="s">
        <v>92</v>
      </c>
      <c r="I196" s="176" t="s">
        <v>362</v>
      </c>
      <c r="J196" s="177">
        <v>2</v>
      </c>
      <c r="K196" s="178">
        <v>5</v>
      </c>
      <c r="L196" s="179">
        <v>8</v>
      </c>
      <c r="M196" s="172">
        <f t="shared" si="28"/>
        <v>1</v>
      </c>
      <c r="N196" s="180" t="s">
        <v>36</v>
      </c>
      <c r="O196" s="181" t="str">
        <f>IF(ISBLANK(N196),"",VLOOKUP(N196,[9]Parámetros!$G$2:$H$23,2,FALSE))</f>
        <v xml:space="preserve">Contratación directa (con ofertas) </v>
      </c>
      <c r="P196" s="182">
        <f t="shared" si="40"/>
        <v>1</v>
      </c>
      <c r="Q196" s="183">
        <f t="shared" si="29"/>
        <v>2700000000</v>
      </c>
      <c r="R196" s="183">
        <f t="shared" si="30"/>
        <v>2700000000</v>
      </c>
      <c r="S196" s="184" t="s">
        <v>223</v>
      </c>
      <c r="T196" s="180">
        <f t="shared" si="41"/>
        <v>0</v>
      </c>
      <c r="U196" s="185" t="str">
        <f t="shared" si="31"/>
        <v>SUBDIRECCION DE GESTION CONTRACTUAL</v>
      </c>
      <c r="V196" s="172" t="str">
        <f t="shared" si="37"/>
        <v>CO-DC</v>
      </c>
      <c r="W196" s="185" t="str">
        <f t="shared" si="38"/>
        <v>Distrito Capital de Bogotá</v>
      </c>
      <c r="X196" s="186" t="s">
        <v>677</v>
      </c>
      <c r="Y196" s="172">
        <v>2427400</v>
      </c>
      <c r="Z196" s="188" t="s">
        <v>87</v>
      </c>
    </row>
    <row r="197" spans="1:26" s="189" customFormat="1" ht="12.75" customHeight="1" x14ac:dyDescent="0.2">
      <c r="A197" s="171" t="s">
        <v>84</v>
      </c>
      <c r="B197" s="172">
        <f t="shared" si="39"/>
        <v>45</v>
      </c>
      <c r="C197" s="173" t="s">
        <v>375</v>
      </c>
      <c r="D197" s="173" t="s">
        <v>88</v>
      </c>
      <c r="E197" s="174"/>
      <c r="F197" s="174">
        <v>532873475.50294244</v>
      </c>
      <c r="G197" s="174"/>
      <c r="H197" s="175">
        <v>80111600</v>
      </c>
      <c r="I197" s="176" t="s">
        <v>354</v>
      </c>
      <c r="J197" s="177">
        <v>1</v>
      </c>
      <c r="K197" s="178">
        <v>1</v>
      </c>
      <c r="L197" s="179">
        <v>12</v>
      </c>
      <c r="M197" s="172">
        <f t="shared" si="28"/>
        <v>1</v>
      </c>
      <c r="N197" s="180" t="s">
        <v>216</v>
      </c>
      <c r="O197" s="181" t="str">
        <f>IF(ISBLANK(N197),"",VLOOKUP(N197,[9]Parámetros!$G$2:$H$23,2,FALSE))</f>
        <v>Contratación directa.</v>
      </c>
      <c r="P197" s="182">
        <f t="shared" si="40"/>
        <v>1</v>
      </c>
      <c r="Q197" s="183">
        <f t="shared" si="29"/>
        <v>532873475.50294244</v>
      </c>
      <c r="R197" s="183">
        <f t="shared" si="30"/>
        <v>532873475.50294244</v>
      </c>
      <c r="S197" s="184" t="s">
        <v>223</v>
      </c>
      <c r="T197" s="180">
        <f t="shared" si="41"/>
        <v>0</v>
      </c>
      <c r="U197" s="185" t="str">
        <f t="shared" si="31"/>
        <v>SUBDIRECCION DE GESTION CONTRACTUAL</v>
      </c>
      <c r="V197" s="172" t="str">
        <f t="shared" si="37"/>
        <v>CO-DC</v>
      </c>
      <c r="W197" s="185" t="str">
        <f t="shared" si="38"/>
        <v>Distrito Capital de Bogotá</v>
      </c>
      <c r="X197" s="186" t="s">
        <v>677</v>
      </c>
      <c r="Y197" s="172">
        <v>2427400</v>
      </c>
      <c r="Z197" s="188" t="s">
        <v>87</v>
      </c>
    </row>
    <row r="198" spans="1:26" s="189" customFormat="1" ht="12.75" customHeight="1" x14ac:dyDescent="0.2">
      <c r="A198" s="171" t="s">
        <v>84</v>
      </c>
      <c r="B198" s="172">
        <f t="shared" si="39"/>
        <v>46</v>
      </c>
      <c r="C198" s="173" t="s">
        <v>376</v>
      </c>
      <c r="D198" s="173" t="s">
        <v>88</v>
      </c>
      <c r="E198" s="174"/>
      <c r="F198" s="174">
        <v>462703317.26866001</v>
      </c>
      <c r="G198" s="174"/>
      <c r="H198" s="175">
        <v>80111600</v>
      </c>
      <c r="I198" s="176" t="s">
        <v>354</v>
      </c>
      <c r="J198" s="177">
        <v>1</v>
      </c>
      <c r="K198" s="178">
        <v>1</v>
      </c>
      <c r="L198" s="179">
        <v>12</v>
      </c>
      <c r="M198" s="172">
        <f t="shared" si="28"/>
        <v>1</v>
      </c>
      <c r="N198" s="180" t="s">
        <v>216</v>
      </c>
      <c r="O198" s="181" t="str">
        <f>IF(ISBLANK(N198),"",VLOOKUP(N198,[9]Parámetros!$G$2:$H$23,2,FALSE))</f>
        <v>Contratación directa.</v>
      </c>
      <c r="P198" s="182">
        <f t="shared" si="40"/>
        <v>1</v>
      </c>
      <c r="Q198" s="183">
        <f t="shared" si="29"/>
        <v>462703317.26866001</v>
      </c>
      <c r="R198" s="183">
        <f t="shared" si="30"/>
        <v>462703317.26866001</v>
      </c>
      <c r="S198" s="184" t="s">
        <v>223</v>
      </c>
      <c r="T198" s="180">
        <f t="shared" si="41"/>
        <v>0</v>
      </c>
      <c r="U198" s="185" t="str">
        <f t="shared" si="31"/>
        <v>SUBDIRECCION DE GESTION CONTRACTUAL</v>
      </c>
      <c r="V198" s="172" t="str">
        <f t="shared" si="37"/>
        <v>CO-DC</v>
      </c>
      <c r="W198" s="185" t="str">
        <f t="shared" si="38"/>
        <v>Distrito Capital de Bogotá</v>
      </c>
      <c r="X198" s="186" t="s">
        <v>677</v>
      </c>
      <c r="Y198" s="172">
        <v>2427400</v>
      </c>
      <c r="Z198" s="188" t="s">
        <v>87</v>
      </c>
    </row>
    <row r="199" spans="1:26" s="189" customFormat="1" ht="12.75" customHeight="1" x14ac:dyDescent="0.2">
      <c r="A199" s="171" t="s">
        <v>84</v>
      </c>
      <c r="B199" s="172">
        <f t="shared" si="39"/>
        <v>47</v>
      </c>
      <c r="C199" s="173" t="s">
        <v>90</v>
      </c>
      <c r="D199" s="173" t="s">
        <v>88</v>
      </c>
      <c r="E199" s="174"/>
      <c r="F199" s="174">
        <v>344578782.46415001</v>
      </c>
      <c r="G199" s="174"/>
      <c r="H199" s="175">
        <v>80111600</v>
      </c>
      <c r="I199" s="176" t="s">
        <v>354</v>
      </c>
      <c r="J199" s="177">
        <v>1</v>
      </c>
      <c r="K199" s="178">
        <v>1</v>
      </c>
      <c r="L199" s="179">
        <v>12</v>
      </c>
      <c r="M199" s="172">
        <f t="shared" si="28"/>
        <v>1</v>
      </c>
      <c r="N199" s="180" t="s">
        <v>216</v>
      </c>
      <c r="O199" s="181" t="str">
        <f>IF(ISBLANK(N199),"",VLOOKUP(N199,[9]Parámetros!$G$2:$H$23,2,FALSE))</f>
        <v>Contratación directa.</v>
      </c>
      <c r="P199" s="182">
        <f t="shared" si="40"/>
        <v>1</v>
      </c>
      <c r="Q199" s="183">
        <f t="shared" si="29"/>
        <v>344578782.46415001</v>
      </c>
      <c r="R199" s="183">
        <f t="shared" si="30"/>
        <v>344578782.46415001</v>
      </c>
      <c r="S199" s="184" t="s">
        <v>223</v>
      </c>
      <c r="T199" s="180">
        <f t="shared" si="41"/>
        <v>0</v>
      </c>
      <c r="U199" s="185" t="str">
        <f t="shared" si="31"/>
        <v>SUBDIRECCION DE GESTION CONTRACTUAL</v>
      </c>
      <c r="V199" s="172" t="str">
        <f t="shared" si="37"/>
        <v>CO-DC</v>
      </c>
      <c r="W199" s="185" t="str">
        <f t="shared" si="38"/>
        <v>Distrito Capital de Bogotá</v>
      </c>
      <c r="X199" s="186" t="s">
        <v>677</v>
      </c>
      <c r="Y199" s="172">
        <v>2427400</v>
      </c>
      <c r="Z199" s="188" t="s">
        <v>87</v>
      </c>
    </row>
    <row r="200" spans="1:26" s="189" customFormat="1" ht="12.75" customHeight="1" x14ac:dyDescent="0.2">
      <c r="A200" s="171" t="s">
        <v>84</v>
      </c>
      <c r="B200" s="172">
        <f t="shared" si="39"/>
        <v>48</v>
      </c>
      <c r="C200" s="173" t="s">
        <v>375</v>
      </c>
      <c r="D200" s="173" t="s">
        <v>88</v>
      </c>
      <c r="E200" s="174"/>
      <c r="F200" s="174">
        <f>265237115-F220</f>
        <v>264857115</v>
      </c>
      <c r="G200" s="174"/>
      <c r="H200" s="175" t="s">
        <v>801</v>
      </c>
      <c r="I200" s="176" t="s">
        <v>357</v>
      </c>
      <c r="J200" s="177">
        <v>2</v>
      </c>
      <c r="K200" s="178">
        <v>3</v>
      </c>
      <c r="L200" s="179">
        <v>9</v>
      </c>
      <c r="M200" s="172">
        <f t="shared" si="28"/>
        <v>1</v>
      </c>
      <c r="N200" s="180" t="s">
        <v>234</v>
      </c>
      <c r="O200" s="181" t="str">
        <f>IF(ISBLANK(N200),"",VLOOKUP(N200,[9]Parámetros!$G$2:$H$23,2,FALSE))</f>
        <v>Licitación pública</v>
      </c>
      <c r="P200" s="182">
        <f t="shared" si="40"/>
        <v>1</v>
      </c>
      <c r="Q200" s="183">
        <f t="shared" si="29"/>
        <v>264857115</v>
      </c>
      <c r="R200" s="183">
        <f t="shared" si="30"/>
        <v>264857115</v>
      </c>
      <c r="S200" s="184" t="s">
        <v>223</v>
      </c>
      <c r="T200" s="180">
        <f t="shared" si="41"/>
        <v>0</v>
      </c>
      <c r="U200" s="185" t="str">
        <f t="shared" si="31"/>
        <v>SUBDIRECCION DE GESTION CONTRACTUAL</v>
      </c>
      <c r="V200" s="172" t="str">
        <f t="shared" si="37"/>
        <v>CO-DC</v>
      </c>
      <c r="W200" s="185" t="str">
        <f t="shared" si="38"/>
        <v>Distrito Capital de Bogotá</v>
      </c>
      <c r="X200" s="186" t="s">
        <v>677</v>
      </c>
      <c r="Y200" s="172">
        <v>2427400</v>
      </c>
      <c r="Z200" s="188" t="s">
        <v>87</v>
      </c>
    </row>
    <row r="201" spans="1:26" s="189" customFormat="1" ht="12.75" customHeight="1" x14ac:dyDescent="0.2">
      <c r="A201" s="171" t="s">
        <v>84</v>
      </c>
      <c r="B201" s="172">
        <f t="shared" si="39"/>
        <v>49</v>
      </c>
      <c r="C201" s="173" t="s">
        <v>376</v>
      </c>
      <c r="D201" s="173" t="s">
        <v>88</v>
      </c>
      <c r="E201" s="174"/>
      <c r="F201" s="174">
        <v>1392000000</v>
      </c>
      <c r="G201" s="174"/>
      <c r="H201" s="175" t="s">
        <v>801</v>
      </c>
      <c r="I201" s="176" t="s">
        <v>357</v>
      </c>
      <c r="J201" s="177">
        <v>2</v>
      </c>
      <c r="K201" s="178">
        <v>3</v>
      </c>
      <c r="L201" s="179">
        <v>9</v>
      </c>
      <c r="M201" s="172">
        <f t="shared" si="28"/>
        <v>1</v>
      </c>
      <c r="N201" s="180" t="s">
        <v>234</v>
      </c>
      <c r="O201" s="181" t="str">
        <f>IF(ISBLANK(N201),"",VLOOKUP(N201,[9]Parámetros!$G$2:$H$23,2,FALSE))</f>
        <v>Licitación pública</v>
      </c>
      <c r="P201" s="182">
        <f t="shared" si="40"/>
        <v>1</v>
      </c>
      <c r="Q201" s="183">
        <f t="shared" si="29"/>
        <v>1392000000</v>
      </c>
      <c r="R201" s="183">
        <f t="shared" si="30"/>
        <v>1392000000</v>
      </c>
      <c r="S201" s="184" t="s">
        <v>223</v>
      </c>
      <c r="T201" s="180">
        <f t="shared" si="41"/>
        <v>0</v>
      </c>
      <c r="U201" s="185" t="str">
        <f t="shared" si="31"/>
        <v>SUBDIRECCION DE GESTION CONTRACTUAL</v>
      </c>
      <c r="V201" s="172" t="str">
        <f t="shared" si="37"/>
        <v>CO-DC</v>
      </c>
      <c r="W201" s="185" t="str">
        <f t="shared" si="38"/>
        <v>Distrito Capital de Bogotá</v>
      </c>
      <c r="X201" s="186" t="s">
        <v>677</v>
      </c>
      <c r="Y201" s="172">
        <v>2427400</v>
      </c>
      <c r="Z201" s="188" t="s">
        <v>87</v>
      </c>
    </row>
    <row r="202" spans="1:26" s="189" customFormat="1" ht="12.75" customHeight="1" x14ac:dyDescent="0.2">
      <c r="A202" s="171" t="s">
        <v>84</v>
      </c>
      <c r="B202" s="172">
        <f t="shared" si="39"/>
        <v>50</v>
      </c>
      <c r="C202" s="173" t="s">
        <v>375</v>
      </c>
      <c r="D202" s="173" t="s">
        <v>88</v>
      </c>
      <c r="E202" s="174"/>
      <c r="F202" s="174">
        <v>1600000000</v>
      </c>
      <c r="G202" s="174"/>
      <c r="H202" s="175" t="s">
        <v>92</v>
      </c>
      <c r="I202" s="176" t="s">
        <v>362</v>
      </c>
      <c r="J202" s="177">
        <v>2</v>
      </c>
      <c r="K202" s="178">
        <v>5</v>
      </c>
      <c r="L202" s="179">
        <v>8</v>
      </c>
      <c r="M202" s="172">
        <f t="shared" si="28"/>
        <v>1</v>
      </c>
      <c r="N202" s="180" t="s">
        <v>36</v>
      </c>
      <c r="O202" s="181" t="str">
        <f>IF(ISBLANK(N202),"",VLOOKUP(N202,[9]Parámetros!$G$2:$H$23,2,FALSE))</f>
        <v xml:space="preserve">Contratación directa (con ofertas) </v>
      </c>
      <c r="P202" s="182">
        <f t="shared" si="40"/>
        <v>1</v>
      </c>
      <c r="Q202" s="183">
        <f t="shared" si="29"/>
        <v>1600000000</v>
      </c>
      <c r="R202" s="183">
        <f t="shared" si="30"/>
        <v>1600000000</v>
      </c>
      <c r="S202" s="184" t="s">
        <v>223</v>
      </c>
      <c r="T202" s="180">
        <f t="shared" si="41"/>
        <v>0</v>
      </c>
      <c r="U202" s="185" t="str">
        <f t="shared" si="31"/>
        <v>SUBDIRECCION DE GESTION CONTRACTUAL</v>
      </c>
      <c r="V202" s="172" t="str">
        <f t="shared" si="37"/>
        <v>CO-DC</v>
      </c>
      <c r="W202" s="185" t="str">
        <f t="shared" si="38"/>
        <v>Distrito Capital de Bogotá</v>
      </c>
      <c r="X202" s="186" t="s">
        <v>677</v>
      </c>
      <c r="Y202" s="172">
        <v>2427400</v>
      </c>
      <c r="Z202" s="188" t="s">
        <v>87</v>
      </c>
    </row>
    <row r="203" spans="1:26" s="189" customFormat="1" ht="12.75" customHeight="1" x14ac:dyDescent="0.2">
      <c r="A203" s="171" t="s">
        <v>84</v>
      </c>
      <c r="B203" s="172">
        <f t="shared" si="39"/>
        <v>51</v>
      </c>
      <c r="C203" s="173" t="s">
        <v>376</v>
      </c>
      <c r="D203" s="173" t="s">
        <v>88</v>
      </c>
      <c r="E203" s="174"/>
      <c r="F203" s="174">
        <v>1440000000</v>
      </c>
      <c r="G203" s="174"/>
      <c r="H203" s="175" t="s">
        <v>92</v>
      </c>
      <c r="I203" s="176" t="s">
        <v>362</v>
      </c>
      <c r="J203" s="177">
        <v>2</v>
      </c>
      <c r="K203" s="178">
        <v>5</v>
      </c>
      <c r="L203" s="179">
        <v>8</v>
      </c>
      <c r="M203" s="172">
        <f t="shared" si="28"/>
        <v>1</v>
      </c>
      <c r="N203" s="180" t="s">
        <v>36</v>
      </c>
      <c r="O203" s="181" t="str">
        <f>IF(ISBLANK(N203),"",VLOOKUP(N203,[9]Parámetros!$G$2:$H$23,2,FALSE))</f>
        <v xml:space="preserve">Contratación directa (con ofertas) </v>
      </c>
      <c r="P203" s="182">
        <f t="shared" si="40"/>
        <v>1</v>
      </c>
      <c r="Q203" s="183">
        <f t="shared" si="29"/>
        <v>1440000000</v>
      </c>
      <c r="R203" s="183">
        <f t="shared" si="30"/>
        <v>1440000000</v>
      </c>
      <c r="S203" s="184" t="s">
        <v>223</v>
      </c>
      <c r="T203" s="180">
        <f t="shared" si="41"/>
        <v>0</v>
      </c>
      <c r="U203" s="185" t="str">
        <f t="shared" si="31"/>
        <v>SUBDIRECCION DE GESTION CONTRACTUAL</v>
      </c>
      <c r="V203" s="172" t="str">
        <f t="shared" si="37"/>
        <v>CO-DC</v>
      </c>
      <c r="W203" s="185" t="str">
        <f t="shared" si="38"/>
        <v>Distrito Capital de Bogotá</v>
      </c>
      <c r="X203" s="186" t="s">
        <v>677</v>
      </c>
      <c r="Y203" s="172">
        <v>2427400</v>
      </c>
      <c r="Z203" s="188" t="s">
        <v>87</v>
      </c>
    </row>
    <row r="204" spans="1:26" s="189" customFormat="1" ht="12.75" customHeight="1" x14ac:dyDescent="0.2">
      <c r="A204" s="171" t="s">
        <v>84</v>
      </c>
      <c r="B204" s="172">
        <f t="shared" si="39"/>
        <v>52</v>
      </c>
      <c r="C204" s="173" t="s">
        <v>355</v>
      </c>
      <c r="D204" s="173" t="s">
        <v>89</v>
      </c>
      <c r="E204" s="174"/>
      <c r="F204" s="174">
        <v>1600000000</v>
      </c>
      <c r="G204" s="174"/>
      <c r="H204" s="175" t="s">
        <v>92</v>
      </c>
      <c r="I204" s="176" t="s">
        <v>362</v>
      </c>
      <c r="J204" s="177">
        <v>2</v>
      </c>
      <c r="K204" s="178">
        <v>5</v>
      </c>
      <c r="L204" s="179">
        <v>8</v>
      </c>
      <c r="M204" s="172">
        <f t="shared" si="28"/>
        <v>1</v>
      </c>
      <c r="N204" s="180" t="s">
        <v>36</v>
      </c>
      <c r="O204" s="181" t="str">
        <f>IF(ISBLANK(N204),"",VLOOKUP(N204,[9]Parámetros!$G$2:$H$23,2,FALSE))</f>
        <v xml:space="preserve">Contratación directa (con ofertas) </v>
      </c>
      <c r="P204" s="182">
        <f t="shared" si="40"/>
        <v>1</v>
      </c>
      <c r="Q204" s="183">
        <f t="shared" si="29"/>
        <v>1600000000</v>
      </c>
      <c r="R204" s="183">
        <f t="shared" si="30"/>
        <v>1600000000</v>
      </c>
      <c r="S204" s="184" t="s">
        <v>223</v>
      </c>
      <c r="T204" s="180">
        <f t="shared" si="41"/>
        <v>0</v>
      </c>
      <c r="U204" s="185" t="str">
        <f t="shared" si="31"/>
        <v>SUBDIRECCION DE GESTION CONTRACTUAL</v>
      </c>
      <c r="V204" s="172" t="str">
        <f t="shared" si="37"/>
        <v>CO-DC</v>
      </c>
      <c r="W204" s="185" t="str">
        <f t="shared" si="38"/>
        <v>Distrito Capital de Bogotá</v>
      </c>
      <c r="X204" s="186" t="s">
        <v>677</v>
      </c>
      <c r="Y204" s="172">
        <v>2427400</v>
      </c>
      <c r="Z204" s="188" t="s">
        <v>87</v>
      </c>
    </row>
    <row r="205" spans="1:26" s="189" customFormat="1" ht="12.75" customHeight="1" x14ac:dyDescent="0.2">
      <c r="A205" s="171" t="s">
        <v>84</v>
      </c>
      <c r="B205" s="172">
        <f t="shared" si="39"/>
        <v>53</v>
      </c>
      <c r="C205" s="173" t="s">
        <v>375</v>
      </c>
      <c r="D205" s="173" t="s">
        <v>88</v>
      </c>
      <c r="E205" s="174"/>
      <c r="F205" s="174">
        <v>14606577</v>
      </c>
      <c r="G205" s="174"/>
      <c r="H205" s="175" t="s">
        <v>42</v>
      </c>
      <c r="I205" s="176" t="s">
        <v>358</v>
      </c>
      <c r="J205" s="177">
        <v>3</v>
      </c>
      <c r="K205" s="178">
        <v>4</v>
      </c>
      <c r="L205" s="179">
        <v>9</v>
      </c>
      <c r="M205" s="172">
        <f t="shared" ref="M205:M268" si="42">IF(ISBLANK(J205),"",1)</f>
        <v>1</v>
      </c>
      <c r="N205" s="180" t="s">
        <v>61</v>
      </c>
      <c r="O205" s="181" t="str">
        <f>IF(ISBLANK(N205),"",VLOOKUP(N205,[9]Parámetros!$G$2:$H$23,2,FALSE))</f>
        <v>Contratación régimen especial - Selección de comisionista</v>
      </c>
      <c r="P205" s="182">
        <f t="shared" si="40"/>
        <v>1</v>
      </c>
      <c r="Q205" s="183">
        <f t="shared" ref="Q205:Q268" si="43">+E205+F205+G205</f>
        <v>14606577</v>
      </c>
      <c r="R205" s="183">
        <f t="shared" ref="R205:R268" si="44">+F205</f>
        <v>14606577</v>
      </c>
      <c r="S205" s="184" t="s">
        <v>223</v>
      </c>
      <c r="T205" s="180">
        <f t="shared" si="41"/>
        <v>0</v>
      </c>
      <c r="U205" s="185" t="str">
        <f t="shared" ref="U205:U268" si="45">IF(ISBLANK(N205),"","SUBDIRECCION DE GESTION CONTRACTUAL")</f>
        <v>SUBDIRECCION DE GESTION CONTRACTUAL</v>
      </c>
      <c r="V205" s="172" t="str">
        <f t="shared" si="37"/>
        <v>CO-DC</v>
      </c>
      <c r="W205" s="185" t="str">
        <f t="shared" si="38"/>
        <v>Distrito Capital de Bogotá</v>
      </c>
      <c r="X205" s="186" t="s">
        <v>359</v>
      </c>
      <c r="Y205" s="172">
        <v>2427400</v>
      </c>
      <c r="Z205" s="188" t="s">
        <v>75</v>
      </c>
    </row>
    <row r="206" spans="1:26" s="189" customFormat="1" ht="12.75" customHeight="1" x14ac:dyDescent="0.2">
      <c r="A206" s="171" t="s">
        <v>84</v>
      </c>
      <c r="B206" s="172">
        <f t="shared" si="39"/>
        <v>54</v>
      </c>
      <c r="C206" s="173" t="s">
        <v>376</v>
      </c>
      <c r="D206" s="173" t="s">
        <v>88</v>
      </c>
      <c r="E206" s="174"/>
      <c r="F206" s="174">
        <v>106920000</v>
      </c>
      <c r="G206" s="174"/>
      <c r="H206" s="175" t="s">
        <v>42</v>
      </c>
      <c r="I206" s="176" t="s">
        <v>358</v>
      </c>
      <c r="J206" s="177">
        <v>3</v>
      </c>
      <c r="K206" s="178">
        <v>4</v>
      </c>
      <c r="L206" s="179">
        <v>9</v>
      </c>
      <c r="M206" s="172">
        <f t="shared" si="42"/>
        <v>1</v>
      </c>
      <c r="N206" s="180" t="s">
        <v>61</v>
      </c>
      <c r="O206" s="181" t="str">
        <f>IF(ISBLANK(N206),"",VLOOKUP(N206,[9]Parámetros!$G$2:$H$23,2,FALSE))</f>
        <v>Contratación régimen especial - Selección de comisionista</v>
      </c>
      <c r="P206" s="182">
        <f t="shared" si="40"/>
        <v>1</v>
      </c>
      <c r="Q206" s="183">
        <f t="shared" si="43"/>
        <v>106920000</v>
      </c>
      <c r="R206" s="183">
        <f t="shared" si="44"/>
        <v>106920000</v>
      </c>
      <c r="S206" s="184" t="s">
        <v>223</v>
      </c>
      <c r="T206" s="180">
        <f t="shared" si="41"/>
        <v>0</v>
      </c>
      <c r="U206" s="185" t="str">
        <f t="shared" si="45"/>
        <v>SUBDIRECCION DE GESTION CONTRACTUAL</v>
      </c>
      <c r="V206" s="172" t="str">
        <f t="shared" si="37"/>
        <v>CO-DC</v>
      </c>
      <c r="W206" s="185" t="str">
        <f t="shared" si="38"/>
        <v>Distrito Capital de Bogotá</v>
      </c>
      <c r="X206" s="186" t="s">
        <v>359</v>
      </c>
      <c r="Y206" s="172">
        <v>2427400</v>
      </c>
      <c r="Z206" s="188" t="s">
        <v>75</v>
      </c>
    </row>
    <row r="207" spans="1:26" s="189" customFormat="1" ht="12.75" customHeight="1" x14ac:dyDescent="0.2">
      <c r="A207" s="171" t="s">
        <v>84</v>
      </c>
      <c r="B207" s="172">
        <f t="shared" si="39"/>
        <v>55</v>
      </c>
      <c r="C207" s="173" t="s">
        <v>90</v>
      </c>
      <c r="D207" s="173" t="s">
        <v>88</v>
      </c>
      <c r="E207" s="174"/>
      <c r="F207" s="174">
        <v>48600000</v>
      </c>
      <c r="G207" s="174"/>
      <c r="H207" s="175" t="s">
        <v>42</v>
      </c>
      <c r="I207" s="176" t="s">
        <v>358</v>
      </c>
      <c r="J207" s="177">
        <v>3</v>
      </c>
      <c r="K207" s="178">
        <v>4</v>
      </c>
      <c r="L207" s="179">
        <v>9</v>
      </c>
      <c r="M207" s="172">
        <f t="shared" si="42"/>
        <v>1</v>
      </c>
      <c r="N207" s="180" t="s">
        <v>61</v>
      </c>
      <c r="O207" s="181" t="str">
        <f>IF(ISBLANK(N207),"",VLOOKUP(N207,[9]Parámetros!$G$2:$H$23,2,FALSE))</f>
        <v>Contratación régimen especial - Selección de comisionista</v>
      </c>
      <c r="P207" s="182">
        <f t="shared" si="40"/>
        <v>1</v>
      </c>
      <c r="Q207" s="183">
        <f t="shared" si="43"/>
        <v>48600000</v>
      </c>
      <c r="R207" s="183">
        <f t="shared" si="44"/>
        <v>48600000</v>
      </c>
      <c r="S207" s="184" t="s">
        <v>223</v>
      </c>
      <c r="T207" s="180">
        <f t="shared" si="41"/>
        <v>0</v>
      </c>
      <c r="U207" s="185" t="str">
        <f t="shared" si="45"/>
        <v>SUBDIRECCION DE GESTION CONTRACTUAL</v>
      </c>
      <c r="V207" s="172" t="str">
        <f t="shared" si="37"/>
        <v>CO-DC</v>
      </c>
      <c r="W207" s="185" t="str">
        <f t="shared" si="38"/>
        <v>Distrito Capital de Bogotá</v>
      </c>
      <c r="X207" s="186" t="s">
        <v>359</v>
      </c>
      <c r="Y207" s="172">
        <v>2427400</v>
      </c>
      <c r="Z207" s="188" t="s">
        <v>75</v>
      </c>
    </row>
    <row r="208" spans="1:26" s="189" customFormat="1" ht="12.75" customHeight="1" x14ac:dyDescent="0.2">
      <c r="A208" s="171" t="s">
        <v>84</v>
      </c>
      <c r="B208" s="172">
        <f t="shared" si="39"/>
        <v>56</v>
      </c>
      <c r="C208" s="173" t="s">
        <v>375</v>
      </c>
      <c r="D208" s="173" t="s">
        <v>88</v>
      </c>
      <c r="E208" s="174"/>
      <c r="F208" s="174">
        <v>27000000</v>
      </c>
      <c r="G208" s="174"/>
      <c r="H208" s="175" t="s">
        <v>93</v>
      </c>
      <c r="I208" s="176" t="s">
        <v>364</v>
      </c>
      <c r="J208" s="177">
        <v>3</v>
      </c>
      <c r="K208" s="178">
        <v>4</v>
      </c>
      <c r="L208" s="179">
        <v>9</v>
      </c>
      <c r="M208" s="172">
        <f t="shared" si="42"/>
        <v>1</v>
      </c>
      <c r="N208" s="180" t="s">
        <v>36</v>
      </c>
      <c r="O208" s="181" t="str">
        <f>IF(ISBLANK(N208),"",VLOOKUP(N208,[9]Parámetros!$G$2:$H$23,2,FALSE))</f>
        <v xml:space="preserve">Contratación directa (con ofertas) </v>
      </c>
      <c r="P208" s="182">
        <f t="shared" si="40"/>
        <v>1</v>
      </c>
      <c r="Q208" s="183">
        <f t="shared" si="43"/>
        <v>27000000</v>
      </c>
      <c r="R208" s="183">
        <f t="shared" si="44"/>
        <v>27000000</v>
      </c>
      <c r="S208" s="184" t="s">
        <v>223</v>
      </c>
      <c r="T208" s="180">
        <f t="shared" si="41"/>
        <v>0</v>
      </c>
      <c r="U208" s="185" t="str">
        <f t="shared" si="45"/>
        <v>SUBDIRECCION DE GESTION CONTRACTUAL</v>
      </c>
      <c r="V208" s="172" t="str">
        <f t="shared" si="37"/>
        <v>CO-DC</v>
      </c>
      <c r="W208" s="185" t="str">
        <f t="shared" si="38"/>
        <v>Distrito Capital de Bogotá</v>
      </c>
      <c r="X208" s="186" t="s">
        <v>677</v>
      </c>
      <c r="Y208" s="172">
        <v>2427400</v>
      </c>
      <c r="Z208" s="188" t="s">
        <v>87</v>
      </c>
    </row>
    <row r="209" spans="1:26" s="189" customFormat="1" ht="12.75" customHeight="1" x14ac:dyDescent="0.2">
      <c r="A209" s="171" t="s">
        <v>84</v>
      </c>
      <c r="B209" s="172">
        <f t="shared" si="39"/>
        <v>57</v>
      </c>
      <c r="C209" s="173" t="s">
        <v>377</v>
      </c>
      <c r="D209" s="173" t="s">
        <v>378</v>
      </c>
      <c r="E209" s="174"/>
      <c r="F209" s="174">
        <v>4731015587</v>
      </c>
      <c r="G209" s="174"/>
      <c r="H209" s="175">
        <v>80111600</v>
      </c>
      <c r="I209" s="176" t="s">
        <v>354</v>
      </c>
      <c r="J209" s="177">
        <v>1</v>
      </c>
      <c r="K209" s="178">
        <v>1</v>
      </c>
      <c r="L209" s="179">
        <v>12</v>
      </c>
      <c r="M209" s="172">
        <f t="shared" si="42"/>
        <v>1</v>
      </c>
      <c r="N209" s="180" t="s">
        <v>216</v>
      </c>
      <c r="O209" s="181" t="str">
        <f>IF(ISBLANK(N209),"",VLOOKUP(N209,[9]Parámetros!$G$2:$H$23,2,FALSE))</f>
        <v>Contratación directa.</v>
      </c>
      <c r="P209" s="182">
        <f t="shared" si="40"/>
        <v>1</v>
      </c>
      <c r="Q209" s="183">
        <f t="shared" si="43"/>
        <v>4731015587</v>
      </c>
      <c r="R209" s="183">
        <f t="shared" si="44"/>
        <v>4731015587</v>
      </c>
      <c r="S209" s="184" t="s">
        <v>223</v>
      </c>
      <c r="T209" s="180">
        <f t="shared" si="41"/>
        <v>0</v>
      </c>
      <c r="U209" s="185" t="str">
        <f t="shared" si="45"/>
        <v>SUBDIRECCION DE GESTION CONTRACTUAL</v>
      </c>
      <c r="V209" s="172" t="str">
        <f t="shared" si="37"/>
        <v>CO-DC</v>
      </c>
      <c r="W209" s="185" t="str">
        <f t="shared" si="38"/>
        <v>Distrito Capital de Bogotá</v>
      </c>
      <c r="X209" s="186" t="s">
        <v>677</v>
      </c>
      <c r="Y209" s="172">
        <v>2427400</v>
      </c>
      <c r="Z209" s="188" t="s">
        <v>87</v>
      </c>
    </row>
    <row r="210" spans="1:26" s="189" customFormat="1" ht="12.75" customHeight="1" x14ac:dyDescent="0.2">
      <c r="A210" s="171" t="s">
        <v>84</v>
      </c>
      <c r="B210" s="172">
        <f t="shared" si="39"/>
        <v>58</v>
      </c>
      <c r="C210" s="173" t="s">
        <v>377</v>
      </c>
      <c r="D210" s="173" t="s">
        <v>378</v>
      </c>
      <c r="E210" s="174"/>
      <c r="F210" s="174">
        <v>3375904460</v>
      </c>
      <c r="G210" s="174"/>
      <c r="H210" s="175" t="s">
        <v>801</v>
      </c>
      <c r="I210" s="176" t="s">
        <v>357</v>
      </c>
      <c r="J210" s="177">
        <v>2</v>
      </c>
      <c r="K210" s="178">
        <v>3</v>
      </c>
      <c r="L210" s="179">
        <v>9</v>
      </c>
      <c r="M210" s="172">
        <f t="shared" si="42"/>
        <v>1</v>
      </c>
      <c r="N210" s="180" t="s">
        <v>234</v>
      </c>
      <c r="O210" s="181" t="str">
        <f>IF(ISBLANK(N210),"",VLOOKUP(N210,[9]Parámetros!$G$2:$H$23,2,FALSE))</f>
        <v>Licitación pública</v>
      </c>
      <c r="P210" s="182">
        <f t="shared" si="40"/>
        <v>1</v>
      </c>
      <c r="Q210" s="183">
        <f t="shared" si="43"/>
        <v>3375904460</v>
      </c>
      <c r="R210" s="183">
        <f t="shared" si="44"/>
        <v>3375904460</v>
      </c>
      <c r="S210" s="184" t="s">
        <v>223</v>
      </c>
      <c r="T210" s="180">
        <f t="shared" si="41"/>
        <v>0</v>
      </c>
      <c r="U210" s="185" t="str">
        <f t="shared" si="45"/>
        <v>SUBDIRECCION DE GESTION CONTRACTUAL</v>
      </c>
      <c r="V210" s="172" t="str">
        <f t="shared" si="37"/>
        <v>CO-DC</v>
      </c>
      <c r="W210" s="185" t="str">
        <f t="shared" si="38"/>
        <v>Distrito Capital de Bogotá</v>
      </c>
      <c r="X210" s="186" t="s">
        <v>677</v>
      </c>
      <c r="Y210" s="172">
        <v>2427400</v>
      </c>
      <c r="Z210" s="188" t="s">
        <v>87</v>
      </c>
    </row>
    <row r="211" spans="1:26" s="189" customFormat="1" ht="12.75" customHeight="1" x14ac:dyDescent="0.2">
      <c r="A211" s="171" t="s">
        <v>84</v>
      </c>
      <c r="B211" s="172">
        <f t="shared" si="39"/>
        <v>59</v>
      </c>
      <c r="C211" s="173" t="s">
        <v>85</v>
      </c>
      <c r="D211" s="173" t="s">
        <v>86</v>
      </c>
      <c r="E211" s="174"/>
      <c r="F211" s="174">
        <v>300000000</v>
      </c>
      <c r="G211" s="174"/>
      <c r="H211" s="175" t="s">
        <v>240</v>
      </c>
      <c r="I211" s="176" t="s">
        <v>379</v>
      </c>
      <c r="J211" s="177">
        <v>2</v>
      </c>
      <c r="K211" s="178">
        <v>3</v>
      </c>
      <c r="L211" s="179">
        <v>4</v>
      </c>
      <c r="M211" s="172">
        <f t="shared" si="42"/>
        <v>1</v>
      </c>
      <c r="N211" s="180" t="s">
        <v>43</v>
      </c>
      <c r="O211" s="181" t="str">
        <f>IF(ISBLANK(N211),"",VLOOKUP(N211,[9]Parámetros!$G$2:$H$23,2,FALSE))</f>
        <v>Selección abreviada subasta inversa</v>
      </c>
      <c r="P211" s="182">
        <f t="shared" si="40"/>
        <v>1</v>
      </c>
      <c r="Q211" s="183">
        <f t="shared" si="43"/>
        <v>300000000</v>
      </c>
      <c r="R211" s="183">
        <f t="shared" si="44"/>
        <v>300000000</v>
      </c>
      <c r="S211" s="184" t="s">
        <v>223</v>
      </c>
      <c r="T211" s="180">
        <f t="shared" si="41"/>
        <v>0</v>
      </c>
      <c r="U211" s="185" t="str">
        <f t="shared" si="45"/>
        <v>SUBDIRECCION DE GESTION CONTRACTUAL</v>
      </c>
      <c r="V211" s="172" t="str">
        <f t="shared" si="37"/>
        <v>CO-DC</v>
      </c>
      <c r="W211" s="185" t="str">
        <f t="shared" si="38"/>
        <v>Distrito Capital de Bogotá</v>
      </c>
      <c r="X211" s="186" t="s">
        <v>332</v>
      </c>
      <c r="Y211" s="172">
        <v>2427400</v>
      </c>
      <c r="Z211" s="188" t="s">
        <v>94</v>
      </c>
    </row>
    <row r="212" spans="1:26" s="189" customFormat="1" ht="12.75" customHeight="1" x14ac:dyDescent="0.2">
      <c r="A212" s="171" t="s">
        <v>84</v>
      </c>
      <c r="B212" s="172">
        <f t="shared" si="39"/>
        <v>60</v>
      </c>
      <c r="C212" s="173" t="s">
        <v>91</v>
      </c>
      <c r="D212" s="173" t="s">
        <v>89</v>
      </c>
      <c r="E212" s="174"/>
      <c r="F212" s="174">
        <v>325175000</v>
      </c>
      <c r="G212" s="174"/>
      <c r="H212" s="175" t="s">
        <v>801</v>
      </c>
      <c r="I212" s="176" t="s">
        <v>357</v>
      </c>
      <c r="J212" s="193">
        <v>1</v>
      </c>
      <c r="K212" s="193">
        <v>2</v>
      </c>
      <c r="L212" s="193">
        <v>3</v>
      </c>
      <c r="M212" s="172">
        <f t="shared" si="42"/>
        <v>1</v>
      </c>
      <c r="N212" s="180" t="s">
        <v>36</v>
      </c>
      <c r="O212" s="181" t="str">
        <f>IF(ISBLANK(N212),"",VLOOKUP(N212,[9]Parámetros!$G$2:$H$23,2,FALSE))</f>
        <v xml:space="preserve">Contratación directa (con ofertas) </v>
      </c>
      <c r="P212" s="182">
        <f t="shared" si="40"/>
        <v>1</v>
      </c>
      <c r="Q212" s="183">
        <f t="shared" si="43"/>
        <v>325175000</v>
      </c>
      <c r="R212" s="183">
        <f t="shared" si="44"/>
        <v>325175000</v>
      </c>
      <c r="S212" s="184" t="s">
        <v>223</v>
      </c>
      <c r="T212" s="180">
        <f t="shared" si="41"/>
        <v>0</v>
      </c>
      <c r="U212" s="185" t="str">
        <f t="shared" si="45"/>
        <v>SUBDIRECCION DE GESTION CONTRACTUAL</v>
      </c>
      <c r="V212" s="172" t="str">
        <f t="shared" si="37"/>
        <v>CO-DC</v>
      </c>
      <c r="W212" s="185" t="str">
        <f t="shared" si="38"/>
        <v>Distrito Capital de Bogotá</v>
      </c>
      <c r="X212" s="186" t="s">
        <v>677</v>
      </c>
      <c r="Y212" s="172">
        <v>2427400</v>
      </c>
      <c r="Z212" s="188" t="s">
        <v>87</v>
      </c>
    </row>
    <row r="213" spans="1:26" s="189" customFormat="1" ht="12.75" customHeight="1" x14ac:dyDescent="0.2">
      <c r="A213" s="171" t="s">
        <v>84</v>
      </c>
      <c r="B213" s="172">
        <f t="shared" si="39"/>
        <v>61</v>
      </c>
      <c r="C213" s="173" t="s">
        <v>355</v>
      </c>
      <c r="D213" s="173" t="s">
        <v>89</v>
      </c>
      <c r="E213" s="174"/>
      <c r="F213" s="174">
        <v>96000000</v>
      </c>
      <c r="G213" s="174"/>
      <c r="H213" s="175" t="s">
        <v>801</v>
      </c>
      <c r="I213" s="176" t="s">
        <v>357</v>
      </c>
      <c r="J213" s="193">
        <v>1</v>
      </c>
      <c r="K213" s="193">
        <v>2</v>
      </c>
      <c r="L213" s="193">
        <v>3</v>
      </c>
      <c r="M213" s="172">
        <f t="shared" si="42"/>
        <v>1</v>
      </c>
      <c r="N213" s="180" t="s">
        <v>36</v>
      </c>
      <c r="O213" s="181" t="str">
        <f>IF(ISBLANK(N213),"",VLOOKUP(N213,[9]Parámetros!$G$2:$H$23,2,FALSE))</f>
        <v xml:space="preserve">Contratación directa (con ofertas) </v>
      </c>
      <c r="P213" s="182">
        <f t="shared" si="40"/>
        <v>1</v>
      </c>
      <c r="Q213" s="183">
        <f t="shared" si="43"/>
        <v>96000000</v>
      </c>
      <c r="R213" s="183">
        <f t="shared" si="44"/>
        <v>96000000</v>
      </c>
      <c r="S213" s="184" t="s">
        <v>223</v>
      </c>
      <c r="T213" s="180">
        <f t="shared" si="41"/>
        <v>0</v>
      </c>
      <c r="U213" s="185" t="str">
        <f t="shared" si="45"/>
        <v>SUBDIRECCION DE GESTION CONTRACTUAL</v>
      </c>
      <c r="V213" s="172" t="str">
        <f t="shared" si="37"/>
        <v>CO-DC</v>
      </c>
      <c r="W213" s="185" t="str">
        <f t="shared" si="38"/>
        <v>Distrito Capital de Bogotá</v>
      </c>
      <c r="X213" s="186" t="s">
        <v>677</v>
      </c>
      <c r="Y213" s="172">
        <v>2427400</v>
      </c>
      <c r="Z213" s="188" t="s">
        <v>87</v>
      </c>
    </row>
    <row r="214" spans="1:26" s="189" customFormat="1" ht="12.75" customHeight="1" x14ac:dyDescent="0.2">
      <c r="A214" s="171" t="s">
        <v>84</v>
      </c>
      <c r="B214" s="172">
        <f t="shared" si="39"/>
        <v>62</v>
      </c>
      <c r="C214" s="173" t="s">
        <v>356</v>
      </c>
      <c r="D214" s="173" t="s">
        <v>89</v>
      </c>
      <c r="E214" s="174"/>
      <c r="F214" s="174">
        <f>942450000-865200000</f>
        <v>77250000</v>
      </c>
      <c r="G214" s="174"/>
      <c r="H214" s="175" t="s">
        <v>801</v>
      </c>
      <c r="I214" s="176" t="s">
        <v>357</v>
      </c>
      <c r="J214" s="193">
        <v>1</v>
      </c>
      <c r="K214" s="193">
        <v>2</v>
      </c>
      <c r="L214" s="193">
        <v>3</v>
      </c>
      <c r="M214" s="172">
        <f t="shared" si="42"/>
        <v>1</v>
      </c>
      <c r="N214" s="180" t="s">
        <v>36</v>
      </c>
      <c r="O214" s="181" t="str">
        <f>IF(ISBLANK(N214),"",VLOOKUP(N214,[9]Parámetros!$G$2:$H$23,2,FALSE))</f>
        <v xml:space="preserve">Contratación directa (con ofertas) </v>
      </c>
      <c r="P214" s="182">
        <f t="shared" si="40"/>
        <v>1</v>
      </c>
      <c r="Q214" s="183">
        <f t="shared" si="43"/>
        <v>77250000</v>
      </c>
      <c r="R214" s="183">
        <f t="shared" si="44"/>
        <v>77250000</v>
      </c>
      <c r="S214" s="184" t="s">
        <v>223</v>
      </c>
      <c r="T214" s="180">
        <f t="shared" si="41"/>
        <v>0</v>
      </c>
      <c r="U214" s="185" t="str">
        <f t="shared" si="45"/>
        <v>SUBDIRECCION DE GESTION CONTRACTUAL</v>
      </c>
      <c r="V214" s="172" t="str">
        <f t="shared" si="37"/>
        <v>CO-DC</v>
      </c>
      <c r="W214" s="185" t="str">
        <f t="shared" si="38"/>
        <v>Distrito Capital de Bogotá</v>
      </c>
      <c r="X214" s="186" t="s">
        <v>677</v>
      </c>
      <c r="Y214" s="172">
        <v>2427400</v>
      </c>
      <c r="Z214" s="188" t="s">
        <v>87</v>
      </c>
    </row>
    <row r="215" spans="1:26" s="189" customFormat="1" ht="12.75" customHeight="1" x14ac:dyDescent="0.2">
      <c r="A215" s="171" t="s">
        <v>84</v>
      </c>
      <c r="B215" s="172">
        <f t="shared" si="39"/>
        <v>63</v>
      </c>
      <c r="C215" s="173" t="s">
        <v>365</v>
      </c>
      <c r="D215" s="173" t="s">
        <v>366</v>
      </c>
      <c r="E215" s="174"/>
      <c r="F215" s="174">
        <v>198202843</v>
      </c>
      <c r="G215" s="174"/>
      <c r="H215" s="175" t="s">
        <v>801</v>
      </c>
      <c r="I215" s="176" t="s">
        <v>357</v>
      </c>
      <c r="J215" s="193">
        <v>1</v>
      </c>
      <c r="K215" s="193">
        <v>2</v>
      </c>
      <c r="L215" s="193">
        <v>3</v>
      </c>
      <c r="M215" s="172">
        <f t="shared" si="42"/>
        <v>1</v>
      </c>
      <c r="N215" s="180" t="s">
        <v>36</v>
      </c>
      <c r="O215" s="181" t="str">
        <f>IF(ISBLANK(N215),"",VLOOKUP(N215,[9]Parámetros!$G$2:$H$23,2,FALSE))</f>
        <v xml:space="preserve">Contratación directa (con ofertas) </v>
      </c>
      <c r="P215" s="182">
        <f t="shared" si="40"/>
        <v>1</v>
      </c>
      <c r="Q215" s="183">
        <f t="shared" si="43"/>
        <v>198202843</v>
      </c>
      <c r="R215" s="183">
        <f t="shared" si="44"/>
        <v>198202843</v>
      </c>
      <c r="S215" s="184" t="s">
        <v>223</v>
      </c>
      <c r="T215" s="180">
        <f t="shared" si="41"/>
        <v>0</v>
      </c>
      <c r="U215" s="185" t="str">
        <f t="shared" si="45"/>
        <v>SUBDIRECCION DE GESTION CONTRACTUAL</v>
      </c>
      <c r="V215" s="172" t="str">
        <f t="shared" si="37"/>
        <v>CO-DC</v>
      </c>
      <c r="W215" s="185" t="str">
        <f t="shared" si="38"/>
        <v>Distrito Capital de Bogotá</v>
      </c>
      <c r="X215" s="186" t="s">
        <v>677</v>
      </c>
      <c r="Y215" s="172">
        <v>2427400</v>
      </c>
      <c r="Z215" s="188" t="s">
        <v>87</v>
      </c>
    </row>
    <row r="216" spans="1:26" s="189" customFormat="1" ht="12.75" customHeight="1" x14ac:dyDescent="0.2">
      <c r="A216" s="171" t="s">
        <v>84</v>
      </c>
      <c r="B216" s="172">
        <f t="shared" si="39"/>
        <v>64</v>
      </c>
      <c r="C216" s="173" t="s">
        <v>367</v>
      </c>
      <c r="D216" s="173" t="s">
        <v>368</v>
      </c>
      <c r="E216" s="174"/>
      <c r="F216" s="174">
        <v>80000000</v>
      </c>
      <c r="G216" s="174"/>
      <c r="H216" s="175" t="s">
        <v>801</v>
      </c>
      <c r="I216" s="176" t="s">
        <v>357</v>
      </c>
      <c r="J216" s="193">
        <v>1</v>
      </c>
      <c r="K216" s="193">
        <v>2</v>
      </c>
      <c r="L216" s="193">
        <v>3</v>
      </c>
      <c r="M216" s="172">
        <f t="shared" si="42"/>
        <v>1</v>
      </c>
      <c r="N216" s="180" t="s">
        <v>36</v>
      </c>
      <c r="O216" s="181" t="str">
        <f>IF(ISBLANK(N216),"",VLOOKUP(N216,[9]Parámetros!$G$2:$H$23,2,FALSE))</f>
        <v xml:space="preserve">Contratación directa (con ofertas) </v>
      </c>
      <c r="P216" s="182">
        <f t="shared" si="40"/>
        <v>1</v>
      </c>
      <c r="Q216" s="183">
        <f t="shared" si="43"/>
        <v>80000000</v>
      </c>
      <c r="R216" s="183">
        <f t="shared" si="44"/>
        <v>80000000</v>
      </c>
      <c r="S216" s="184" t="s">
        <v>223</v>
      </c>
      <c r="T216" s="180">
        <f t="shared" si="41"/>
        <v>0</v>
      </c>
      <c r="U216" s="185" t="str">
        <f t="shared" si="45"/>
        <v>SUBDIRECCION DE GESTION CONTRACTUAL</v>
      </c>
      <c r="V216" s="172" t="str">
        <f t="shared" si="37"/>
        <v>CO-DC</v>
      </c>
      <c r="W216" s="185" t="str">
        <f t="shared" si="38"/>
        <v>Distrito Capital de Bogotá</v>
      </c>
      <c r="X216" s="186" t="s">
        <v>677</v>
      </c>
      <c r="Y216" s="172">
        <v>2427400</v>
      </c>
      <c r="Z216" s="188" t="s">
        <v>87</v>
      </c>
    </row>
    <row r="217" spans="1:26" s="189" customFormat="1" ht="12.75" customHeight="1" x14ac:dyDescent="0.2">
      <c r="A217" s="171" t="s">
        <v>84</v>
      </c>
      <c r="B217" s="172">
        <f t="shared" si="39"/>
        <v>65</v>
      </c>
      <c r="C217" s="173" t="s">
        <v>369</v>
      </c>
      <c r="D217" s="173" t="s">
        <v>370</v>
      </c>
      <c r="E217" s="174"/>
      <c r="F217" s="174">
        <v>200000000</v>
      </c>
      <c r="G217" s="174"/>
      <c r="H217" s="175" t="s">
        <v>801</v>
      </c>
      <c r="I217" s="176" t="s">
        <v>357</v>
      </c>
      <c r="J217" s="193">
        <v>1</v>
      </c>
      <c r="K217" s="193">
        <v>2</v>
      </c>
      <c r="L217" s="193">
        <v>3</v>
      </c>
      <c r="M217" s="172">
        <f t="shared" si="42"/>
        <v>1</v>
      </c>
      <c r="N217" s="180" t="s">
        <v>36</v>
      </c>
      <c r="O217" s="181" t="str">
        <f>IF(ISBLANK(N217),"",VLOOKUP(N217,[9]Parámetros!$G$2:$H$23,2,FALSE))</f>
        <v xml:space="preserve">Contratación directa (con ofertas) </v>
      </c>
      <c r="P217" s="182">
        <f t="shared" si="40"/>
        <v>1</v>
      </c>
      <c r="Q217" s="183">
        <f t="shared" si="43"/>
        <v>200000000</v>
      </c>
      <c r="R217" s="183">
        <f t="shared" si="44"/>
        <v>200000000</v>
      </c>
      <c r="S217" s="184" t="s">
        <v>223</v>
      </c>
      <c r="T217" s="180">
        <f t="shared" si="41"/>
        <v>0</v>
      </c>
      <c r="U217" s="185" t="str">
        <f t="shared" si="45"/>
        <v>SUBDIRECCION DE GESTION CONTRACTUAL</v>
      </c>
      <c r="V217" s="172" t="str">
        <f t="shared" si="37"/>
        <v>CO-DC</v>
      </c>
      <c r="W217" s="185" t="str">
        <f t="shared" si="38"/>
        <v>Distrito Capital de Bogotá</v>
      </c>
      <c r="X217" s="186" t="s">
        <v>677</v>
      </c>
      <c r="Y217" s="172">
        <v>2427400</v>
      </c>
      <c r="Z217" s="188" t="s">
        <v>87</v>
      </c>
    </row>
    <row r="218" spans="1:26" s="189" customFormat="1" ht="12.75" customHeight="1" x14ac:dyDescent="0.2">
      <c r="A218" s="171" t="s">
        <v>84</v>
      </c>
      <c r="B218" s="172">
        <f t="shared" si="39"/>
        <v>66</v>
      </c>
      <c r="C218" s="173" t="s">
        <v>371</v>
      </c>
      <c r="D218" s="173" t="s">
        <v>370</v>
      </c>
      <c r="E218" s="174"/>
      <c r="F218" s="174">
        <v>70000000</v>
      </c>
      <c r="G218" s="174"/>
      <c r="H218" s="175" t="s">
        <v>801</v>
      </c>
      <c r="I218" s="176" t="s">
        <v>357</v>
      </c>
      <c r="J218" s="193">
        <v>1</v>
      </c>
      <c r="K218" s="193">
        <v>2</v>
      </c>
      <c r="L218" s="193">
        <v>3</v>
      </c>
      <c r="M218" s="172">
        <f t="shared" si="42"/>
        <v>1</v>
      </c>
      <c r="N218" s="180" t="s">
        <v>36</v>
      </c>
      <c r="O218" s="181" t="str">
        <f>IF(ISBLANK(N218),"",VLOOKUP(N218,[9]Parámetros!$G$2:$H$23,2,FALSE))</f>
        <v xml:space="preserve">Contratación directa (con ofertas) </v>
      </c>
      <c r="P218" s="182">
        <f t="shared" si="40"/>
        <v>1</v>
      </c>
      <c r="Q218" s="183">
        <f t="shared" si="43"/>
        <v>70000000</v>
      </c>
      <c r="R218" s="183">
        <f t="shared" si="44"/>
        <v>70000000</v>
      </c>
      <c r="S218" s="184" t="s">
        <v>223</v>
      </c>
      <c r="T218" s="180">
        <f t="shared" si="41"/>
        <v>0</v>
      </c>
      <c r="U218" s="185" t="str">
        <f t="shared" si="45"/>
        <v>SUBDIRECCION DE GESTION CONTRACTUAL</v>
      </c>
      <c r="V218" s="172" t="str">
        <f t="shared" si="37"/>
        <v>CO-DC</v>
      </c>
      <c r="W218" s="185" t="str">
        <f t="shared" si="38"/>
        <v>Distrito Capital de Bogotá</v>
      </c>
      <c r="X218" s="186" t="s">
        <v>677</v>
      </c>
      <c r="Y218" s="172">
        <v>2427400</v>
      </c>
      <c r="Z218" s="188" t="s">
        <v>87</v>
      </c>
    </row>
    <row r="219" spans="1:26" s="189" customFormat="1" ht="12.75" customHeight="1" x14ac:dyDescent="0.2">
      <c r="A219" s="171" t="s">
        <v>84</v>
      </c>
      <c r="B219" s="172">
        <f t="shared" si="39"/>
        <v>67</v>
      </c>
      <c r="C219" s="173" t="s">
        <v>372</v>
      </c>
      <c r="D219" s="173" t="s">
        <v>373</v>
      </c>
      <c r="E219" s="174"/>
      <c r="F219" s="174">
        <v>329345102</v>
      </c>
      <c r="G219" s="174"/>
      <c r="H219" s="175" t="s">
        <v>801</v>
      </c>
      <c r="I219" s="176" t="s">
        <v>357</v>
      </c>
      <c r="J219" s="193">
        <v>1</v>
      </c>
      <c r="K219" s="193">
        <v>2</v>
      </c>
      <c r="L219" s="193">
        <v>3</v>
      </c>
      <c r="M219" s="172">
        <f t="shared" si="42"/>
        <v>1</v>
      </c>
      <c r="N219" s="180" t="s">
        <v>36</v>
      </c>
      <c r="O219" s="181" t="str">
        <f>IF(ISBLANK(N219),"",VLOOKUP(N219,[9]Parámetros!$G$2:$H$23,2,FALSE))</f>
        <v xml:space="preserve">Contratación directa (con ofertas) </v>
      </c>
      <c r="P219" s="182">
        <f t="shared" si="40"/>
        <v>1</v>
      </c>
      <c r="Q219" s="183">
        <f t="shared" si="43"/>
        <v>329345102</v>
      </c>
      <c r="R219" s="183">
        <f t="shared" si="44"/>
        <v>329345102</v>
      </c>
      <c r="S219" s="184" t="s">
        <v>223</v>
      </c>
      <c r="T219" s="180">
        <f t="shared" si="41"/>
        <v>0</v>
      </c>
      <c r="U219" s="185" t="str">
        <f t="shared" si="45"/>
        <v>SUBDIRECCION DE GESTION CONTRACTUAL</v>
      </c>
      <c r="V219" s="172" t="str">
        <f t="shared" si="37"/>
        <v>CO-DC</v>
      </c>
      <c r="W219" s="185" t="str">
        <f t="shared" si="38"/>
        <v>Distrito Capital de Bogotá</v>
      </c>
      <c r="X219" s="186" t="s">
        <v>677</v>
      </c>
      <c r="Y219" s="172">
        <v>2427400</v>
      </c>
      <c r="Z219" s="188" t="s">
        <v>87</v>
      </c>
    </row>
    <row r="220" spans="1:26" s="189" customFormat="1" ht="12.75" customHeight="1" x14ac:dyDescent="0.2">
      <c r="A220" s="171" t="s">
        <v>84</v>
      </c>
      <c r="B220" s="172">
        <f t="shared" si="39"/>
        <v>68</v>
      </c>
      <c r="C220" s="173" t="s">
        <v>375</v>
      </c>
      <c r="D220" s="173" t="s">
        <v>88</v>
      </c>
      <c r="E220" s="174"/>
      <c r="F220" s="174">
        <v>380000</v>
      </c>
      <c r="G220" s="174"/>
      <c r="H220" s="175" t="s">
        <v>801</v>
      </c>
      <c r="I220" s="176" t="s">
        <v>357</v>
      </c>
      <c r="J220" s="193">
        <v>1</v>
      </c>
      <c r="K220" s="193">
        <v>2</v>
      </c>
      <c r="L220" s="193">
        <v>3</v>
      </c>
      <c r="M220" s="172">
        <f t="shared" si="42"/>
        <v>1</v>
      </c>
      <c r="N220" s="180" t="s">
        <v>36</v>
      </c>
      <c r="O220" s="181" t="str">
        <f>IF(ISBLANK(N220),"",VLOOKUP(N220,[9]Parámetros!$G$2:$H$23,2,FALSE))</f>
        <v xml:space="preserve">Contratación directa (con ofertas) </v>
      </c>
      <c r="P220" s="182">
        <f t="shared" si="40"/>
        <v>1</v>
      </c>
      <c r="Q220" s="183">
        <f t="shared" si="43"/>
        <v>380000</v>
      </c>
      <c r="R220" s="183">
        <f t="shared" si="44"/>
        <v>380000</v>
      </c>
      <c r="S220" s="184" t="s">
        <v>223</v>
      </c>
      <c r="T220" s="180">
        <f t="shared" si="41"/>
        <v>0</v>
      </c>
      <c r="U220" s="185" t="str">
        <f t="shared" si="45"/>
        <v>SUBDIRECCION DE GESTION CONTRACTUAL</v>
      </c>
      <c r="V220" s="172" t="str">
        <f t="shared" si="37"/>
        <v>CO-DC</v>
      </c>
      <c r="W220" s="185" t="str">
        <f t="shared" si="38"/>
        <v>Distrito Capital de Bogotá</v>
      </c>
      <c r="X220" s="186" t="s">
        <v>677</v>
      </c>
      <c r="Y220" s="172">
        <v>2427400</v>
      </c>
      <c r="Z220" s="188" t="s">
        <v>87</v>
      </c>
    </row>
    <row r="221" spans="1:26" s="189" customFormat="1" ht="12.75" customHeight="1" x14ac:dyDescent="0.2">
      <c r="A221" s="171" t="s">
        <v>84</v>
      </c>
      <c r="B221" s="172">
        <f t="shared" si="39"/>
        <v>69</v>
      </c>
      <c r="C221" s="173" t="s">
        <v>376</v>
      </c>
      <c r="D221" s="173" t="s">
        <v>88</v>
      </c>
      <c r="E221" s="174"/>
      <c r="F221" s="174">
        <v>60000000</v>
      </c>
      <c r="G221" s="174"/>
      <c r="H221" s="175" t="s">
        <v>801</v>
      </c>
      <c r="I221" s="176" t="s">
        <v>357</v>
      </c>
      <c r="J221" s="193">
        <v>1</v>
      </c>
      <c r="K221" s="193">
        <v>2</v>
      </c>
      <c r="L221" s="193">
        <v>3</v>
      </c>
      <c r="M221" s="172">
        <f t="shared" si="42"/>
        <v>1</v>
      </c>
      <c r="N221" s="180" t="s">
        <v>36</v>
      </c>
      <c r="O221" s="181" t="str">
        <f>IF(ISBLANK(N221),"",VLOOKUP(N221,[9]Parámetros!$G$2:$H$23,2,FALSE))</f>
        <v xml:space="preserve">Contratación directa (con ofertas) </v>
      </c>
      <c r="P221" s="182">
        <f t="shared" si="40"/>
        <v>1</v>
      </c>
      <c r="Q221" s="183">
        <f t="shared" si="43"/>
        <v>60000000</v>
      </c>
      <c r="R221" s="183">
        <f t="shared" si="44"/>
        <v>60000000</v>
      </c>
      <c r="S221" s="184" t="s">
        <v>223</v>
      </c>
      <c r="T221" s="180">
        <f t="shared" si="41"/>
        <v>0</v>
      </c>
      <c r="U221" s="185" t="str">
        <f t="shared" si="45"/>
        <v>SUBDIRECCION DE GESTION CONTRACTUAL</v>
      </c>
      <c r="V221" s="172" t="str">
        <f t="shared" si="37"/>
        <v>CO-DC</v>
      </c>
      <c r="W221" s="185" t="str">
        <f t="shared" si="38"/>
        <v>Distrito Capital de Bogotá</v>
      </c>
      <c r="X221" s="186" t="s">
        <v>677</v>
      </c>
      <c r="Y221" s="172">
        <v>2427400</v>
      </c>
      <c r="Z221" s="188" t="s">
        <v>87</v>
      </c>
    </row>
    <row r="222" spans="1:26" s="189" customFormat="1" ht="12.75" customHeight="1" thickBot="1" x14ac:dyDescent="0.25">
      <c r="A222" s="171" t="s">
        <v>84</v>
      </c>
      <c r="B222" s="172">
        <f t="shared" si="39"/>
        <v>70</v>
      </c>
      <c r="C222" s="173" t="s">
        <v>377</v>
      </c>
      <c r="D222" s="173" t="s">
        <v>378</v>
      </c>
      <c r="E222" s="174"/>
      <c r="F222" s="174">
        <v>163647055</v>
      </c>
      <c r="G222" s="174"/>
      <c r="H222" s="175" t="s">
        <v>801</v>
      </c>
      <c r="I222" s="176" t="s">
        <v>357</v>
      </c>
      <c r="J222" s="193">
        <v>1</v>
      </c>
      <c r="K222" s="193">
        <v>2</v>
      </c>
      <c r="L222" s="193">
        <v>3</v>
      </c>
      <c r="M222" s="172">
        <f t="shared" si="42"/>
        <v>1</v>
      </c>
      <c r="N222" s="180" t="s">
        <v>36</v>
      </c>
      <c r="O222" s="181" t="str">
        <f>IF(ISBLANK(N222),"",VLOOKUP(N222,[9]Parámetros!$G$2:$H$23,2,FALSE))</f>
        <v xml:space="preserve">Contratación directa (con ofertas) </v>
      </c>
      <c r="P222" s="182">
        <f t="shared" si="40"/>
        <v>1</v>
      </c>
      <c r="Q222" s="183">
        <f t="shared" si="43"/>
        <v>163647055</v>
      </c>
      <c r="R222" s="183">
        <f t="shared" si="44"/>
        <v>163647055</v>
      </c>
      <c r="S222" s="184" t="s">
        <v>223</v>
      </c>
      <c r="T222" s="180">
        <f t="shared" si="41"/>
        <v>0</v>
      </c>
      <c r="U222" s="185" t="str">
        <f t="shared" si="45"/>
        <v>SUBDIRECCION DE GESTION CONTRACTUAL</v>
      </c>
      <c r="V222" s="172" t="str">
        <f t="shared" si="37"/>
        <v>CO-DC</v>
      </c>
      <c r="W222" s="185" t="str">
        <f t="shared" si="38"/>
        <v>Distrito Capital de Bogotá</v>
      </c>
      <c r="X222" s="186" t="s">
        <v>677</v>
      </c>
      <c r="Y222" s="172">
        <v>2427400</v>
      </c>
      <c r="Z222" s="188" t="s">
        <v>87</v>
      </c>
    </row>
    <row r="223" spans="1:26" s="189" customFormat="1" ht="12.75" customHeight="1" x14ac:dyDescent="0.2">
      <c r="A223" s="215" t="s">
        <v>99</v>
      </c>
      <c r="B223" s="216">
        <v>1</v>
      </c>
      <c r="C223" s="217" t="s">
        <v>380</v>
      </c>
      <c r="D223" s="217" t="s">
        <v>100</v>
      </c>
      <c r="E223" s="218"/>
      <c r="F223" s="218">
        <v>494415925</v>
      </c>
      <c r="G223" s="218"/>
      <c r="H223" s="219">
        <v>80111600</v>
      </c>
      <c r="I223" s="220" t="s">
        <v>381</v>
      </c>
      <c r="J223" s="221">
        <v>1</v>
      </c>
      <c r="K223" s="221">
        <v>1</v>
      </c>
      <c r="L223" s="221">
        <v>12</v>
      </c>
      <c r="M223" s="222">
        <f t="shared" si="42"/>
        <v>1</v>
      </c>
      <c r="N223" s="223" t="s">
        <v>216</v>
      </c>
      <c r="O223" s="181" t="str">
        <f>IF(ISBLANK(N223),"",VLOOKUP(N223,[10]Parámetros!$G$2:$H$23,2,FALSE))</f>
        <v>Contratación directa.</v>
      </c>
      <c r="P223" s="224">
        <f t="shared" si="40"/>
        <v>1</v>
      </c>
      <c r="Q223" s="183">
        <f t="shared" si="43"/>
        <v>494415925</v>
      </c>
      <c r="R223" s="183">
        <f t="shared" si="44"/>
        <v>494415925</v>
      </c>
      <c r="S223" s="225" t="s">
        <v>223</v>
      </c>
      <c r="T223" s="226">
        <f t="shared" si="41"/>
        <v>0</v>
      </c>
      <c r="U223" s="185" t="str">
        <f t="shared" si="45"/>
        <v>SUBDIRECCION DE GESTION CONTRACTUAL</v>
      </c>
      <c r="V223" s="216" t="str">
        <f t="shared" si="37"/>
        <v>CO-DC</v>
      </c>
      <c r="W223" s="227" t="str">
        <f t="shared" si="38"/>
        <v>Distrito Capital de Bogotá</v>
      </c>
      <c r="X223" s="228" t="s">
        <v>106</v>
      </c>
      <c r="Y223" s="187">
        <v>2427400</v>
      </c>
      <c r="Z223" s="229" t="s">
        <v>382</v>
      </c>
    </row>
    <row r="224" spans="1:26" s="189" customFormat="1" ht="12.75" customHeight="1" x14ac:dyDescent="0.2">
      <c r="A224" s="171" t="s">
        <v>99</v>
      </c>
      <c r="B224" s="172">
        <v>2</v>
      </c>
      <c r="C224" s="173" t="s">
        <v>380</v>
      </c>
      <c r="D224" s="173" t="s">
        <v>100</v>
      </c>
      <c r="E224" s="174"/>
      <c r="F224" s="174">
        <v>10000000</v>
      </c>
      <c r="G224" s="174"/>
      <c r="H224" s="175" t="s">
        <v>801</v>
      </c>
      <c r="I224" s="176" t="s">
        <v>383</v>
      </c>
      <c r="J224" s="177">
        <v>2</v>
      </c>
      <c r="K224" s="178">
        <v>3</v>
      </c>
      <c r="L224" s="179">
        <v>9</v>
      </c>
      <c r="M224" s="172">
        <f t="shared" si="42"/>
        <v>1</v>
      </c>
      <c r="N224" s="180" t="s">
        <v>234</v>
      </c>
      <c r="O224" s="181" t="str">
        <f>IF(ISBLANK(N224),"",VLOOKUP(N224,[10]Parámetros!$G$2:$H$23,2,FALSE))</f>
        <v>Licitación pública</v>
      </c>
      <c r="P224" s="182">
        <v>1</v>
      </c>
      <c r="Q224" s="183">
        <f t="shared" si="43"/>
        <v>10000000</v>
      </c>
      <c r="R224" s="183">
        <f t="shared" si="44"/>
        <v>10000000</v>
      </c>
      <c r="S224" s="184" t="s">
        <v>223</v>
      </c>
      <c r="T224" s="180">
        <v>0</v>
      </c>
      <c r="U224" s="185" t="str">
        <f t="shared" si="45"/>
        <v>SUBDIRECCION DE GESTION CONTRACTUAL</v>
      </c>
      <c r="V224" s="172" t="str">
        <f t="shared" si="37"/>
        <v>CO-DC</v>
      </c>
      <c r="W224" s="185" t="str">
        <f t="shared" si="38"/>
        <v>Distrito Capital de Bogotá</v>
      </c>
      <c r="X224" s="186" t="s">
        <v>106</v>
      </c>
      <c r="Y224" s="187">
        <v>2427400</v>
      </c>
      <c r="Z224" s="188" t="s">
        <v>382</v>
      </c>
    </row>
    <row r="225" spans="1:26" s="189" customFormat="1" ht="12.75" customHeight="1" x14ac:dyDescent="0.2">
      <c r="A225" s="171" t="s">
        <v>99</v>
      </c>
      <c r="B225" s="172">
        <v>3</v>
      </c>
      <c r="C225" s="173" t="s">
        <v>380</v>
      </c>
      <c r="D225" s="173" t="s">
        <v>100</v>
      </c>
      <c r="E225" s="174"/>
      <c r="F225" s="174">
        <v>50000000</v>
      </c>
      <c r="G225" s="174"/>
      <c r="H225" s="175" t="s">
        <v>250</v>
      </c>
      <c r="I225" s="176" t="s">
        <v>647</v>
      </c>
      <c r="J225" s="193">
        <v>3</v>
      </c>
      <c r="K225" s="193">
        <v>4</v>
      </c>
      <c r="L225" s="193">
        <v>8</v>
      </c>
      <c r="M225" s="172">
        <f t="shared" si="42"/>
        <v>1</v>
      </c>
      <c r="N225" s="180" t="s">
        <v>53</v>
      </c>
      <c r="O225" s="181" t="s">
        <v>54</v>
      </c>
      <c r="P225" s="182">
        <v>1</v>
      </c>
      <c r="Q225" s="183">
        <f t="shared" si="43"/>
        <v>50000000</v>
      </c>
      <c r="R225" s="183">
        <f t="shared" si="44"/>
        <v>50000000</v>
      </c>
      <c r="S225" s="184" t="s">
        <v>223</v>
      </c>
      <c r="T225" s="180">
        <v>0</v>
      </c>
      <c r="U225" s="185" t="str">
        <f t="shared" si="45"/>
        <v>SUBDIRECCION DE GESTION CONTRACTUAL</v>
      </c>
      <c r="V225" s="172" t="str">
        <f t="shared" ref="V225:V288" si="46">IF(ISBLANK(N225),"","CO-DC")</f>
        <v>CO-DC</v>
      </c>
      <c r="W225" s="185" t="str">
        <f t="shared" ref="W225:W288" si="47">IF(ISBLANK(N225),"","Distrito Capital de Bogotá")</f>
        <v>Distrito Capital de Bogotá</v>
      </c>
      <c r="X225" s="186" t="s">
        <v>106</v>
      </c>
      <c r="Y225" s="187">
        <v>2427400</v>
      </c>
      <c r="Z225" s="188" t="s">
        <v>382</v>
      </c>
    </row>
    <row r="226" spans="1:26" s="189" customFormat="1" ht="12.75" customHeight="1" x14ac:dyDescent="0.2">
      <c r="A226" s="171" t="s">
        <v>99</v>
      </c>
      <c r="B226" s="172">
        <v>4</v>
      </c>
      <c r="C226" s="173" t="s">
        <v>380</v>
      </c>
      <c r="D226" s="173" t="s">
        <v>100</v>
      </c>
      <c r="E226" s="174"/>
      <c r="F226" s="174">
        <v>160000000</v>
      </c>
      <c r="G226" s="174"/>
      <c r="H226" s="230" t="s">
        <v>384</v>
      </c>
      <c r="I226" s="176" t="s">
        <v>385</v>
      </c>
      <c r="J226" s="193">
        <v>2</v>
      </c>
      <c r="K226" s="193">
        <v>2</v>
      </c>
      <c r="L226" s="193">
        <v>4</v>
      </c>
      <c r="M226" s="172">
        <f t="shared" si="42"/>
        <v>1</v>
      </c>
      <c r="N226" s="180" t="s">
        <v>36</v>
      </c>
      <c r="O226" s="181" t="str">
        <f>IF(ISBLANK(N226),"",VLOOKUP(N226,[10]Parámetros!$G$2:$H$23,2,FALSE))</f>
        <v xml:space="preserve">Contratación directa (con ofertas) </v>
      </c>
      <c r="P226" s="182">
        <v>1</v>
      </c>
      <c r="Q226" s="183">
        <f t="shared" si="43"/>
        <v>160000000</v>
      </c>
      <c r="R226" s="183">
        <f t="shared" si="44"/>
        <v>160000000</v>
      </c>
      <c r="S226" s="184" t="s">
        <v>223</v>
      </c>
      <c r="T226" s="180">
        <v>0</v>
      </c>
      <c r="U226" s="185" t="str">
        <f t="shared" si="45"/>
        <v>SUBDIRECCION DE GESTION CONTRACTUAL</v>
      </c>
      <c r="V226" s="172" t="str">
        <f t="shared" si="46"/>
        <v>CO-DC</v>
      </c>
      <c r="W226" s="185" t="str">
        <f t="shared" si="47"/>
        <v>Distrito Capital de Bogotá</v>
      </c>
      <c r="X226" s="186" t="s">
        <v>106</v>
      </c>
      <c r="Y226" s="187">
        <v>2427400</v>
      </c>
      <c r="Z226" s="188" t="s">
        <v>382</v>
      </c>
    </row>
    <row r="227" spans="1:26" s="189" customFormat="1" ht="12.75" customHeight="1" x14ac:dyDescent="0.2">
      <c r="A227" s="171" t="s">
        <v>99</v>
      </c>
      <c r="B227" s="172">
        <v>5</v>
      </c>
      <c r="C227" s="173" t="s">
        <v>386</v>
      </c>
      <c r="D227" s="173" t="s">
        <v>100</v>
      </c>
      <c r="E227" s="174"/>
      <c r="F227" s="174">
        <v>637415925</v>
      </c>
      <c r="G227" s="174"/>
      <c r="H227" s="175">
        <v>80111600</v>
      </c>
      <c r="I227" s="176" t="s">
        <v>381</v>
      </c>
      <c r="J227" s="193">
        <v>1</v>
      </c>
      <c r="K227" s="193">
        <v>1</v>
      </c>
      <c r="L227" s="193">
        <v>12</v>
      </c>
      <c r="M227" s="172">
        <f t="shared" si="42"/>
        <v>1</v>
      </c>
      <c r="N227" s="180" t="s">
        <v>216</v>
      </c>
      <c r="O227" s="181" t="str">
        <f>IF(ISBLANK(N227),"",VLOOKUP(N227,[10]Parámetros!$G$2:$H$23,2,FALSE))</f>
        <v>Contratación directa.</v>
      </c>
      <c r="P227" s="182">
        <f>IF(ISBLANK(N227),"",1)</f>
        <v>1</v>
      </c>
      <c r="Q227" s="183">
        <f t="shared" si="43"/>
        <v>637415925</v>
      </c>
      <c r="R227" s="183">
        <f t="shared" si="44"/>
        <v>637415925</v>
      </c>
      <c r="S227" s="184" t="s">
        <v>223</v>
      </c>
      <c r="T227" s="180">
        <f>IF(ISBLANK(S227),"",IF(VALUE(S227)=0,0,IF(VALUE(S227)=1,3,"")))</f>
        <v>0</v>
      </c>
      <c r="U227" s="185" t="str">
        <f t="shared" si="45"/>
        <v>SUBDIRECCION DE GESTION CONTRACTUAL</v>
      </c>
      <c r="V227" s="172" t="str">
        <f t="shared" si="46"/>
        <v>CO-DC</v>
      </c>
      <c r="W227" s="185" t="str">
        <f t="shared" si="47"/>
        <v>Distrito Capital de Bogotá</v>
      </c>
      <c r="X227" s="186" t="s">
        <v>106</v>
      </c>
      <c r="Y227" s="187">
        <v>2427400</v>
      </c>
      <c r="Z227" s="188" t="s">
        <v>382</v>
      </c>
    </row>
    <row r="228" spans="1:26" s="189" customFormat="1" ht="12.75" customHeight="1" x14ac:dyDescent="0.2">
      <c r="A228" s="171" t="s">
        <v>99</v>
      </c>
      <c r="B228" s="172">
        <v>6</v>
      </c>
      <c r="C228" s="173" t="s">
        <v>386</v>
      </c>
      <c r="D228" s="173" t="s">
        <v>100</v>
      </c>
      <c r="E228" s="174"/>
      <c r="F228" s="174">
        <v>50000000</v>
      </c>
      <c r="G228" s="174"/>
      <c r="H228" s="175" t="s">
        <v>42</v>
      </c>
      <c r="I228" s="176" t="s">
        <v>387</v>
      </c>
      <c r="J228" s="177">
        <v>3</v>
      </c>
      <c r="K228" s="178">
        <v>4</v>
      </c>
      <c r="L228" s="179">
        <v>9</v>
      </c>
      <c r="M228" s="172">
        <f t="shared" si="42"/>
        <v>1</v>
      </c>
      <c r="N228" s="180" t="s">
        <v>61</v>
      </c>
      <c r="O228" s="181" t="str">
        <f>IF(ISBLANK(N228),"",VLOOKUP(N228,[9]Parámetros!$G$2:$H$23,2,FALSE))</f>
        <v>Contratación régimen especial - Selección de comisionista</v>
      </c>
      <c r="P228" s="182">
        <v>1</v>
      </c>
      <c r="Q228" s="183">
        <f t="shared" si="43"/>
        <v>50000000</v>
      </c>
      <c r="R228" s="183">
        <f t="shared" si="44"/>
        <v>50000000</v>
      </c>
      <c r="S228" s="184" t="s">
        <v>223</v>
      </c>
      <c r="T228" s="180">
        <v>0</v>
      </c>
      <c r="U228" s="185" t="str">
        <f t="shared" si="45"/>
        <v>SUBDIRECCION DE GESTION CONTRACTUAL</v>
      </c>
      <c r="V228" s="172" t="str">
        <f t="shared" si="46"/>
        <v>CO-DC</v>
      </c>
      <c r="W228" s="185" t="str">
        <f t="shared" si="47"/>
        <v>Distrito Capital de Bogotá</v>
      </c>
      <c r="X228" s="186" t="s">
        <v>106</v>
      </c>
      <c r="Y228" s="187">
        <v>2427400</v>
      </c>
      <c r="Z228" s="188" t="s">
        <v>382</v>
      </c>
    </row>
    <row r="229" spans="1:26" s="189" customFormat="1" ht="12.75" customHeight="1" x14ac:dyDescent="0.2">
      <c r="A229" s="171" t="s">
        <v>99</v>
      </c>
      <c r="B229" s="172">
        <v>7</v>
      </c>
      <c r="C229" s="173" t="s">
        <v>386</v>
      </c>
      <c r="D229" s="173" t="s">
        <v>100</v>
      </c>
      <c r="E229" s="174"/>
      <c r="F229" s="174">
        <v>170000000</v>
      </c>
      <c r="G229" s="174"/>
      <c r="H229" s="175" t="s">
        <v>801</v>
      </c>
      <c r="I229" s="176" t="s">
        <v>383</v>
      </c>
      <c r="J229" s="177">
        <v>2</v>
      </c>
      <c r="K229" s="178">
        <v>3</v>
      </c>
      <c r="L229" s="179">
        <v>9</v>
      </c>
      <c r="M229" s="172">
        <f t="shared" si="42"/>
        <v>1</v>
      </c>
      <c r="N229" s="180" t="s">
        <v>234</v>
      </c>
      <c r="O229" s="181" t="str">
        <f>IF(ISBLANK(N229),"",VLOOKUP(N229,[10]Parámetros!$G$2:$H$23,2,FALSE))</f>
        <v>Licitación pública</v>
      </c>
      <c r="P229" s="182">
        <v>1</v>
      </c>
      <c r="Q229" s="183">
        <f t="shared" si="43"/>
        <v>170000000</v>
      </c>
      <c r="R229" s="183">
        <f t="shared" si="44"/>
        <v>170000000</v>
      </c>
      <c r="S229" s="184" t="s">
        <v>223</v>
      </c>
      <c r="T229" s="180">
        <v>0</v>
      </c>
      <c r="U229" s="185" t="str">
        <f t="shared" si="45"/>
        <v>SUBDIRECCION DE GESTION CONTRACTUAL</v>
      </c>
      <c r="V229" s="172" t="str">
        <f t="shared" si="46"/>
        <v>CO-DC</v>
      </c>
      <c r="W229" s="185" t="str">
        <f t="shared" si="47"/>
        <v>Distrito Capital de Bogotá</v>
      </c>
      <c r="X229" s="186" t="s">
        <v>106</v>
      </c>
      <c r="Y229" s="187">
        <v>2427400</v>
      </c>
      <c r="Z229" s="188" t="s">
        <v>382</v>
      </c>
    </row>
    <row r="230" spans="1:26" s="189" customFormat="1" ht="12.75" customHeight="1" x14ac:dyDescent="0.2">
      <c r="A230" s="171" t="s">
        <v>99</v>
      </c>
      <c r="B230" s="172">
        <v>8</v>
      </c>
      <c r="C230" s="173" t="s">
        <v>386</v>
      </c>
      <c r="D230" s="173" t="s">
        <v>100</v>
      </c>
      <c r="E230" s="174"/>
      <c r="F230" s="174">
        <v>50000000</v>
      </c>
      <c r="G230" s="174"/>
      <c r="H230" s="175" t="s">
        <v>650</v>
      </c>
      <c r="I230" s="176" t="s">
        <v>388</v>
      </c>
      <c r="J230" s="177">
        <v>2</v>
      </c>
      <c r="K230" s="178">
        <v>2</v>
      </c>
      <c r="L230" s="179">
        <v>10</v>
      </c>
      <c r="M230" s="172">
        <f t="shared" si="42"/>
        <v>1</v>
      </c>
      <c r="N230" s="180" t="s">
        <v>36</v>
      </c>
      <c r="O230" s="181" t="str">
        <f>IF(ISBLANK(N230),"",VLOOKUP(N230,[10]Parámetros!$G$2:$H$23,2,FALSE))</f>
        <v xml:space="preserve">Contratación directa (con ofertas) </v>
      </c>
      <c r="P230" s="182">
        <v>1</v>
      </c>
      <c r="Q230" s="183">
        <f t="shared" si="43"/>
        <v>50000000</v>
      </c>
      <c r="R230" s="183">
        <f t="shared" si="44"/>
        <v>50000000</v>
      </c>
      <c r="S230" s="184" t="s">
        <v>223</v>
      </c>
      <c r="T230" s="180">
        <v>0</v>
      </c>
      <c r="U230" s="185" t="str">
        <f t="shared" si="45"/>
        <v>SUBDIRECCION DE GESTION CONTRACTUAL</v>
      </c>
      <c r="V230" s="172" t="str">
        <f t="shared" si="46"/>
        <v>CO-DC</v>
      </c>
      <c r="W230" s="185" t="str">
        <f t="shared" si="47"/>
        <v>Distrito Capital de Bogotá</v>
      </c>
      <c r="X230" s="186" t="s">
        <v>332</v>
      </c>
      <c r="Y230" s="172">
        <v>2427400</v>
      </c>
      <c r="Z230" s="188" t="s">
        <v>94</v>
      </c>
    </row>
    <row r="231" spans="1:26" s="189" customFormat="1" ht="12.75" customHeight="1" x14ac:dyDescent="0.2">
      <c r="A231" s="171" t="s">
        <v>99</v>
      </c>
      <c r="B231" s="172">
        <v>9</v>
      </c>
      <c r="C231" s="173" t="s">
        <v>386</v>
      </c>
      <c r="D231" s="173" t="s">
        <v>100</v>
      </c>
      <c r="E231" s="174"/>
      <c r="F231" s="174">
        <v>39981077</v>
      </c>
      <c r="G231" s="174"/>
      <c r="H231" s="175" t="s">
        <v>103</v>
      </c>
      <c r="I231" s="176" t="s">
        <v>635</v>
      </c>
      <c r="J231" s="177">
        <v>2</v>
      </c>
      <c r="K231" s="178">
        <v>3</v>
      </c>
      <c r="L231" s="179">
        <v>10</v>
      </c>
      <c r="M231" s="172">
        <f t="shared" si="42"/>
        <v>1</v>
      </c>
      <c r="N231" s="180" t="s">
        <v>36</v>
      </c>
      <c r="O231" s="181" t="str">
        <f>IF(ISBLANK(N231),"",VLOOKUP(N231,[1]Parámetros!$G$2:$H$23,2,FALSE))</f>
        <v xml:space="preserve">Contratación directa (con ofertas) </v>
      </c>
      <c r="P231" s="182">
        <v>1</v>
      </c>
      <c r="Q231" s="183">
        <f t="shared" si="43"/>
        <v>39981077</v>
      </c>
      <c r="R231" s="183">
        <f t="shared" si="44"/>
        <v>39981077</v>
      </c>
      <c r="S231" s="184" t="s">
        <v>223</v>
      </c>
      <c r="T231" s="180">
        <v>0</v>
      </c>
      <c r="U231" s="185" t="str">
        <f t="shared" si="45"/>
        <v>SUBDIRECCION DE GESTION CONTRACTUAL</v>
      </c>
      <c r="V231" s="172" t="str">
        <f t="shared" si="46"/>
        <v>CO-DC</v>
      </c>
      <c r="W231" s="185" t="str">
        <f t="shared" si="47"/>
        <v>Distrito Capital de Bogotá</v>
      </c>
      <c r="X231" s="186" t="s">
        <v>106</v>
      </c>
      <c r="Y231" s="187">
        <v>2427400</v>
      </c>
      <c r="Z231" s="188" t="s">
        <v>382</v>
      </c>
    </row>
    <row r="232" spans="1:26" s="189" customFormat="1" ht="12.75" customHeight="1" x14ac:dyDescent="0.2">
      <c r="A232" s="171" t="s">
        <v>99</v>
      </c>
      <c r="B232" s="172">
        <v>10</v>
      </c>
      <c r="C232" s="173" t="s">
        <v>386</v>
      </c>
      <c r="D232" s="173" t="s">
        <v>100</v>
      </c>
      <c r="E232" s="174"/>
      <c r="F232" s="174">
        <v>625000000</v>
      </c>
      <c r="G232" s="174"/>
      <c r="H232" s="175" t="s">
        <v>389</v>
      </c>
      <c r="I232" s="176" t="s">
        <v>390</v>
      </c>
      <c r="J232" s="193">
        <v>1</v>
      </c>
      <c r="K232" s="193">
        <v>3</v>
      </c>
      <c r="L232" s="193">
        <v>9</v>
      </c>
      <c r="M232" s="172">
        <f t="shared" si="42"/>
        <v>1</v>
      </c>
      <c r="N232" s="180" t="s">
        <v>36</v>
      </c>
      <c r="O232" s="181" t="str">
        <f>IF(ISBLANK(N232),"",VLOOKUP(N232,[10]Parámetros!$G$2:$H$23,2,FALSE))</f>
        <v xml:space="preserve">Contratación directa (con ofertas) </v>
      </c>
      <c r="P232" s="182">
        <v>1</v>
      </c>
      <c r="Q232" s="183">
        <f t="shared" si="43"/>
        <v>625000000</v>
      </c>
      <c r="R232" s="183">
        <f t="shared" si="44"/>
        <v>625000000</v>
      </c>
      <c r="S232" s="184" t="s">
        <v>223</v>
      </c>
      <c r="T232" s="180">
        <v>0</v>
      </c>
      <c r="U232" s="185" t="str">
        <f t="shared" si="45"/>
        <v>SUBDIRECCION DE GESTION CONTRACTUAL</v>
      </c>
      <c r="V232" s="172" t="str">
        <f t="shared" si="46"/>
        <v>CO-DC</v>
      </c>
      <c r="W232" s="185" t="str">
        <f t="shared" si="47"/>
        <v>Distrito Capital de Bogotá</v>
      </c>
      <c r="X232" s="186" t="s">
        <v>106</v>
      </c>
      <c r="Y232" s="187">
        <v>2427400</v>
      </c>
      <c r="Z232" s="188" t="s">
        <v>382</v>
      </c>
    </row>
    <row r="233" spans="1:26" s="189" customFormat="1" ht="12.75" customHeight="1" x14ac:dyDescent="0.2">
      <c r="A233" s="171" t="s">
        <v>99</v>
      </c>
      <c r="B233" s="172">
        <v>11</v>
      </c>
      <c r="C233" s="173" t="s">
        <v>391</v>
      </c>
      <c r="D233" s="173" t="s">
        <v>100</v>
      </c>
      <c r="E233" s="174"/>
      <c r="F233" s="174">
        <v>214500000</v>
      </c>
      <c r="G233" s="174"/>
      <c r="H233" s="175">
        <v>80111600</v>
      </c>
      <c r="I233" s="176" t="s">
        <v>381</v>
      </c>
      <c r="J233" s="193">
        <v>1</v>
      </c>
      <c r="K233" s="193">
        <v>1</v>
      </c>
      <c r="L233" s="193">
        <v>12</v>
      </c>
      <c r="M233" s="172">
        <f t="shared" si="42"/>
        <v>1</v>
      </c>
      <c r="N233" s="180" t="s">
        <v>216</v>
      </c>
      <c r="O233" s="181" t="str">
        <f>IF(ISBLANK(N233),"",VLOOKUP(N233,[10]Parámetros!$G$2:$H$23,2,FALSE))</f>
        <v>Contratación directa.</v>
      </c>
      <c r="P233" s="182">
        <f>IF(ISBLANK(N233),"",1)</f>
        <v>1</v>
      </c>
      <c r="Q233" s="183">
        <f t="shared" si="43"/>
        <v>214500000</v>
      </c>
      <c r="R233" s="183">
        <f t="shared" si="44"/>
        <v>214500000</v>
      </c>
      <c r="S233" s="184" t="s">
        <v>223</v>
      </c>
      <c r="T233" s="180">
        <f>IF(ISBLANK(S233),"",IF(VALUE(S233)=0,0,IF(VALUE(S233)=1,3,"")))</f>
        <v>0</v>
      </c>
      <c r="U233" s="185" t="str">
        <f t="shared" si="45"/>
        <v>SUBDIRECCION DE GESTION CONTRACTUAL</v>
      </c>
      <c r="V233" s="172" t="str">
        <f t="shared" si="46"/>
        <v>CO-DC</v>
      </c>
      <c r="W233" s="185" t="str">
        <f t="shared" si="47"/>
        <v>Distrito Capital de Bogotá</v>
      </c>
      <c r="X233" s="186" t="s">
        <v>106</v>
      </c>
      <c r="Y233" s="187">
        <v>2427400</v>
      </c>
      <c r="Z233" s="188" t="s">
        <v>382</v>
      </c>
    </row>
    <row r="234" spans="1:26" s="189" customFormat="1" ht="12.75" customHeight="1" x14ac:dyDescent="0.2">
      <c r="A234" s="171" t="s">
        <v>99</v>
      </c>
      <c r="B234" s="172">
        <v>12</v>
      </c>
      <c r="C234" s="173" t="s">
        <v>392</v>
      </c>
      <c r="D234" s="173" t="s">
        <v>100</v>
      </c>
      <c r="E234" s="174"/>
      <c r="F234" s="174">
        <v>214500000</v>
      </c>
      <c r="G234" s="174"/>
      <c r="H234" s="175">
        <v>80111600</v>
      </c>
      <c r="I234" s="176" t="s">
        <v>381</v>
      </c>
      <c r="J234" s="193">
        <v>1</v>
      </c>
      <c r="K234" s="193">
        <v>1</v>
      </c>
      <c r="L234" s="193">
        <v>12</v>
      </c>
      <c r="M234" s="172">
        <f t="shared" si="42"/>
        <v>1</v>
      </c>
      <c r="N234" s="180" t="s">
        <v>216</v>
      </c>
      <c r="O234" s="181" t="str">
        <f>IF(ISBLANK(N234),"",VLOOKUP(N234,[10]Parámetros!$G$2:$H$23,2,FALSE))</f>
        <v>Contratación directa.</v>
      </c>
      <c r="P234" s="182">
        <f>IF(ISBLANK(N234),"",1)</f>
        <v>1</v>
      </c>
      <c r="Q234" s="183">
        <f t="shared" si="43"/>
        <v>214500000</v>
      </c>
      <c r="R234" s="183">
        <f t="shared" si="44"/>
        <v>214500000</v>
      </c>
      <c r="S234" s="184" t="s">
        <v>223</v>
      </c>
      <c r="T234" s="180">
        <f>IF(ISBLANK(S234),"",IF(VALUE(S234)=0,0,IF(VALUE(S234)=1,3,"")))</f>
        <v>0</v>
      </c>
      <c r="U234" s="185" t="str">
        <f t="shared" si="45"/>
        <v>SUBDIRECCION DE GESTION CONTRACTUAL</v>
      </c>
      <c r="V234" s="172" t="str">
        <f t="shared" si="46"/>
        <v>CO-DC</v>
      </c>
      <c r="W234" s="185" t="str">
        <f t="shared" si="47"/>
        <v>Distrito Capital de Bogotá</v>
      </c>
      <c r="X234" s="186" t="s">
        <v>106</v>
      </c>
      <c r="Y234" s="187">
        <v>2427400</v>
      </c>
      <c r="Z234" s="188" t="s">
        <v>382</v>
      </c>
    </row>
    <row r="235" spans="1:26" s="189" customFormat="1" ht="12.75" customHeight="1" x14ac:dyDescent="0.2">
      <c r="A235" s="171" t="s">
        <v>99</v>
      </c>
      <c r="B235" s="172">
        <v>13</v>
      </c>
      <c r="C235" s="173" t="s">
        <v>392</v>
      </c>
      <c r="D235" s="173" t="s">
        <v>100</v>
      </c>
      <c r="E235" s="174"/>
      <c r="F235" s="174">
        <v>15000000</v>
      </c>
      <c r="G235" s="174"/>
      <c r="H235" s="175" t="s">
        <v>42</v>
      </c>
      <c r="I235" s="176" t="s">
        <v>387</v>
      </c>
      <c r="J235" s="177">
        <v>3</v>
      </c>
      <c r="K235" s="178">
        <v>4</v>
      </c>
      <c r="L235" s="179">
        <v>9</v>
      </c>
      <c r="M235" s="172">
        <f t="shared" si="42"/>
        <v>1</v>
      </c>
      <c r="N235" s="180" t="s">
        <v>61</v>
      </c>
      <c r="O235" s="181" t="str">
        <f>IF(ISBLANK(N235),"",VLOOKUP(N235,[9]Parámetros!$G$2:$H$23,2,FALSE))</f>
        <v>Contratación régimen especial - Selección de comisionista</v>
      </c>
      <c r="P235" s="182">
        <v>1</v>
      </c>
      <c r="Q235" s="183">
        <f t="shared" si="43"/>
        <v>15000000</v>
      </c>
      <c r="R235" s="183">
        <f t="shared" si="44"/>
        <v>15000000</v>
      </c>
      <c r="S235" s="184" t="s">
        <v>223</v>
      </c>
      <c r="T235" s="180">
        <v>0</v>
      </c>
      <c r="U235" s="185" t="str">
        <f t="shared" si="45"/>
        <v>SUBDIRECCION DE GESTION CONTRACTUAL</v>
      </c>
      <c r="V235" s="172" t="str">
        <f t="shared" si="46"/>
        <v>CO-DC</v>
      </c>
      <c r="W235" s="185" t="str">
        <f t="shared" si="47"/>
        <v>Distrito Capital de Bogotá</v>
      </c>
      <c r="X235" s="186" t="s">
        <v>106</v>
      </c>
      <c r="Y235" s="187">
        <v>2427400</v>
      </c>
      <c r="Z235" s="188" t="s">
        <v>382</v>
      </c>
    </row>
    <row r="236" spans="1:26" s="189" customFormat="1" ht="12.75" customHeight="1" x14ac:dyDescent="0.2">
      <c r="A236" s="171" t="s">
        <v>99</v>
      </c>
      <c r="B236" s="172">
        <v>14</v>
      </c>
      <c r="C236" s="173" t="s">
        <v>392</v>
      </c>
      <c r="D236" s="173" t="s">
        <v>100</v>
      </c>
      <c r="E236" s="174"/>
      <c r="F236" s="174">
        <v>97500000</v>
      </c>
      <c r="G236" s="174"/>
      <c r="H236" s="175" t="s">
        <v>801</v>
      </c>
      <c r="I236" s="176" t="s">
        <v>383</v>
      </c>
      <c r="J236" s="177">
        <v>2</v>
      </c>
      <c r="K236" s="178">
        <v>3</v>
      </c>
      <c r="L236" s="179">
        <v>9</v>
      </c>
      <c r="M236" s="172">
        <f t="shared" si="42"/>
        <v>1</v>
      </c>
      <c r="N236" s="180" t="s">
        <v>234</v>
      </c>
      <c r="O236" s="181" t="str">
        <f>IF(ISBLANK(N236),"",VLOOKUP(N236,[10]Parámetros!$G$2:$H$23,2,FALSE))</f>
        <v>Licitación pública</v>
      </c>
      <c r="P236" s="182">
        <v>1</v>
      </c>
      <c r="Q236" s="183">
        <f t="shared" si="43"/>
        <v>97500000</v>
      </c>
      <c r="R236" s="183">
        <f t="shared" si="44"/>
        <v>97500000</v>
      </c>
      <c r="S236" s="184" t="s">
        <v>223</v>
      </c>
      <c r="T236" s="180">
        <v>0</v>
      </c>
      <c r="U236" s="185" t="str">
        <f t="shared" si="45"/>
        <v>SUBDIRECCION DE GESTION CONTRACTUAL</v>
      </c>
      <c r="V236" s="172" t="str">
        <f t="shared" si="46"/>
        <v>CO-DC</v>
      </c>
      <c r="W236" s="185" t="str">
        <f t="shared" si="47"/>
        <v>Distrito Capital de Bogotá</v>
      </c>
      <c r="X236" s="186" t="s">
        <v>106</v>
      </c>
      <c r="Y236" s="187">
        <v>2427400</v>
      </c>
      <c r="Z236" s="188" t="s">
        <v>382</v>
      </c>
    </row>
    <row r="237" spans="1:26" s="189" customFormat="1" ht="12.75" customHeight="1" x14ac:dyDescent="0.2">
      <c r="A237" s="171" t="s">
        <v>99</v>
      </c>
      <c r="B237" s="172">
        <v>15</v>
      </c>
      <c r="C237" s="173" t="s">
        <v>392</v>
      </c>
      <c r="D237" s="173" t="s">
        <v>100</v>
      </c>
      <c r="E237" s="174"/>
      <c r="F237" s="174">
        <v>32500000</v>
      </c>
      <c r="G237" s="174"/>
      <c r="H237" s="175" t="s">
        <v>801</v>
      </c>
      <c r="I237" s="176" t="s">
        <v>383</v>
      </c>
      <c r="J237" s="202">
        <v>1</v>
      </c>
      <c r="K237" s="202">
        <v>2</v>
      </c>
      <c r="L237" s="202">
        <v>3</v>
      </c>
      <c r="M237" s="172">
        <f t="shared" si="42"/>
        <v>1</v>
      </c>
      <c r="N237" s="180" t="s">
        <v>36</v>
      </c>
      <c r="O237" s="181" t="str">
        <f>IF(ISBLANK(N237),"",VLOOKUP(N237,[10]Parámetros!$G$2:$H$23,2,FALSE))</f>
        <v xml:space="preserve">Contratación directa (con ofertas) </v>
      </c>
      <c r="P237" s="182">
        <v>1</v>
      </c>
      <c r="Q237" s="183">
        <f t="shared" si="43"/>
        <v>32500000</v>
      </c>
      <c r="R237" s="183">
        <f t="shared" si="44"/>
        <v>32500000</v>
      </c>
      <c r="S237" s="184" t="s">
        <v>223</v>
      </c>
      <c r="T237" s="180">
        <v>0</v>
      </c>
      <c r="U237" s="185" t="str">
        <f t="shared" si="45"/>
        <v>SUBDIRECCION DE GESTION CONTRACTUAL</v>
      </c>
      <c r="V237" s="172" t="str">
        <f t="shared" si="46"/>
        <v>CO-DC</v>
      </c>
      <c r="W237" s="185" t="str">
        <f t="shared" si="47"/>
        <v>Distrito Capital de Bogotá</v>
      </c>
      <c r="X237" s="186" t="s">
        <v>106</v>
      </c>
      <c r="Y237" s="187">
        <v>2427400</v>
      </c>
      <c r="Z237" s="188" t="s">
        <v>382</v>
      </c>
    </row>
    <row r="238" spans="1:26" s="189" customFormat="1" ht="12.75" customHeight="1" x14ac:dyDescent="0.2">
      <c r="A238" s="171" t="s">
        <v>99</v>
      </c>
      <c r="B238" s="172">
        <v>16</v>
      </c>
      <c r="C238" s="173" t="s">
        <v>393</v>
      </c>
      <c r="D238" s="173" t="s">
        <v>102</v>
      </c>
      <c r="E238" s="174"/>
      <c r="F238" s="174">
        <v>372760055</v>
      </c>
      <c r="G238" s="174"/>
      <c r="H238" s="175">
        <v>80111600</v>
      </c>
      <c r="I238" s="176" t="s">
        <v>381</v>
      </c>
      <c r="J238" s="193">
        <v>1</v>
      </c>
      <c r="K238" s="193">
        <v>1</v>
      </c>
      <c r="L238" s="193">
        <v>12</v>
      </c>
      <c r="M238" s="172">
        <f t="shared" si="42"/>
        <v>1</v>
      </c>
      <c r="N238" s="180" t="s">
        <v>216</v>
      </c>
      <c r="O238" s="181" t="str">
        <f>IF(ISBLANK(N238),"",VLOOKUP(N238,[10]Parámetros!$G$2:$H$23,2,FALSE))</f>
        <v>Contratación directa.</v>
      </c>
      <c r="P238" s="182">
        <f>IF(ISBLANK(N238),"",1)</f>
        <v>1</v>
      </c>
      <c r="Q238" s="183">
        <f t="shared" si="43"/>
        <v>372760055</v>
      </c>
      <c r="R238" s="183">
        <f t="shared" si="44"/>
        <v>372760055</v>
      </c>
      <c r="S238" s="184" t="s">
        <v>223</v>
      </c>
      <c r="T238" s="180">
        <f>IF(ISBLANK(S238),"",IF(VALUE(S238)=0,0,IF(VALUE(S238)=1,3,"")))</f>
        <v>0</v>
      </c>
      <c r="U238" s="185" t="str">
        <f t="shared" si="45"/>
        <v>SUBDIRECCION DE GESTION CONTRACTUAL</v>
      </c>
      <c r="V238" s="172" t="str">
        <f t="shared" si="46"/>
        <v>CO-DC</v>
      </c>
      <c r="W238" s="185" t="str">
        <f t="shared" si="47"/>
        <v>Distrito Capital de Bogotá</v>
      </c>
      <c r="X238" s="186" t="s">
        <v>106</v>
      </c>
      <c r="Y238" s="187">
        <v>2427400</v>
      </c>
      <c r="Z238" s="188" t="s">
        <v>382</v>
      </c>
    </row>
    <row r="239" spans="1:26" s="189" customFormat="1" ht="12.75" customHeight="1" x14ac:dyDescent="0.2">
      <c r="A239" s="171" t="s">
        <v>99</v>
      </c>
      <c r="B239" s="172">
        <v>17</v>
      </c>
      <c r="C239" s="173" t="s">
        <v>393</v>
      </c>
      <c r="D239" s="173" t="s">
        <v>102</v>
      </c>
      <c r="E239" s="174"/>
      <c r="F239" s="174">
        <v>50373850</v>
      </c>
      <c r="G239" s="174"/>
      <c r="H239" s="175" t="s">
        <v>42</v>
      </c>
      <c r="I239" s="176" t="s">
        <v>387</v>
      </c>
      <c r="J239" s="177">
        <v>3</v>
      </c>
      <c r="K239" s="178">
        <v>4</v>
      </c>
      <c r="L239" s="179">
        <v>9</v>
      </c>
      <c r="M239" s="172">
        <f t="shared" si="42"/>
        <v>1</v>
      </c>
      <c r="N239" s="180" t="s">
        <v>61</v>
      </c>
      <c r="O239" s="181" t="str">
        <f>IF(ISBLANK(N239),"",VLOOKUP(N239,[9]Parámetros!$G$2:$H$23,2,FALSE))</f>
        <v>Contratación régimen especial - Selección de comisionista</v>
      </c>
      <c r="P239" s="182">
        <v>1</v>
      </c>
      <c r="Q239" s="183">
        <f t="shared" si="43"/>
        <v>50373850</v>
      </c>
      <c r="R239" s="183">
        <f t="shared" si="44"/>
        <v>50373850</v>
      </c>
      <c r="S239" s="184" t="s">
        <v>223</v>
      </c>
      <c r="T239" s="180">
        <v>0</v>
      </c>
      <c r="U239" s="185" t="str">
        <f t="shared" si="45"/>
        <v>SUBDIRECCION DE GESTION CONTRACTUAL</v>
      </c>
      <c r="V239" s="172" t="str">
        <f t="shared" si="46"/>
        <v>CO-DC</v>
      </c>
      <c r="W239" s="185" t="str">
        <f t="shared" si="47"/>
        <v>Distrito Capital de Bogotá</v>
      </c>
      <c r="X239" s="186" t="s">
        <v>106</v>
      </c>
      <c r="Y239" s="187">
        <v>2427400</v>
      </c>
      <c r="Z239" s="188" t="s">
        <v>382</v>
      </c>
    </row>
    <row r="240" spans="1:26" s="189" customFormat="1" ht="12.75" customHeight="1" x14ac:dyDescent="0.2">
      <c r="A240" s="171" t="s">
        <v>99</v>
      </c>
      <c r="B240" s="172">
        <v>18</v>
      </c>
      <c r="C240" s="173" t="s">
        <v>393</v>
      </c>
      <c r="D240" s="173" t="s">
        <v>102</v>
      </c>
      <c r="E240" s="174"/>
      <c r="F240" s="174">
        <v>644981800</v>
      </c>
      <c r="G240" s="174"/>
      <c r="H240" s="175" t="s">
        <v>801</v>
      </c>
      <c r="I240" s="176" t="s">
        <v>383</v>
      </c>
      <c r="J240" s="177">
        <v>2</v>
      </c>
      <c r="K240" s="178">
        <v>3</v>
      </c>
      <c r="L240" s="179">
        <v>9</v>
      </c>
      <c r="M240" s="172">
        <f t="shared" si="42"/>
        <v>1</v>
      </c>
      <c r="N240" s="180" t="s">
        <v>234</v>
      </c>
      <c r="O240" s="181" t="str">
        <f>IF(ISBLANK(N240),"",VLOOKUP(N240,[10]Parámetros!$G$2:$H$23,2,FALSE))</f>
        <v>Licitación pública</v>
      </c>
      <c r="P240" s="182">
        <v>1</v>
      </c>
      <c r="Q240" s="183">
        <f t="shared" si="43"/>
        <v>644981800</v>
      </c>
      <c r="R240" s="183">
        <f t="shared" si="44"/>
        <v>644981800</v>
      </c>
      <c r="S240" s="184" t="s">
        <v>223</v>
      </c>
      <c r="T240" s="180">
        <v>0</v>
      </c>
      <c r="U240" s="185" t="str">
        <f t="shared" si="45"/>
        <v>SUBDIRECCION DE GESTION CONTRACTUAL</v>
      </c>
      <c r="V240" s="172" t="str">
        <f t="shared" si="46"/>
        <v>CO-DC</v>
      </c>
      <c r="W240" s="185" t="str">
        <f t="shared" si="47"/>
        <v>Distrito Capital de Bogotá</v>
      </c>
      <c r="X240" s="186" t="s">
        <v>106</v>
      </c>
      <c r="Y240" s="187">
        <v>2427400</v>
      </c>
      <c r="Z240" s="188" t="s">
        <v>382</v>
      </c>
    </row>
    <row r="241" spans="1:26" s="189" customFormat="1" ht="12.75" customHeight="1" x14ac:dyDescent="0.2">
      <c r="A241" s="171" t="s">
        <v>99</v>
      </c>
      <c r="B241" s="172">
        <v>19</v>
      </c>
      <c r="C241" s="173" t="s">
        <v>393</v>
      </c>
      <c r="D241" s="173" t="s">
        <v>102</v>
      </c>
      <c r="E241" s="174"/>
      <c r="F241" s="174">
        <v>30000000</v>
      </c>
      <c r="G241" s="174"/>
      <c r="H241" s="175" t="s">
        <v>801</v>
      </c>
      <c r="I241" s="176" t="s">
        <v>383</v>
      </c>
      <c r="J241" s="202">
        <v>1</v>
      </c>
      <c r="K241" s="202">
        <v>2</v>
      </c>
      <c r="L241" s="202">
        <v>3</v>
      </c>
      <c r="M241" s="172">
        <f t="shared" si="42"/>
        <v>1</v>
      </c>
      <c r="N241" s="180" t="s">
        <v>36</v>
      </c>
      <c r="O241" s="181" t="str">
        <f>IF(ISBLANK(N241),"",VLOOKUP(N241,[10]Parámetros!$G$2:$H$23,2,FALSE))</f>
        <v xml:space="preserve">Contratación directa (con ofertas) </v>
      </c>
      <c r="P241" s="182">
        <v>1</v>
      </c>
      <c r="Q241" s="183">
        <f t="shared" si="43"/>
        <v>30000000</v>
      </c>
      <c r="R241" s="183">
        <f t="shared" si="44"/>
        <v>30000000</v>
      </c>
      <c r="S241" s="184" t="s">
        <v>223</v>
      </c>
      <c r="T241" s="180">
        <v>0</v>
      </c>
      <c r="U241" s="185" t="str">
        <f t="shared" si="45"/>
        <v>SUBDIRECCION DE GESTION CONTRACTUAL</v>
      </c>
      <c r="V241" s="172" t="str">
        <f t="shared" si="46"/>
        <v>CO-DC</v>
      </c>
      <c r="W241" s="185" t="str">
        <f t="shared" si="47"/>
        <v>Distrito Capital de Bogotá</v>
      </c>
      <c r="X241" s="186" t="s">
        <v>106</v>
      </c>
      <c r="Y241" s="187">
        <v>2427400</v>
      </c>
      <c r="Z241" s="188" t="s">
        <v>382</v>
      </c>
    </row>
    <row r="242" spans="1:26" s="189" customFormat="1" ht="12.75" customHeight="1" x14ac:dyDescent="0.2">
      <c r="A242" s="171" t="s">
        <v>99</v>
      </c>
      <c r="B242" s="172">
        <v>20</v>
      </c>
      <c r="C242" s="173" t="s">
        <v>393</v>
      </c>
      <c r="D242" s="173" t="s">
        <v>102</v>
      </c>
      <c r="E242" s="174"/>
      <c r="F242" s="174">
        <v>25000000</v>
      </c>
      <c r="G242" s="174"/>
      <c r="H242" s="175" t="s">
        <v>650</v>
      </c>
      <c r="I242" s="176" t="s">
        <v>388</v>
      </c>
      <c r="J242" s="177">
        <v>2</v>
      </c>
      <c r="K242" s="178">
        <v>2</v>
      </c>
      <c r="L242" s="179">
        <v>10</v>
      </c>
      <c r="M242" s="172">
        <f t="shared" si="42"/>
        <v>1</v>
      </c>
      <c r="N242" s="180" t="s">
        <v>36</v>
      </c>
      <c r="O242" s="181" t="str">
        <f>IF(ISBLANK(N242),"",VLOOKUP(N242,[10]Parámetros!$G$2:$H$23,2,FALSE))</f>
        <v xml:space="preserve">Contratación directa (con ofertas) </v>
      </c>
      <c r="P242" s="182">
        <v>1</v>
      </c>
      <c r="Q242" s="183">
        <f t="shared" si="43"/>
        <v>25000000</v>
      </c>
      <c r="R242" s="183">
        <f t="shared" si="44"/>
        <v>25000000</v>
      </c>
      <c r="S242" s="184" t="s">
        <v>223</v>
      </c>
      <c r="T242" s="180">
        <v>0</v>
      </c>
      <c r="U242" s="185" t="str">
        <f t="shared" si="45"/>
        <v>SUBDIRECCION DE GESTION CONTRACTUAL</v>
      </c>
      <c r="V242" s="172" t="str">
        <f t="shared" si="46"/>
        <v>CO-DC</v>
      </c>
      <c r="W242" s="185" t="str">
        <f t="shared" si="47"/>
        <v>Distrito Capital de Bogotá</v>
      </c>
      <c r="X242" s="186" t="s">
        <v>332</v>
      </c>
      <c r="Y242" s="172">
        <v>2427400</v>
      </c>
      <c r="Z242" s="188" t="s">
        <v>94</v>
      </c>
    </row>
    <row r="243" spans="1:26" s="189" customFormat="1" ht="12.75" customHeight="1" x14ac:dyDescent="0.2">
      <c r="A243" s="171" t="s">
        <v>99</v>
      </c>
      <c r="B243" s="172">
        <v>21</v>
      </c>
      <c r="C243" s="173" t="s">
        <v>393</v>
      </c>
      <c r="D243" s="173" t="s">
        <v>102</v>
      </c>
      <c r="E243" s="174"/>
      <c r="F243" s="174">
        <v>490217170</v>
      </c>
      <c r="G243" s="174"/>
      <c r="H243" s="175" t="s">
        <v>101</v>
      </c>
      <c r="I243" s="176" t="s">
        <v>394</v>
      </c>
      <c r="J243" s="193">
        <v>6</v>
      </c>
      <c r="K243" s="193">
        <v>6</v>
      </c>
      <c r="L243" s="193">
        <v>6</v>
      </c>
      <c r="M243" s="172">
        <f t="shared" si="42"/>
        <v>1</v>
      </c>
      <c r="N243" s="180" t="s">
        <v>36</v>
      </c>
      <c r="O243" s="181" t="str">
        <f>IF(ISBLANK(N243),"",VLOOKUP(N243,[10]Parámetros!$G$2:$H$23,2,FALSE))</f>
        <v xml:space="preserve">Contratación directa (con ofertas) </v>
      </c>
      <c r="P243" s="182">
        <v>1</v>
      </c>
      <c r="Q243" s="183">
        <f t="shared" si="43"/>
        <v>490217170</v>
      </c>
      <c r="R243" s="183">
        <f t="shared" si="44"/>
        <v>490217170</v>
      </c>
      <c r="S243" s="184" t="s">
        <v>223</v>
      </c>
      <c r="T243" s="180">
        <v>0</v>
      </c>
      <c r="U243" s="185" t="str">
        <f t="shared" si="45"/>
        <v>SUBDIRECCION DE GESTION CONTRACTUAL</v>
      </c>
      <c r="V243" s="172" t="str">
        <f t="shared" si="46"/>
        <v>CO-DC</v>
      </c>
      <c r="W243" s="185" t="str">
        <f t="shared" si="47"/>
        <v>Distrito Capital de Bogotá</v>
      </c>
      <c r="X243" s="186" t="s">
        <v>106</v>
      </c>
      <c r="Y243" s="187">
        <v>2427400</v>
      </c>
      <c r="Z243" s="188" t="s">
        <v>382</v>
      </c>
    </row>
    <row r="244" spans="1:26" s="189" customFormat="1" ht="12.75" customHeight="1" x14ac:dyDescent="0.2">
      <c r="A244" s="171" t="s">
        <v>99</v>
      </c>
      <c r="B244" s="172">
        <v>22</v>
      </c>
      <c r="C244" s="173" t="s">
        <v>393</v>
      </c>
      <c r="D244" s="173" t="s">
        <v>102</v>
      </c>
      <c r="E244" s="174"/>
      <c r="F244" s="174">
        <v>93675000</v>
      </c>
      <c r="G244" s="174"/>
      <c r="H244" s="175" t="s">
        <v>395</v>
      </c>
      <c r="I244" s="176" t="s">
        <v>396</v>
      </c>
      <c r="J244" s="193">
        <v>1</v>
      </c>
      <c r="K244" s="193">
        <v>3</v>
      </c>
      <c r="L244" s="193">
        <v>9</v>
      </c>
      <c r="M244" s="172">
        <f t="shared" si="42"/>
        <v>1</v>
      </c>
      <c r="N244" s="180" t="s">
        <v>36</v>
      </c>
      <c r="O244" s="181" t="str">
        <f>IF(ISBLANK(N244),"",VLOOKUP(N244,[10]Parámetros!$G$2:$H$23,2,FALSE))</f>
        <v xml:space="preserve">Contratación directa (con ofertas) </v>
      </c>
      <c r="P244" s="182">
        <v>1</v>
      </c>
      <c r="Q244" s="183">
        <f t="shared" si="43"/>
        <v>93675000</v>
      </c>
      <c r="R244" s="183">
        <f t="shared" si="44"/>
        <v>93675000</v>
      </c>
      <c r="S244" s="184" t="s">
        <v>223</v>
      </c>
      <c r="T244" s="180">
        <v>0</v>
      </c>
      <c r="U244" s="185" t="str">
        <f t="shared" si="45"/>
        <v>SUBDIRECCION DE GESTION CONTRACTUAL</v>
      </c>
      <c r="V244" s="172" t="str">
        <f t="shared" si="46"/>
        <v>CO-DC</v>
      </c>
      <c r="W244" s="185" t="str">
        <f t="shared" si="47"/>
        <v>Distrito Capital de Bogotá</v>
      </c>
      <c r="X244" s="186" t="s">
        <v>106</v>
      </c>
      <c r="Y244" s="187">
        <v>2427400</v>
      </c>
      <c r="Z244" s="188" t="s">
        <v>382</v>
      </c>
    </row>
    <row r="245" spans="1:26" s="189" customFormat="1" ht="12.75" customHeight="1" x14ac:dyDescent="0.2">
      <c r="A245" s="171" t="s">
        <v>99</v>
      </c>
      <c r="B245" s="172">
        <v>23</v>
      </c>
      <c r="C245" s="173" t="s">
        <v>397</v>
      </c>
      <c r="D245" s="173" t="s">
        <v>102</v>
      </c>
      <c r="E245" s="174"/>
      <c r="F245" s="174">
        <v>54000000</v>
      </c>
      <c r="G245" s="174"/>
      <c r="H245" s="175">
        <v>80111600</v>
      </c>
      <c r="I245" s="176" t="s">
        <v>381</v>
      </c>
      <c r="J245" s="193">
        <v>1</v>
      </c>
      <c r="K245" s="193">
        <v>1</v>
      </c>
      <c r="L245" s="193">
        <v>12</v>
      </c>
      <c r="M245" s="172">
        <f t="shared" si="42"/>
        <v>1</v>
      </c>
      <c r="N245" s="180" t="s">
        <v>216</v>
      </c>
      <c r="O245" s="181" t="str">
        <f>IF(ISBLANK(N245),"",VLOOKUP(N245,[10]Parámetros!$G$2:$H$23,2,FALSE))</f>
        <v>Contratación directa.</v>
      </c>
      <c r="P245" s="182">
        <f>IF(ISBLANK(N245),"",1)</f>
        <v>1</v>
      </c>
      <c r="Q245" s="183">
        <f t="shared" si="43"/>
        <v>54000000</v>
      </c>
      <c r="R245" s="183">
        <f t="shared" si="44"/>
        <v>54000000</v>
      </c>
      <c r="S245" s="184" t="s">
        <v>223</v>
      </c>
      <c r="T245" s="180">
        <f>IF(ISBLANK(S245),"",IF(VALUE(S245)=0,0,IF(VALUE(S245)=1,3,"")))</f>
        <v>0</v>
      </c>
      <c r="U245" s="185" t="str">
        <f t="shared" si="45"/>
        <v>SUBDIRECCION DE GESTION CONTRACTUAL</v>
      </c>
      <c r="V245" s="172" t="str">
        <f t="shared" si="46"/>
        <v>CO-DC</v>
      </c>
      <c r="W245" s="185" t="str">
        <f t="shared" si="47"/>
        <v>Distrito Capital de Bogotá</v>
      </c>
      <c r="X245" s="186" t="s">
        <v>106</v>
      </c>
      <c r="Y245" s="187">
        <v>2427400</v>
      </c>
      <c r="Z245" s="188" t="s">
        <v>382</v>
      </c>
    </row>
    <row r="246" spans="1:26" s="189" customFormat="1" ht="12.75" customHeight="1" x14ac:dyDescent="0.2">
      <c r="A246" s="171" t="s">
        <v>99</v>
      </c>
      <c r="B246" s="172">
        <v>24</v>
      </c>
      <c r="C246" s="173" t="s">
        <v>397</v>
      </c>
      <c r="D246" s="173" t="s">
        <v>102</v>
      </c>
      <c r="E246" s="174"/>
      <c r="F246" s="174">
        <v>9415000</v>
      </c>
      <c r="G246" s="174"/>
      <c r="H246" s="175" t="s">
        <v>42</v>
      </c>
      <c r="I246" s="176" t="s">
        <v>387</v>
      </c>
      <c r="J246" s="177">
        <v>3</v>
      </c>
      <c r="K246" s="178">
        <v>4</v>
      </c>
      <c r="L246" s="179">
        <v>9</v>
      </c>
      <c r="M246" s="172">
        <f t="shared" si="42"/>
        <v>1</v>
      </c>
      <c r="N246" s="180" t="s">
        <v>61</v>
      </c>
      <c r="O246" s="181" t="str">
        <f>IF(ISBLANK(N246),"",VLOOKUP(N246,[9]Parámetros!$G$2:$H$23,2,FALSE))</f>
        <v>Contratación régimen especial - Selección de comisionista</v>
      </c>
      <c r="P246" s="182">
        <v>1</v>
      </c>
      <c r="Q246" s="183">
        <f t="shared" si="43"/>
        <v>9415000</v>
      </c>
      <c r="R246" s="183">
        <f t="shared" si="44"/>
        <v>9415000</v>
      </c>
      <c r="S246" s="184" t="s">
        <v>223</v>
      </c>
      <c r="T246" s="180">
        <v>0</v>
      </c>
      <c r="U246" s="185" t="str">
        <f t="shared" si="45"/>
        <v>SUBDIRECCION DE GESTION CONTRACTUAL</v>
      </c>
      <c r="V246" s="172" t="str">
        <f t="shared" si="46"/>
        <v>CO-DC</v>
      </c>
      <c r="W246" s="185" t="str">
        <f t="shared" si="47"/>
        <v>Distrito Capital de Bogotá</v>
      </c>
      <c r="X246" s="186" t="s">
        <v>106</v>
      </c>
      <c r="Y246" s="187">
        <v>2427400</v>
      </c>
      <c r="Z246" s="188" t="s">
        <v>382</v>
      </c>
    </row>
    <row r="247" spans="1:26" s="189" customFormat="1" ht="12.75" customHeight="1" x14ac:dyDescent="0.2">
      <c r="A247" s="171" t="s">
        <v>99</v>
      </c>
      <c r="B247" s="172">
        <v>25</v>
      </c>
      <c r="C247" s="173" t="s">
        <v>397</v>
      </c>
      <c r="D247" s="173" t="s">
        <v>102</v>
      </c>
      <c r="E247" s="174"/>
      <c r="F247" s="174">
        <v>264370750</v>
      </c>
      <c r="G247" s="174"/>
      <c r="H247" s="175" t="s">
        <v>801</v>
      </c>
      <c r="I247" s="176" t="s">
        <v>383</v>
      </c>
      <c r="J247" s="177">
        <v>2</v>
      </c>
      <c r="K247" s="178">
        <v>3</v>
      </c>
      <c r="L247" s="179">
        <v>9</v>
      </c>
      <c r="M247" s="172">
        <f t="shared" si="42"/>
        <v>1</v>
      </c>
      <c r="N247" s="180" t="s">
        <v>234</v>
      </c>
      <c r="O247" s="181" t="str">
        <f>IF(ISBLANK(N247),"",VLOOKUP(N247,[10]Parámetros!$G$2:$H$23,2,FALSE))</f>
        <v>Licitación pública</v>
      </c>
      <c r="P247" s="182">
        <v>1</v>
      </c>
      <c r="Q247" s="183">
        <f t="shared" si="43"/>
        <v>264370750</v>
      </c>
      <c r="R247" s="183">
        <f t="shared" si="44"/>
        <v>264370750</v>
      </c>
      <c r="S247" s="184" t="s">
        <v>223</v>
      </c>
      <c r="T247" s="180">
        <v>0</v>
      </c>
      <c r="U247" s="185" t="str">
        <f t="shared" si="45"/>
        <v>SUBDIRECCION DE GESTION CONTRACTUAL</v>
      </c>
      <c r="V247" s="172" t="str">
        <f t="shared" si="46"/>
        <v>CO-DC</v>
      </c>
      <c r="W247" s="185" t="str">
        <f t="shared" si="47"/>
        <v>Distrito Capital de Bogotá</v>
      </c>
      <c r="X247" s="186" t="s">
        <v>106</v>
      </c>
      <c r="Y247" s="187">
        <v>2427400</v>
      </c>
      <c r="Z247" s="188" t="s">
        <v>382</v>
      </c>
    </row>
    <row r="248" spans="1:26" s="189" customFormat="1" ht="12.75" customHeight="1" x14ac:dyDescent="0.2">
      <c r="A248" s="171" t="s">
        <v>99</v>
      </c>
      <c r="B248" s="172">
        <v>26</v>
      </c>
      <c r="C248" s="173" t="s">
        <v>398</v>
      </c>
      <c r="D248" s="173" t="s">
        <v>100</v>
      </c>
      <c r="E248" s="174"/>
      <c r="F248" s="174">
        <v>2413647155</v>
      </c>
      <c r="G248" s="174"/>
      <c r="H248" s="175">
        <v>80111600</v>
      </c>
      <c r="I248" s="176" t="s">
        <v>381</v>
      </c>
      <c r="J248" s="193">
        <v>1</v>
      </c>
      <c r="K248" s="193">
        <v>1</v>
      </c>
      <c r="L248" s="193">
        <v>12</v>
      </c>
      <c r="M248" s="172">
        <f t="shared" si="42"/>
        <v>1</v>
      </c>
      <c r="N248" s="180" t="s">
        <v>216</v>
      </c>
      <c r="O248" s="181" t="str">
        <f>IF(ISBLANK(N248),"",VLOOKUP(N248,[10]Parámetros!$G$2:$H$23,2,FALSE))</f>
        <v>Contratación directa.</v>
      </c>
      <c r="P248" s="182">
        <f>IF(ISBLANK(N248),"",1)</f>
        <v>1</v>
      </c>
      <c r="Q248" s="183">
        <f t="shared" si="43"/>
        <v>2413647155</v>
      </c>
      <c r="R248" s="183">
        <f t="shared" si="44"/>
        <v>2413647155</v>
      </c>
      <c r="S248" s="184" t="s">
        <v>223</v>
      </c>
      <c r="T248" s="180">
        <f>IF(ISBLANK(S248),"",IF(VALUE(S248)=0,0,IF(VALUE(S248)=1,3,"")))</f>
        <v>0</v>
      </c>
      <c r="U248" s="185" t="str">
        <f t="shared" si="45"/>
        <v>SUBDIRECCION DE GESTION CONTRACTUAL</v>
      </c>
      <c r="V248" s="172" t="str">
        <f t="shared" si="46"/>
        <v>CO-DC</v>
      </c>
      <c r="W248" s="185" t="str">
        <f t="shared" si="47"/>
        <v>Distrito Capital de Bogotá</v>
      </c>
      <c r="X248" s="186" t="s">
        <v>106</v>
      </c>
      <c r="Y248" s="187">
        <v>2427400</v>
      </c>
      <c r="Z248" s="188" t="s">
        <v>382</v>
      </c>
    </row>
    <row r="249" spans="1:26" s="189" customFormat="1" ht="12.75" customHeight="1" x14ac:dyDescent="0.2">
      <c r="A249" s="171" t="s">
        <v>99</v>
      </c>
      <c r="B249" s="172">
        <v>27</v>
      </c>
      <c r="C249" s="173" t="s">
        <v>398</v>
      </c>
      <c r="D249" s="173" t="s">
        <v>100</v>
      </c>
      <c r="E249" s="174"/>
      <c r="F249" s="174">
        <v>276460000</v>
      </c>
      <c r="G249" s="174"/>
      <c r="H249" s="175" t="s">
        <v>42</v>
      </c>
      <c r="I249" s="176" t="s">
        <v>387</v>
      </c>
      <c r="J249" s="177">
        <v>3</v>
      </c>
      <c r="K249" s="178">
        <v>4</v>
      </c>
      <c r="L249" s="179">
        <v>9</v>
      </c>
      <c r="M249" s="172">
        <f t="shared" si="42"/>
        <v>1</v>
      </c>
      <c r="N249" s="180" t="s">
        <v>61</v>
      </c>
      <c r="O249" s="181" t="str">
        <f>IF(ISBLANK(N249),"",VLOOKUP(N249,[9]Parámetros!$G$2:$H$23,2,FALSE))</f>
        <v>Contratación régimen especial - Selección de comisionista</v>
      </c>
      <c r="P249" s="182">
        <v>1</v>
      </c>
      <c r="Q249" s="183">
        <f t="shared" si="43"/>
        <v>276460000</v>
      </c>
      <c r="R249" s="183">
        <f t="shared" si="44"/>
        <v>276460000</v>
      </c>
      <c r="S249" s="184" t="s">
        <v>223</v>
      </c>
      <c r="T249" s="180">
        <v>0</v>
      </c>
      <c r="U249" s="185" t="str">
        <f t="shared" si="45"/>
        <v>SUBDIRECCION DE GESTION CONTRACTUAL</v>
      </c>
      <c r="V249" s="172" t="str">
        <f t="shared" si="46"/>
        <v>CO-DC</v>
      </c>
      <c r="W249" s="185" t="str">
        <f t="shared" si="47"/>
        <v>Distrito Capital de Bogotá</v>
      </c>
      <c r="X249" s="186" t="s">
        <v>106</v>
      </c>
      <c r="Y249" s="187">
        <v>2427400</v>
      </c>
      <c r="Z249" s="188" t="s">
        <v>382</v>
      </c>
    </row>
    <row r="250" spans="1:26" s="189" customFormat="1" ht="12.75" customHeight="1" x14ac:dyDescent="0.2">
      <c r="A250" s="171" t="s">
        <v>99</v>
      </c>
      <c r="B250" s="172">
        <v>28</v>
      </c>
      <c r="C250" s="173" t="s">
        <v>398</v>
      </c>
      <c r="D250" s="173" t="s">
        <v>100</v>
      </c>
      <c r="E250" s="174"/>
      <c r="F250" s="174">
        <v>1891393118</v>
      </c>
      <c r="G250" s="174"/>
      <c r="H250" s="175" t="s">
        <v>801</v>
      </c>
      <c r="I250" s="176" t="s">
        <v>383</v>
      </c>
      <c r="J250" s="177">
        <v>2</v>
      </c>
      <c r="K250" s="178">
        <v>3</v>
      </c>
      <c r="L250" s="179">
        <v>9</v>
      </c>
      <c r="M250" s="172">
        <f t="shared" si="42"/>
        <v>1</v>
      </c>
      <c r="N250" s="180" t="s">
        <v>234</v>
      </c>
      <c r="O250" s="181" t="str">
        <f>IF(ISBLANK(N250),"",VLOOKUP(N250,[10]Parámetros!$G$2:$H$23,2,FALSE))</f>
        <v>Licitación pública</v>
      </c>
      <c r="P250" s="182">
        <v>1</v>
      </c>
      <c r="Q250" s="183">
        <f t="shared" si="43"/>
        <v>1891393118</v>
      </c>
      <c r="R250" s="183">
        <f t="shared" si="44"/>
        <v>1891393118</v>
      </c>
      <c r="S250" s="184" t="s">
        <v>223</v>
      </c>
      <c r="T250" s="180">
        <v>0</v>
      </c>
      <c r="U250" s="185" t="str">
        <f t="shared" si="45"/>
        <v>SUBDIRECCION DE GESTION CONTRACTUAL</v>
      </c>
      <c r="V250" s="172" t="str">
        <f t="shared" si="46"/>
        <v>CO-DC</v>
      </c>
      <c r="W250" s="185" t="str">
        <f t="shared" si="47"/>
        <v>Distrito Capital de Bogotá</v>
      </c>
      <c r="X250" s="186" t="s">
        <v>106</v>
      </c>
      <c r="Y250" s="187">
        <v>2427400</v>
      </c>
      <c r="Z250" s="188" t="s">
        <v>382</v>
      </c>
    </row>
    <row r="251" spans="1:26" s="189" customFormat="1" ht="12.75" customHeight="1" x14ac:dyDescent="0.2">
      <c r="A251" s="171" t="s">
        <v>99</v>
      </c>
      <c r="B251" s="172">
        <v>29</v>
      </c>
      <c r="C251" s="173" t="s">
        <v>398</v>
      </c>
      <c r="D251" s="173" t="s">
        <v>100</v>
      </c>
      <c r="E251" s="174"/>
      <c r="F251" s="174">
        <v>482500000</v>
      </c>
      <c r="G251" s="174"/>
      <c r="H251" s="175" t="s">
        <v>801</v>
      </c>
      <c r="I251" s="176" t="s">
        <v>383</v>
      </c>
      <c r="J251" s="202">
        <v>1</v>
      </c>
      <c r="K251" s="202">
        <v>2</v>
      </c>
      <c r="L251" s="202">
        <v>3</v>
      </c>
      <c r="M251" s="172">
        <f t="shared" si="42"/>
        <v>1</v>
      </c>
      <c r="N251" s="180" t="s">
        <v>36</v>
      </c>
      <c r="O251" s="181" t="str">
        <f>IF(ISBLANK(N251),"",VLOOKUP(N251,[10]Parámetros!$G$2:$H$23,2,FALSE))</f>
        <v xml:space="preserve">Contratación directa (con ofertas) </v>
      </c>
      <c r="P251" s="182">
        <v>1</v>
      </c>
      <c r="Q251" s="183">
        <f t="shared" si="43"/>
        <v>482500000</v>
      </c>
      <c r="R251" s="183">
        <f t="shared" si="44"/>
        <v>482500000</v>
      </c>
      <c r="S251" s="184" t="s">
        <v>223</v>
      </c>
      <c r="T251" s="180">
        <v>0</v>
      </c>
      <c r="U251" s="185" t="str">
        <f t="shared" si="45"/>
        <v>SUBDIRECCION DE GESTION CONTRACTUAL</v>
      </c>
      <c r="V251" s="172" t="str">
        <f t="shared" si="46"/>
        <v>CO-DC</v>
      </c>
      <c r="W251" s="185" t="str">
        <f t="shared" si="47"/>
        <v>Distrito Capital de Bogotá</v>
      </c>
      <c r="X251" s="186" t="s">
        <v>106</v>
      </c>
      <c r="Y251" s="187">
        <v>2427400</v>
      </c>
      <c r="Z251" s="188" t="s">
        <v>382</v>
      </c>
    </row>
    <row r="252" spans="1:26" s="189" customFormat="1" ht="12.75" customHeight="1" x14ac:dyDescent="0.2">
      <c r="A252" s="171" t="s">
        <v>99</v>
      </c>
      <c r="B252" s="172">
        <v>30</v>
      </c>
      <c r="C252" s="173" t="s">
        <v>398</v>
      </c>
      <c r="D252" s="173" t="s">
        <v>100</v>
      </c>
      <c r="E252" s="174"/>
      <c r="F252" s="174">
        <v>100000000</v>
      </c>
      <c r="G252" s="174"/>
      <c r="H252" s="175" t="s">
        <v>650</v>
      </c>
      <c r="I252" s="176" t="s">
        <v>388</v>
      </c>
      <c r="J252" s="177">
        <v>2</v>
      </c>
      <c r="K252" s="178">
        <v>2</v>
      </c>
      <c r="L252" s="179">
        <v>10</v>
      </c>
      <c r="M252" s="172">
        <f t="shared" si="42"/>
        <v>1</v>
      </c>
      <c r="N252" s="180" t="s">
        <v>36</v>
      </c>
      <c r="O252" s="181" t="str">
        <f>IF(ISBLANK(N252),"",VLOOKUP(N252,[10]Parámetros!$G$2:$H$23,2,FALSE))</f>
        <v xml:space="preserve">Contratación directa (con ofertas) </v>
      </c>
      <c r="P252" s="182">
        <v>1</v>
      </c>
      <c r="Q252" s="183">
        <f t="shared" si="43"/>
        <v>100000000</v>
      </c>
      <c r="R252" s="183">
        <f t="shared" si="44"/>
        <v>100000000</v>
      </c>
      <c r="S252" s="184" t="s">
        <v>223</v>
      </c>
      <c r="T252" s="180">
        <v>0</v>
      </c>
      <c r="U252" s="185" t="str">
        <f t="shared" si="45"/>
        <v>SUBDIRECCION DE GESTION CONTRACTUAL</v>
      </c>
      <c r="V252" s="172" t="str">
        <f t="shared" si="46"/>
        <v>CO-DC</v>
      </c>
      <c r="W252" s="185" t="str">
        <f t="shared" si="47"/>
        <v>Distrito Capital de Bogotá</v>
      </c>
      <c r="X252" s="186" t="s">
        <v>332</v>
      </c>
      <c r="Y252" s="172">
        <v>2427400</v>
      </c>
      <c r="Z252" s="188" t="s">
        <v>94</v>
      </c>
    </row>
    <row r="253" spans="1:26" s="189" customFormat="1" ht="12.75" customHeight="1" x14ac:dyDescent="0.2">
      <c r="A253" s="171" t="s">
        <v>99</v>
      </c>
      <c r="B253" s="172">
        <v>31</v>
      </c>
      <c r="C253" s="173" t="s">
        <v>398</v>
      </c>
      <c r="D253" s="173" t="s">
        <v>100</v>
      </c>
      <c r="E253" s="174"/>
      <c r="F253" s="174">
        <v>198963482</v>
      </c>
      <c r="G253" s="174"/>
      <c r="H253" s="175" t="s">
        <v>103</v>
      </c>
      <c r="I253" s="176" t="s">
        <v>635</v>
      </c>
      <c r="J253" s="177">
        <v>2</v>
      </c>
      <c r="K253" s="178">
        <v>3</v>
      </c>
      <c r="L253" s="179">
        <v>10</v>
      </c>
      <c r="M253" s="172">
        <f t="shared" si="42"/>
        <v>1</v>
      </c>
      <c r="N253" s="180" t="s">
        <v>36</v>
      </c>
      <c r="O253" s="181" t="str">
        <f>IF(ISBLANK(N253),"",VLOOKUP(N253,[1]Parámetros!$G$2:$H$23,2,FALSE))</f>
        <v xml:space="preserve">Contratación directa (con ofertas) </v>
      </c>
      <c r="P253" s="182">
        <v>1</v>
      </c>
      <c r="Q253" s="183">
        <f t="shared" si="43"/>
        <v>198963482</v>
      </c>
      <c r="R253" s="183">
        <f t="shared" si="44"/>
        <v>198963482</v>
      </c>
      <c r="S253" s="184" t="s">
        <v>223</v>
      </c>
      <c r="T253" s="180">
        <v>0</v>
      </c>
      <c r="U253" s="185" t="str">
        <f t="shared" si="45"/>
        <v>SUBDIRECCION DE GESTION CONTRACTUAL</v>
      </c>
      <c r="V253" s="172" t="str">
        <f t="shared" si="46"/>
        <v>CO-DC</v>
      </c>
      <c r="W253" s="185" t="str">
        <f t="shared" si="47"/>
        <v>Distrito Capital de Bogotá</v>
      </c>
      <c r="X253" s="186" t="s">
        <v>106</v>
      </c>
      <c r="Y253" s="187">
        <v>2427400</v>
      </c>
      <c r="Z253" s="188" t="s">
        <v>382</v>
      </c>
    </row>
    <row r="254" spans="1:26" s="189" customFormat="1" ht="12.75" customHeight="1" x14ac:dyDescent="0.2">
      <c r="A254" s="171" t="s">
        <v>99</v>
      </c>
      <c r="B254" s="172">
        <v>32</v>
      </c>
      <c r="C254" s="173" t="s">
        <v>398</v>
      </c>
      <c r="D254" s="173" t="s">
        <v>100</v>
      </c>
      <c r="E254" s="174"/>
      <c r="F254" s="174">
        <v>150000000</v>
      </c>
      <c r="G254" s="174"/>
      <c r="H254" s="175" t="s">
        <v>250</v>
      </c>
      <c r="I254" s="176" t="s">
        <v>647</v>
      </c>
      <c r="J254" s="193">
        <v>3</v>
      </c>
      <c r="K254" s="193">
        <v>4</v>
      </c>
      <c r="L254" s="193">
        <v>8</v>
      </c>
      <c r="M254" s="172">
        <f t="shared" si="42"/>
        <v>1</v>
      </c>
      <c r="N254" s="180" t="s">
        <v>53</v>
      </c>
      <c r="O254" s="181" t="s">
        <v>54</v>
      </c>
      <c r="P254" s="182">
        <v>1</v>
      </c>
      <c r="Q254" s="183">
        <f t="shared" si="43"/>
        <v>150000000</v>
      </c>
      <c r="R254" s="183">
        <f t="shared" si="44"/>
        <v>150000000</v>
      </c>
      <c r="S254" s="184" t="s">
        <v>223</v>
      </c>
      <c r="T254" s="180">
        <v>0</v>
      </c>
      <c r="U254" s="185" t="str">
        <f t="shared" si="45"/>
        <v>SUBDIRECCION DE GESTION CONTRACTUAL</v>
      </c>
      <c r="V254" s="172" t="str">
        <f t="shared" si="46"/>
        <v>CO-DC</v>
      </c>
      <c r="W254" s="185" t="str">
        <f t="shared" si="47"/>
        <v>Distrito Capital de Bogotá</v>
      </c>
      <c r="X254" s="186" t="s">
        <v>106</v>
      </c>
      <c r="Y254" s="187">
        <v>2427400</v>
      </c>
      <c r="Z254" s="188" t="s">
        <v>382</v>
      </c>
    </row>
    <row r="255" spans="1:26" s="189" customFormat="1" ht="12.75" customHeight="1" x14ac:dyDescent="0.2">
      <c r="A255" s="171" t="s">
        <v>99</v>
      </c>
      <c r="B255" s="172">
        <v>33</v>
      </c>
      <c r="C255" s="173" t="s">
        <v>398</v>
      </c>
      <c r="D255" s="173" t="s">
        <v>100</v>
      </c>
      <c r="E255" s="174"/>
      <c r="F255" s="174">
        <v>2224340000</v>
      </c>
      <c r="G255" s="174"/>
      <c r="H255" s="175" t="s">
        <v>101</v>
      </c>
      <c r="I255" s="176" t="s">
        <v>394</v>
      </c>
      <c r="J255" s="193">
        <v>6</v>
      </c>
      <c r="K255" s="193">
        <v>6</v>
      </c>
      <c r="L255" s="193">
        <v>6</v>
      </c>
      <c r="M255" s="172">
        <f t="shared" si="42"/>
        <v>1</v>
      </c>
      <c r="N255" s="180" t="s">
        <v>36</v>
      </c>
      <c r="O255" s="181" t="str">
        <f>IF(ISBLANK(N255),"",VLOOKUP(N255,[10]Parámetros!$G$2:$H$23,2,FALSE))</f>
        <v xml:space="preserve">Contratación directa (con ofertas) </v>
      </c>
      <c r="P255" s="182">
        <v>1</v>
      </c>
      <c r="Q255" s="183">
        <f t="shared" si="43"/>
        <v>2224340000</v>
      </c>
      <c r="R255" s="183">
        <f t="shared" si="44"/>
        <v>2224340000</v>
      </c>
      <c r="S255" s="184" t="s">
        <v>223</v>
      </c>
      <c r="T255" s="180">
        <v>0</v>
      </c>
      <c r="U255" s="185" t="str">
        <f t="shared" si="45"/>
        <v>SUBDIRECCION DE GESTION CONTRACTUAL</v>
      </c>
      <c r="V255" s="172" t="str">
        <f t="shared" si="46"/>
        <v>CO-DC</v>
      </c>
      <c r="W255" s="185" t="str">
        <f t="shared" si="47"/>
        <v>Distrito Capital de Bogotá</v>
      </c>
      <c r="X255" s="186" t="s">
        <v>106</v>
      </c>
      <c r="Y255" s="187">
        <v>2427400</v>
      </c>
      <c r="Z255" s="188" t="s">
        <v>382</v>
      </c>
    </row>
    <row r="256" spans="1:26" s="189" customFormat="1" ht="12.75" customHeight="1" x14ac:dyDescent="0.2">
      <c r="A256" s="171" t="s">
        <v>99</v>
      </c>
      <c r="B256" s="172">
        <v>34</v>
      </c>
      <c r="C256" s="173" t="s">
        <v>398</v>
      </c>
      <c r="D256" s="173" t="s">
        <v>100</v>
      </c>
      <c r="E256" s="174"/>
      <c r="F256" s="174">
        <v>150000000</v>
      </c>
      <c r="G256" s="174"/>
      <c r="H256" s="175" t="s">
        <v>105</v>
      </c>
      <c r="I256" s="176" t="s">
        <v>399</v>
      </c>
      <c r="J256" s="193">
        <v>10</v>
      </c>
      <c r="K256" s="193">
        <v>10</v>
      </c>
      <c r="L256" s="193">
        <v>2</v>
      </c>
      <c r="M256" s="172">
        <f t="shared" si="42"/>
        <v>1</v>
      </c>
      <c r="N256" s="180" t="s">
        <v>36</v>
      </c>
      <c r="O256" s="181" t="str">
        <f>IF(ISBLANK(N256),"",VLOOKUP(N256,[10]Parámetros!$G$2:$H$23,2,FALSE))</f>
        <v xml:space="preserve">Contratación directa (con ofertas) </v>
      </c>
      <c r="P256" s="182">
        <v>1</v>
      </c>
      <c r="Q256" s="183">
        <f t="shared" si="43"/>
        <v>150000000</v>
      </c>
      <c r="R256" s="183">
        <f t="shared" si="44"/>
        <v>150000000</v>
      </c>
      <c r="S256" s="184" t="s">
        <v>223</v>
      </c>
      <c r="T256" s="180">
        <v>0</v>
      </c>
      <c r="U256" s="185" t="str">
        <f t="shared" si="45"/>
        <v>SUBDIRECCION DE GESTION CONTRACTUAL</v>
      </c>
      <c r="V256" s="172" t="str">
        <f t="shared" si="46"/>
        <v>CO-DC</v>
      </c>
      <c r="W256" s="185" t="str">
        <f t="shared" si="47"/>
        <v>Distrito Capital de Bogotá</v>
      </c>
      <c r="X256" s="186" t="s">
        <v>106</v>
      </c>
      <c r="Y256" s="187">
        <v>2427400</v>
      </c>
      <c r="Z256" s="188" t="s">
        <v>382</v>
      </c>
    </row>
    <row r="257" spans="1:26" s="189" customFormat="1" ht="12.75" customHeight="1" x14ac:dyDescent="0.2">
      <c r="A257" s="171" t="s">
        <v>99</v>
      </c>
      <c r="B257" s="172">
        <v>35</v>
      </c>
      <c r="C257" s="173" t="s">
        <v>398</v>
      </c>
      <c r="D257" s="173" t="s">
        <v>100</v>
      </c>
      <c r="E257" s="174"/>
      <c r="F257" s="174">
        <v>1079500000</v>
      </c>
      <c r="G257" s="174"/>
      <c r="H257" s="175">
        <v>82111902</v>
      </c>
      <c r="I257" s="176" t="s">
        <v>400</v>
      </c>
      <c r="J257" s="193">
        <v>4</v>
      </c>
      <c r="K257" s="193">
        <v>4</v>
      </c>
      <c r="L257" s="193">
        <v>5</v>
      </c>
      <c r="M257" s="172">
        <f t="shared" si="42"/>
        <v>1</v>
      </c>
      <c r="N257" s="180" t="s">
        <v>36</v>
      </c>
      <c r="O257" s="181" t="str">
        <f>IF(ISBLANK(N257),"",VLOOKUP(N257,[10]Parámetros!$G$2:$H$23,2,FALSE))</f>
        <v xml:space="preserve">Contratación directa (con ofertas) </v>
      </c>
      <c r="P257" s="182">
        <v>1</v>
      </c>
      <c r="Q257" s="183">
        <f t="shared" si="43"/>
        <v>1079500000</v>
      </c>
      <c r="R257" s="183">
        <f t="shared" si="44"/>
        <v>1079500000</v>
      </c>
      <c r="S257" s="184" t="s">
        <v>223</v>
      </c>
      <c r="T257" s="180">
        <v>0</v>
      </c>
      <c r="U257" s="185" t="str">
        <f t="shared" si="45"/>
        <v>SUBDIRECCION DE GESTION CONTRACTUAL</v>
      </c>
      <c r="V257" s="172" t="str">
        <f t="shared" si="46"/>
        <v>CO-DC</v>
      </c>
      <c r="W257" s="185" t="str">
        <f t="shared" si="47"/>
        <v>Distrito Capital de Bogotá</v>
      </c>
      <c r="X257" s="186" t="s">
        <v>106</v>
      </c>
      <c r="Y257" s="187">
        <v>2427400</v>
      </c>
      <c r="Z257" s="188" t="s">
        <v>382</v>
      </c>
    </row>
    <row r="258" spans="1:26" s="189" customFormat="1" ht="12.75" customHeight="1" x14ac:dyDescent="0.2">
      <c r="A258" s="171" t="s">
        <v>99</v>
      </c>
      <c r="B258" s="172">
        <v>36</v>
      </c>
      <c r="C258" s="173" t="s">
        <v>398</v>
      </c>
      <c r="D258" s="173" t="s">
        <v>100</v>
      </c>
      <c r="E258" s="174"/>
      <c r="F258" s="174">
        <v>120000000</v>
      </c>
      <c r="G258" s="174"/>
      <c r="H258" s="175" t="s">
        <v>384</v>
      </c>
      <c r="I258" s="176" t="s">
        <v>401</v>
      </c>
      <c r="J258" s="193">
        <v>3</v>
      </c>
      <c r="K258" s="193">
        <v>4</v>
      </c>
      <c r="L258" s="193">
        <v>4</v>
      </c>
      <c r="M258" s="172">
        <f t="shared" si="42"/>
        <v>1</v>
      </c>
      <c r="N258" s="180" t="s">
        <v>36</v>
      </c>
      <c r="O258" s="181" t="str">
        <f>IF(ISBLANK(N258),"",VLOOKUP(N258,[10]Parámetros!$G$2:$H$23,2,FALSE))</f>
        <v xml:space="preserve">Contratación directa (con ofertas) </v>
      </c>
      <c r="P258" s="182">
        <v>1</v>
      </c>
      <c r="Q258" s="183">
        <f t="shared" si="43"/>
        <v>120000000</v>
      </c>
      <c r="R258" s="183">
        <f t="shared" si="44"/>
        <v>120000000</v>
      </c>
      <c r="S258" s="184" t="s">
        <v>223</v>
      </c>
      <c r="T258" s="180">
        <v>0</v>
      </c>
      <c r="U258" s="185" t="str">
        <f t="shared" si="45"/>
        <v>SUBDIRECCION DE GESTION CONTRACTUAL</v>
      </c>
      <c r="V258" s="172" t="str">
        <f t="shared" si="46"/>
        <v>CO-DC</v>
      </c>
      <c r="W258" s="185" t="str">
        <f t="shared" si="47"/>
        <v>Distrito Capital de Bogotá</v>
      </c>
      <c r="X258" s="186" t="s">
        <v>106</v>
      </c>
      <c r="Y258" s="187">
        <v>2427400</v>
      </c>
      <c r="Z258" s="188" t="s">
        <v>382</v>
      </c>
    </row>
    <row r="259" spans="1:26" s="189" customFormat="1" ht="12.75" customHeight="1" x14ac:dyDescent="0.2">
      <c r="A259" s="171" t="s">
        <v>99</v>
      </c>
      <c r="B259" s="172">
        <v>37</v>
      </c>
      <c r="C259" s="173" t="s">
        <v>398</v>
      </c>
      <c r="D259" s="173" t="s">
        <v>100</v>
      </c>
      <c r="E259" s="174"/>
      <c r="F259" s="174">
        <v>842356160</v>
      </c>
      <c r="G259" s="174"/>
      <c r="H259" s="175" t="s">
        <v>395</v>
      </c>
      <c r="I259" s="176" t="s">
        <v>402</v>
      </c>
      <c r="J259" s="193">
        <v>3</v>
      </c>
      <c r="K259" s="193">
        <v>4</v>
      </c>
      <c r="L259" s="193">
        <v>8</v>
      </c>
      <c r="M259" s="172">
        <f t="shared" si="42"/>
        <v>1</v>
      </c>
      <c r="N259" s="180" t="s">
        <v>36</v>
      </c>
      <c r="O259" s="181" t="str">
        <f>IF(ISBLANK(N259),"",VLOOKUP(N259,[10]Parámetros!$G$2:$H$23,2,FALSE))</f>
        <v xml:space="preserve">Contratación directa (con ofertas) </v>
      </c>
      <c r="P259" s="182">
        <v>1</v>
      </c>
      <c r="Q259" s="183">
        <f t="shared" si="43"/>
        <v>842356160</v>
      </c>
      <c r="R259" s="183">
        <f t="shared" si="44"/>
        <v>842356160</v>
      </c>
      <c r="S259" s="184" t="s">
        <v>223</v>
      </c>
      <c r="T259" s="180">
        <v>0</v>
      </c>
      <c r="U259" s="185" t="str">
        <f t="shared" si="45"/>
        <v>SUBDIRECCION DE GESTION CONTRACTUAL</v>
      </c>
      <c r="V259" s="172" t="str">
        <f t="shared" si="46"/>
        <v>CO-DC</v>
      </c>
      <c r="W259" s="185" t="str">
        <f t="shared" si="47"/>
        <v>Distrito Capital de Bogotá</v>
      </c>
      <c r="X259" s="186" t="s">
        <v>106</v>
      </c>
      <c r="Y259" s="187">
        <v>2427400</v>
      </c>
      <c r="Z259" s="188" t="s">
        <v>382</v>
      </c>
    </row>
    <row r="260" spans="1:26" s="189" customFormat="1" ht="12.75" customHeight="1" x14ac:dyDescent="0.2">
      <c r="A260" s="171" t="s">
        <v>99</v>
      </c>
      <c r="B260" s="172">
        <v>38</v>
      </c>
      <c r="C260" s="173" t="s">
        <v>398</v>
      </c>
      <c r="D260" s="173" t="s">
        <v>100</v>
      </c>
      <c r="E260" s="174"/>
      <c r="F260" s="174">
        <v>181300000</v>
      </c>
      <c r="G260" s="174"/>
      <c r="H260" s="175" t="s">
        <v>384</v>
      </c>
      <c r="I260" s="176" t="s">
        <v>401</v>
      </c>
      <c r="J260" s="193">
        <v>3</v>
      </c>
      <c r="K260" s="193">
        <v>4</v>
      </c>
      <c r="L260" s="193">
        <v>4</v>
      </c>
      <c r="M260" s="172">
        <f t="shared" si="42"/>
        <v>1</v>
      </c>
      <c r="N260" s="180" t="s">
        <v>36</v>
      </c>
      <c r="O260" s="181" t="str">
        <f>IF(ISBLANK(N260),"",VLOOKUP(N260,[10]Parámetros!$G$2:$H$23,2,FALSE))</f>
        <v xml:space="preserve">Contratación directa (con ofertas) </v>
      </c>
      <c r="P260" s="182">
        <v>1</v>
      </c>
      <c r="Q260" s="183">
        <f t="shared" si="43"/>
        <v>181300000</v>
      </c>
      <c r="R260" s="183">
        <f t="shared" si="44"/>
        <v>181300000</v>
      </c>
      <c r="S260" s="184" t="s">
        <v>223</v>
      </c>
      <c r="T260" s="180">
        <v>0</v>
      </c>
      <c r="U260" s="185" t="str">
        <f t="shared" si="45"/>
        <v>SUBDIRECCION DE GESTION CONTRACTUAL</v>
      </c>
      <c r="V260" s="172" t="str">
        <f t="shared" si="46"/>
        <v>CO-DC</v>
      </c>
      <c r="W260" s="185" t="str">
        <f t="shared" si="47"/>
        <v>Distrito Capital de Bogotá</v>
      </c>
      <c r="X260" s="186" t="s">
        <v>106</v>
      </c>
      <c r="Y260" s="187">
        <v>2427400</v>
      </c>
      <c r="Z260" s="188" t="s">
        <v>382</v>
      </c>
    </row>
    <row r="261" spans="1:26" s="189" customFormat="1" ht="12.75" customHeight="1" x14ac:dyDescent="0.2">
      <c r="A261" s="171" t="s">
        <v>99</v>
      </c>
      <c r="B261" s="172">
        <v>39</v>
      </c>
      <c r="C261" s="173" t="s">
        <v>403</v>
      </c>
      <c r="D261" s="173" t="s">
        <v>100</v>
      </c>
      <c r="E261" s="174"/>
      <c r="F261" s="174">
        <v>444400000</v>
      </c>
      <c r="G261" s="174"/>
      <c r="H261" s="175">
        <v>80111600</v>
      </c>
      <c r="I261" s="176" t="s">
        <v>381</v>
      </c>
      <c r="J261" s="193">
        <v>1</v>
      </c>
      <c r="K261" s="193">
        <v>1</v>
      </c>
      <c r="L261" s="193">
        <v>12</v>
      </c>
      <c r="M261" s="172">
        <f t="shared" si="42"/>
        <v>1</v>
      </c>
      <c r="N261" s="180" t="s">
        <v>216</v>
      </c>
      <c r="O261" s="181" t="str">
        <f>IF(ISBLANK(N261),"",VLOOKUP(N261,[10]Parámetros!$G$2:$H$23,2,FALSE))</f>
        <v>Contratación directa.</v>
      </c>
      <c r="P261" s="182">
        <f>IF(ISBLANK(N261),"",1)</f>
        <v>1</v>
      </c>
      <c r="Q261" s="183">
        <f t="shared" si="43"/>
        <v>444400000</v>
      </c>
      <c r="R261" s="183">
        <f t="shared" si="44"/>
        <v>444400000</v>
      </c>
      <c r="S261" s="184" t="s">
        <v>223</v>
      </c>
      <c r="T261" s="180">
        <f>IF(ISBLANK(S261),"",IF(VALUE(S261)=0,0,IF(VALUE(S261)=1,3,"")))</f>
        <v>0</v>
      </c>
      <c r="U261" s="185" t="str">
        <f t="shared" si="45"/>
        <v>SUBDIRECCION DE GESTION CONTRACTUAL</v>
      </c>
      <c r="V261" s="172" t="str">
        <f t="shared" si="46"/>
        <v>CO-DC</v>
      </c>
      <c r="W261" s="185" t="str">
        <f t="shared" si="47"/>
        <v>Distrito Capital de Bogotá</v>
      </c>
      <c r="X261" s="186" t="s">
        <v>106</v>
      </c>
      <c r="Y261" s="187">
        <v>2427400</v>
      </c>
      <c r="Z261" s="188" t="s">
        <v>382</v>
      </c>
    </row>
    <row r="262" spans="1:26" s="189" customFormat="1" ht="12.75" customHeight="1" x14ac:dyDescent="0.2">
      <c r="A262" s="171" t="s">
        <v>99</v>
      </c>
      <c r="B262" s="172">
        <v>40</v>
      </c>
      <c r="C262" s="173" t="s">
        <v>403</v>
      </c>
      <c r="D262" s="173" t="s">
        <v>100</v>
      </c>
      <c r="E262" s="174"/>
      <c r="F262" s="174">
        <v>48000000</v>
      </c>
      <c r="G262" s="174"/>
      <c r="H262" s="175" t="s">
        <v>42</v>
      </c>
      <c r="I262" s="176" t="s">
        <v>387</v>
      </c>
      <c r="J262" s="177">
        <v>3</v>
      </c>
      <c r="K262" s="178">
        <v>4</v>
      </c>
      <c r="L262" s="179">
        <v>9</v>
      </c>
      <c r="M262" s="172">
        <f t="shared" si="42"/>
        <v>1</v>
      </c>
      <c r="N262" s="180" t="s">
        <v>61</v>
      </c>
      <c r="O262" s="181" t="str">
        <f>IF(ISBLANK(N262),"",VLOOKUP(N262,[9]Parámetros!$G$2:$H$23,2,FALSE))</f>
        <v>Contratación régimen especial - Selección de comisionista</v>
      </c>
      <c r="P262" s="182">
        <v>1</v>
      </c>
      <c r="Q262" s="183">
        <f t="shared" si="43"/>
        <v>48000000</v>
      </c>
      <c r="R262" s="183">
        <f t="shared" si="44"/>
        <v>48000000</v>
      </c>
      <c r="S262" s="184" t="s">
        <v>223</v>
      </c>
      <c r="T262" s="180">
        <v>0</v>
      </c>
      <c r="U262" s="185" t="str">
        <f t="shared" si="45"/>
        <v>SUBDIRECCION DE GESTION CONTRACTUAL</v>
      </c>
      <c r="V262" s="172" t="str">
        <f t="shared" si="46"/>
        <v>CO-DC</v>
      </c>
      <c r="W262" s="185" t="str">
        <f t="shared" si="47"/>
        <v>Distrito Capital de Bogotá</v>
      </c>
      <c r="X262" s="186" t="s">
        <v>106</v>
      </c>
      <c r="Y262" s="187">
        <v>2427400</v>
      </c>
      <c r="Z262" s="188" t="s">
        <v>382</v>
      </c>
    </row>
    <row r="263" spans="1:26" s="189" customFormat="1" ht="12.75" customHeight="1" x14ac:dyDescent="0.2">
      <c r="A263" s="171" t="s">
        <v>99</v>
      </c>
      <c r="B263" s="172">
        <v>41</v>
      </c>
      <c r="C263" s="173" t="s">
        <v>403</v>
      </c>
      <c r="D263" s="173" t="s">
        <v>100</v>
      </c>
      <c r="E263" s="174"/>
      <c r="F263" s="174">
        <v>1052189720</v>
      </c>
      <c r="G263" s="174"/>
      <c r="H263" s="175" t="s">
        <v>801</v>
      </c>
      <c r="I263" s="176" t="s">
        <v>383</v>
      </c>
      <c r="J263" s="177">
        <v>2</v>
      </c>
      <c r="K263" s="178">
        <v>3</v>
      </c>
      <c r="L263" s="179">
        <v>9</v>
      </c>
      <c r="M263" s="172">
        <f t="shared" si="42"/>
        <v>1</v>
      </c>
      <c r="N263" s="180" t="s">
        <v>234</v>
      </c>
      <c r="O263" s="181" t="str">
        <f>IF(ISBLANK(N263),"",VLOOKUP(N263,[10]Parámetros!$G$2:$H$23,2,FALSE))</f>
        <v>Licitación pública</v>
      </c>
      <c r="P263" s="182">
        <v>1</v>
      </c>
      <c r="Q263" s="183">
        <f t="shared" si="43"/>
        <v>1052189720</v>
      </c>
      <c r="R263" s="183">
        <f t="shared" si="44"/>
        <v>1052189720</v>
      </c>
      <c r="S263" s="184" t="s">
        <v>223</v>
      </c>
      <c r="T263" s="180">
        <v>0</v>
      </c>
      <c r="U263" s="185" t="str">
        <f t="shared" si="45"/>
        <v>SUBDIRECCION DE GESTION CONTRACTUAL</v>
      </c>
      <c r="V263" s="172" t="str">
        <f t="shared" si="46"/>
        <v>CO-DC</v>
      </c>
      <c r="W263" s="185" t="str">
        <f t="shared" si="47"/>
        <v>Distrito Capital de Bogotá</v>
      </c>
      <c r="X263" s="186" t="s">
        <v>106</v>
      </c>
      <c r="Y263" s="187">
        <v>2427400</v>
      </c>
      <c r="Z263" s="188" t="s">
        <v>382</v>
      </c>
    </row>
    <row r="264" spans="1:26" s="189" customFormat="1" ht="12.75" customHeight="1" x14ac:dyDescent="0.2">
      <c r="A264" s="171" t="s">
        <v>99</v>
      </c>
      <c r="B264" s="172">
        <v>42</v>
      </c>
      <c r="C264" s="173" t="s">
        <v>403</v>
      </c>
      <c r="D264" s="173" t="s">
        <v>100</v>
      </c>
      <c r="E264" s="174"/>
      <c r="F264" s="174">
        <v>35000000</v>
      </c>
      <c r="G264" s="174"/>
      <c r="H264" s="175" t="s">
        <v>801</v>
      </c>
      <c r="I264" s="176" t="s">
        <v>383</v>
      </c>
      <c r="J264" s="202">
        <v>1</v>
      </c>
      <c r="K264" s="202">
        <v>2</v>
      </c>
      <c r="L264" s="202">
        <v>3</v>
      </c>
      <c r="M264" s="172">
        <f t="shared" si="42"/>
        <v>1</v>
      </c>
      <c r="N264" s="180" t="s">
        <v>36</v>
      </c>
      <c r="O264" s="181" t="str">
        <f>IF(ISBLANK(N264),"",VLOOKUP(N264,[10]Parámetros!$G$2:$H$23,2,FALSE))</f>
        <v xml:space="preserve">Contratación directa (con ofertas) </v>
      </c>
      <c r="P264" s="182">
        <v>1</v>
      </c>
      <c r="Q264" s="183">
        <f t="shared" si="43"/>
        <v>35000000</v>
      </c>
      <c r="R264" s="183">
        <f t="shared" si="44"/>
        <v>35000000</v>
      </c>
      <c r="S264" s="184" t="s">
        <v>223</v>
      </c>
      <c r="T264" s="180">
        <v>0</v>
      </c>
      <c r="U264" s="185" t="str">
        <f t="shared" si="45"/>
        <v>SUBDIRECCION DE GESTION CONTRACTUAL</v>
      </c>
      <c r="V264" s="172" t="str">
        <f t="shared" si="46"/>
        <v>CO-DC</v>
      </c>
      <c r="W264" s="185" t="str">
        <f t="shared" si="47"/>
        <v>Distrito Capital de Bogotá</v>
      </c>
      <c r="X264" s="186" t="s">
        <v>106</v>
      </c>
      <c r="Y264" s="187">
        <v>2427400</v>
      </c>
      <c r="Z264" s="188" t="s">
        <v>382</v>
      </c>
    </row>
    <row r="265" spans="1:26" s="189" customFormat="1" ht="12.75" customHeight="1" x14ac:dyDescent="0.2">
      <c r="A265" s="171" t="s">
        <v>99</v>
      </c>
      <c r="B265" s="172">
        <v>43</v>
      </c>
      <c r="C265" s="173" t="s">
        <v>403</v>
      </c>
      <c r="D265" s="173" t="s">
        <v>100</v>
      </c>
      <c r="E265" s="174"/>
      <c r="F265" s="174">
        <v>50000000</v>
      </c>
      <c r="G265" s="174"/>
      <c r="H265" s="175" t="s">
        <v>650</v>
      </c>
      <c r="I265" s="176" t="s">
        <v>388</v>
      </c>
      <c r="J265" s="177">
        <v>2</v>
      </c>
      <c r="K265" s="178">
        <v>2</v>
      </c>
      <c r="L265" s="179">
        <v>10</v>
      </c>
      <c r="M265" s="172">
        <f t="shared" si="42"/>
        <v>1</v>
      </c>
      <c r="N265" s="180" t="s">
        <v>36</v>
      </c>
      <c r="O265" s="181" t="str">
        <f>IF(ISBLANK(N265),"",VLOOKUP(N265,[10]Parámetros!$G$2:$H$23,2,FALSE))</f>
        <v xml:space="preserve">Contratación directa (con ofertas) </v>
      </c>
      <c r="P265" s="182">
        <v>1</v>
      </c>
      <c r="Q265" s="183">
        <f t="shared" si="43"/>
        <v>50000000</v>
      </c>
      <c r="R265" s="183">
        <f t="shared" si="44"/>
        <v>50000000</v>
      </c>
      <c r="S265" s="184" t="s">
        <v>223</v>
      </c>
      <c r="T265" s="180">
        <v>0</v>
      </c>
      <c r="U265" s="185" t="str">
        <f t="shared" si="45"/>
        <v>SUBDIRECCION DE GESTION CONTRACTUAL</v>
      </c>
      <c r="V265" s="172" t="str">
        <f t="shared" si="46"/>
        <v>CO-DC</v>
      </c>
      <c r="W265" s="185" t="str">
        <f t="shared" si="47"/>
        <v>Distrito Capital de Bogotá</v>
      </c>
      <c r="X265" s="186" t="s">
        <v>332</v>
      </c>
      <c r="Y265" s="172">
        <v>2427400</v>
      </c>
      <c r="Z265" s="188" t="s">
        <v>94</v>
      </c>
    </row>
    <row r="266" spans="1:26" s="189" customFormat="1" ht="12.75" customHeight="1" x14ac:dyDescent="0.2">
      <c r="A266" s="171" t="s">
        <v>99</v>
      </c>
      <c r="B266" s="172">
        <v>44</v>
      </c>
      <c r="C266" s="173" t="s">
        <v>403</v>
      </c>
      <c r="D266" s="173" t="s">
        <v>100</v>
      </c>
      <c r="E266" s="174"/>
      <c r="F266" s="174">
        <v>1000000000</v>
      </c>
      <c r="G266" s="174"/>
      <c r="H266" s="175" t="s">
        <v>404</v>
      </c>
      <c r="I266" s="176" t="s">
        <v>405</v>
      </c>
      <c r="J266" s="193">
        <v>3</v>
      </c>
      <c r="K266" s="193">
        <v>4</v>
      </c>
      <c r="L266" s="193">
        <v>8</v>
      </c>
      <c r="M266" s="172">
        <f t="shared" si="42"/>
        <v>1</v>
      </c>
      <c r="N266" s="180" t="s">
        <v>36</v>
      </c>
      <c r="O266" s="181" t="str">
        <f>IF(ISBLANK(N266),"",VLOOKUP(N266,[10]Parámetros!$G$2:$H$23,2,FALSE))</f>
        <v xml:space="preserve">Contratación directa (con ofertas) </v>
      </c>
      <c r="P266" s="182">
        <v>1</v>
      </c>
      <c r="Q266" s="183">
        <f t="shared" si="43"/>
        <v>1000000000</v>
      </c>
      <c r="R266" s="183">
        <f t="shared" si="44"/>
        <v>1000000000</v>
      </c>
      <c r="S266" s="184" t="s">
        <v>223</v>
      </c>
      <c r="T266" s="180">
        <v>0</v>
      </c>
      <c r="U266" s="185" t="str">
        <f t="shared" si="45"/>
        <v>SUBDIRECCION DE GESTION CONTRACTUAL</v>
      </c>
      <c r="V266" s="172" t="str">
        <f t="shared" si="46"/>
        <v>CO-DC</v>
      </c>
      <c r="W266" s="185" t="str">
        <f t="shared" si="47"/>
        <v>Distrito Capital de Bogotá</v>
      </c>
      <c r="X266" s="186" t="s">
        <v>106</v>
      </c>
      <c r="Y266" s="187">
        <v>2427400</v>
      </c>
      <c r="Z266" s="188" t="s">
        <v>382</v>
      </c>
    </row>
    <row r="267" spans="1:26" s="189" customFormat="1" ht="12.75" customHeight="1" x14ac:dyDescent="0.2">
      <c r="A267" s="171" t="s">
        <v>99</v>
      </c>
      <c r="B267" s="172">
        <v>45</v>
      </c>
      <c r="C267" s="173" t="s">
        <v>406</v>
      </c>
      <c r="D267" s="173" t="s">
        <v>100</v>
      </c>
      <c r="E267" s="174"/>
      <c r="F267" s="174">
        <v>398200000</v>
      </c>
      <c r="G267" s="174"/>
      <c r="H267" s="175">
        <v>80111600</v>
      </c>
      <c r="I267" s="176" t="s">
        <v>381</v>
      </c>
      <c r="J267" s="193">
        <v>1</v>
      </c>
      <c r="K267" s="193">
        <v>1</v>
      </c>
      <c r="L267" s="193">
        <v>12</v>
      </c>
      <c r="M267" s="172">
        <f t="shared" si="42"/>
        <v>1</v>
      </c>
      <c r="N267" s="180" t="s">
        <v>216</v>
      </c>
      <c r="O267" s="181" t="str">
        <f>IF(ISBLANK(N267),"",VLOOKUP(N267,[10]Parámetros!$G$2:$H$23,2,FALSE))</f>
        <v>Contratación directa.</v>
      </c>
      <c r="P267" s="182">
        <f>IF(ISBLANK(N267),"",1)</f>
        <v>1</v>
      </c>
      <c r="Q267" s="183">
        <f t="shared" si="43"/>
        <v>398200000</v>
      </c>
      <c r="R267" s="183">
        <f t="shared" si="44"/>
        <v>398200000</v>
      </c>
      <c r="S267" s="184" t="s">
        <v>223</v>
      </c>
      <c r="T267" s="180">
        <f>IF(ISBLANK(S267),"",IF(VALUE(S267)=0,0,IF(VALUE(S267)=1,3,"")))</f>
        <v>0</v>
      </c>
      <c r="U267" s="185" t="str">
        <f t="shared" si="45"/>
        <v>SUBDIRECCION DE GESTION CONTRACTUAL</v>
      </c>
      <c r="V267" s="172" t="str">
        <f t="shared" si="46"/>
        <v>CO-DC</v>
      </c>
      <c r="W267" s="185" t="str">
        <f t="shared" si="47"/>
        <v>Distrito Capital de Bogotá</v>
      </c>
      <c r="X267" s="186" t="s">
        <v>106</v>
      </c>
      <c r="Y267" s="187">
        <v>2427400</v>
      </c>
      <c r="Z267" s="188" t="s">
        <v>382</v>
      </c>
    </row>
    <row r="268" spans="1:26" s="189" customFormat="1" ht="12.75" customHeight="1" x14ac:dyDescent="0.2">
      <c r="A268" s="171" t="s">
        <v>99</v>
      </c>
      <c r="B268" s="172">
        <v>46</v>
      </c>
      <c r="C268" s="173" t="s">
        <v>406</v>
      </c>
      <c r="D268" s="173" t="s">
        <v>100</v>
      </c>
      <c r="E268" s="174"/>
      <c r="F268" s="174">
        <v>65000000</v>
      </c>
      <c r="G268" s="174"/>
      <c r="H268" s="175" t="s">
        <v>42</v>
      </c>
      <c r="I268" s="176" t="s">
        <v>387</v>
      </c>
      <c r="J268" s="177">
        <v>3</v>
      </c>
      <c r="K268" s="178">
        <v>4</v>
      </c>
      <c r="L268" s="179">
        <v>9</v>
      </c>
      <c r="M268" s="172">
        <f t="shared" si="42"/>
        <v>1</v>
      </c>
      <c r="N268" s="180" t="s">
        <v>61</v>
      </c>
      <c r="O268" s="181" t="str">
        <f>IF(ISBLANK(N268),"",VLOOKUP(N268,[9]Parámetros!$G$2:$H$23,2,FALSE))</f>
        <v>Contratación régimen especial - Selección de comisionista</v>
      </c>
      <c r="P268" s="182">
        <v>1</v>
      </c>
      <c r="Q268" s="183">
        <f t="shared" si="43"/>
        <v>65000000</v>
      </c>
      <c r="R268" s="183">
        <f t="shared" si="44"/>
        <v>65000000</v>
      </c>
      <c r="S268" s="184" t="s">
        <v>223</v>
      </c>
      <c r="T268" s="180">
        <v>0</v>
      </c>
      <c r="U268" s="185" t="str">
        <f t="shared" si="45"/>
        <v>SUBDIRECCION DE GESTION CONTRACTUAL</v>
      </c>
      <c r="V268" s="172" t="str">
        <f t="shared" si="46"/>
        <v>CO-DC</v>
      </c>
      <c r="W268" s="185" t="str">
        <f t="shared" si="47"/>
        <v>Distrito Capital de Bogotá</v>
      </c>
      <c r="X268" s="186" t="s">
        <v>106</v>
      </c>
      <c r="Y268" s="187">
        <v>2427400</v>
      </c>
      <c r="Z268" s="188" t="s">
        <v>382</v>
      </c>
    </row>
    <row r="269" spans="1:26" s="189" customFormat="1" ht="12.75" customHeight="1" x14ac:dyDescent="0.2">
      <c r="A269" s="171" t="s">
        <v>99</v>
      </c>
      <c r="B269" s="172">
        <v>47</v>
      </c>
      <c r="C269" s="173" t="s">
        <v>406</v>
      </c>
      <c r="D269" s="173" t="s">
        <v>100</v>
      </c>
      <c r="E269" s="174"/>
      <c r="F269" s="174">
        <v>546887000</v>
      </c>
      <c r="G269" s="174"/>
      <c r="H269" s="175" t="s">
        <v>801</v>
      </c>
      <c r="I269" s="176" t="s">
        <v>383</v>
      </c>
      <c r="J269" s="177">
        <v>2</v>
      </c>
      <c r="K269" s="178">
        <v>3</v>
      </c>
      <c r="L269" s="179">
        <v>9</v>
      </c>
      <c r="M269" s="172">
        <f t="shared" ref="M269:M334" si="48">IF(ISBLANK(J269),"",1)</f>
        <v>1</v>
      </c>
      <c r="N269" s="180" t="s">
        <v>234</v>
      </c>
      <c r="O269" s="181" t="str">
        <f>IF(ISBLANK(N269),"",VLOOKUP(N269,[10]Parámetros!$G$2:$H$23,2,FALSE))</f>
        <v>Licitación pública</v>
      </c>
      <c r="P269" s="182">
        <v>1</v>
      </c>
      <c r="Q269" s="183">
        <f t="shared" ref="Q269:Q334" si="49">+E269+F269+G269</f>
        <v>546887000</v>
      </c>
      <c r="R269" s="183">
        <f t="shared" ref="R269:R334" si="50">+F269</f>
        <v>546887000</v>
      </c>
      <c r="S269" s="184" t="s">
        <v>223</v>
      </c>
      <c r="T269" s="180">
        <v>0</v>
      </c>
      <c r="U269" s="185" t="str">
        <f t="shared" ref="U269:U334" si="51">IF(ISBLANK(N269),"","SUBDIRECCION DE GESTION CONTRACTUAL")</f>
        <v>SUBDIRECCION DE GESTION CONTRACTUAL</v>
      </c>
      <c r="V269" s="172" t="str">
        <f t="shared" si="46"/>
        <v>CO-DC</v>
      </c>
      <c r="W269" s="185" t="str">
        <f t="shared" si="47"/>
        <v>Distrito Capital de Bogotá</v>
      </c>
      <c r="X269" s="186" t="s">
        <v>106</v>
      </c>
      <c r="Y269" s="187">
        <v>2427400</v>
      </c>
      <c r="Z269" s="188" t="s">
        <v>382</v>
      </c>
    </row>
    <row r="270" spans="1:26" s="189" customFormat="1" ht="12.75" customHeight="1" x14ac:dyDescent="0.2">
      <c r="A270" s="171" t="s">
        <v>99</v>
      </c>
      <c r="B270" s="172">
        <v>48</v>
      </c>
      <c r="C270" s="173" t="s">
        <v>406</v>
      </c>
      <c r="D270" s="173" t="s">
        <v>100</v>
      </c>
      <c r="E270" s="174"/>
      <c r="F270" s="174">
        <v>30000000</v>
      </c>
      <c r="G270" s="174"/>
      <c r="H270" s="175" t="s">
        <v>801</v>
      </c>
      <c r="I270" s="176" t="s">
        <v>383</v>
      </c>
      <c r="J270" s="202">
        <v>1</v>
      </c>
      <c r="K270" s="202">
        <v>2</v>
      </c>
      <c r="L270" s="202">
        <v>3</v>
      </c>
      <c r="M270" s="172">
        <f t="shared" si="48"/>
        <v>1</v>
      </c>
      <c r="N270" s="180" t="s">
        <v>36</v>
      </c>
      <c r="O270" s="181" t="str">
        <f>IF(ISBLANK(N270),"",VLOOKUP(N270,[10]Parámetros!$G$2:$H$23,2,FALSE))</f>
        <v xml:space="preserve">Contratación directa (con ofertas) </v>
      </c>
      <c r="P270" s="182">
        <v>1</v>
      </c>
      <c r="Q270" s="183">
        <f t="shared" si="49"/>
        <v>30000000</v>
      </c>
      <c r="R270" s="183">
        <f t="shared" si="50"/>
        <v>30000000</v>
      </c>
      <c r="S270" s="184" t="s">
        <v>223</v>
      </c>
      <c r="T270" s="180">
        <v>0</v>
      </c>
      <c r="U270" s="185" t="str">
        <f t="shared" si="51"/>
        <v>SUBDIRECCION DE GESTION CONTRACTUAL</v>
      </c>
      <c r="V270" s="172" t="str">
        <f t="shared" si="46"/>
        <v>CO-DC</v>
      </c>
      <c r="W270" s="185" t="str">
        <f t="shared" si="47"/>
        <v>Distrito Capital de Bogotá</v>
      </c>
      <c r="X270" s="186" t="s">
        <v>106</v>
      </c>
      <c r="Y270" s="187">
        <v>2427400</v>
      </c>
      <c r="Z270" s="188" t="s">
        <v>382</v>
      </c>
    </row>
    <row r="271" spans="1:26" s="189" customFormat="1" ht="12.75" customHeight="1" x14ac:dyDescent="0.2">
      <c r="A271" s="171" t="s">
        <v>99</v>
      </c>
      <c r="B271" s="172">
        <v>49</v>
      </c>
      <c r="C271" s="173" t="s">
        <v>406</v>
      </c>
      <c r="D271" s="173" t="s">
        <v>100</v>
      </c>
      <c r="E271" s="174"/>
      <c r="F271" s="174">
        <v>100000000</v>
      </c>
      <c r="G271" s="174"/>
      <c r="H271" s="175" t="s">
        <v>650</v>
      </c>
      <c r="I271" s="176" t="s">
        <v>388</v>
      </c>
      <c r="J271" s="177">
        <v>2</v>
      </c>
      <c r="K271" s="178">
        <v>2</v>
      </c>
      <c r="L271" s="179">
        <v>10</v>
      </c>
      <c r="M271" s="172">
        <f t="shared" si="48"/>
        <v>1</v>
      </c>
      <c r="N271" s="180" t="s">
        <v>36</v>
      </c>
      <c r="O271" s="181" t="str">
        <f>IF(ISBLANK(N271),"",VLOOKUP(N271,[10]Parámetros!$G$2:$H$23,2,FALSE))</f>
        <v xml:space="preserve">Contratación directa (con ofertas) </v>
      </c>
      <c r="P271" s="182">
        <v>1</v>
      </c>
      <c r="Q271" s="183">
        <f t="shared" si="49"/>
        <v>100000000</v>
      </c>
      <c r="R271" s="183">
        <f t="shared" si="50"/>
        <v>100000000</v>
      </c>
      <c r="S271" s="184" t="s">
        <v>223</v>
      </c>
      <c r="T271" s="180">
        <v>0</v>
      </c>
      <c r="U271" s="185" t="str">
        <f t="shared" si="51"/>
        <v>SUBDIRECCION DE GESTION CONTRACTUAL</v>
      </c>
      <c r="V271" s="172" t="str">
        <f t="shared" si="46"/>
        <v>CO-DC</v>
      </c>
      <c r="W271" s="185" t="str">
        <f t="shared" si="47"/>
        <v>Distrito Capital de Bogotá</v>
      </c>
      <c r="X271" s="186" t="s">
        <v>332</v>
      </c>
      <c r="Y271" s="172">
        <v>2427400</v>
      </c>
      <c r="Z271" s="188" t="s">
        <v>94</v>
      </c>
    </row>
    <row r="272" spans="1:26" s="189" customFormat="1" ht="12.75" customHeight="1" x14ac:dyDescent="0.2">
      <c r="A272" s="171" t="s">
        <v>99</v>
      </c>
      <c r="B272" s="172">
        <v>50</v>
      </c>
      <c r="C272" s="173" t="s">
        <v>406</v>
      </c>
      <c r="D272" s="173" t="s">
        <v>100</v>
      </c>
      <c r="E272" s="174"/>
      <c r="F272" s="174">
        <v>151400000</v>
      </c>
      <c r="G272" s="174"/>
      <c r="H272" s="175" t="s">
        <v>101</v>
      </c>
      <c r="I272" s="176" t="s">
        <v>394</v>
      </c>
      <c r="J272" s="193">
        <v>6</v>
      </c>
      <c r="K272" s="193">
        <v>6</v>
      </c>
      <c r="L272" s="193">
        <v>6</v>
      </c>
      <c r="M272" s="172">
        <f t="shared" si="48"/>
        <v>1</v>
      </c>
      <c r="N272" s="180" t="s">
        <v>36</v>
      </c>
      <c r="O272" s="181" t="str">
        <f>IF(ISBLANK(N272),"",VLOOKUP(N272,[10]Parámetros!$G$2:$H$23,2,FALSE))</f>
        <v xml:space="preserve">Contratación directa (con ofertas) </v>
      </c>
      <c r="P272" s="182">
        <v>1</v>
      </c>
      <c r="Q272" s="183">
        <f t="shared" si="49"/>
        <v>151400000</v>
      </c>
      <c r="R272" s="183">
        <f t="shared" si="50"/>
        <v>151400000</v>
      </c>
      <c r="S272" s="184" t="s">
        <v>223</v>
      </c>
      <c r="T272" s="180">
        <v>0</v>
      </c>
      <c r="U272" s="185" t="str">
        <f t="shared" si="51"/>
        <v>SUBDIRECCION DE GESTION CONTRACTUAL</v>
      </c>
      <c r="V272" s="172" t="str">
        <f t="shared" si="46"/>
        <v>CO-DC</v>
      </c>
      <c r="W272" s="185" t="str">
        <f t="shared" si="47"/>
        <v>Distrito Capital de Bogotá</v>
      </c>
      <c r="X272" s="186" t="s">
        <v>106</v>
      </c>
      <c r="Y272" s="187">
        <v>2427400</v>
      </c>
      <c r="Z272" s="188" t="s">
        <v>382</v>
      </c>
    </row>
    <row r="273" spans="1:26" s="189" customFormat="1" ht="12.75" customHeight="1" x14ac:dyDescent="0.2">
      <c r="A273" s="171" t="s">
        <v>99</v>
      </c>
      <c r="B273" s="172">
        <v>51</v>
      </c>
      <c r="C273" s="173" t="s">
        <v>407</v>
      </c>
      <c r="D273" s="173" t="s">
        <v>100</v>
      </c>
      <c r="E273" s="174"/>
      <c r="F273" s="174">
        <v>406000000</v>
      </c>
      <c r="G273" s="174"/>
      <c r="H273" s="175">
        <v>80111600</v>
      </c>
      <c r="I273" s="176" t="s">
        <v>381</v>
      </c>
      <c r="J273" s="193">
        <v>1</v>
      </c>
      <c r="K273" s="193">
        <v>1</v>
      </c>
      <c r="L273" s="193">
        <v>12</v>
      </c>
      <c r="M273" s="172">
        <f t="shared" si="48"/>
        <v>1</v>
      </c>
      <c r="N273" s="180" t="s">
        <v>216</v>
      </c>
      <c r="O273" s="181" t="str">
        <f>IF(ISBLANK(N273),"",VLOOKUP(N273,[10]Parámetros!$G$2:$H$23,2,FALSE))</f>
        <v>Contratación directa.</v>
      </c>
      <c r="P273" s="182">
        <f>IF(ISBLANK(N273),"",1)</f>
        <v>1</v>
      </c>
      <c r="Q273" s="183">
        <f t="shared" si="49"/>
        <v>406000000</v>
      </c>
      <c r="R273" s="183">
        <f t="shared" si="50"/>
        <v>406000000</v>
      </c>
      <c r="S273" s="184" t="s">
        <v>223</v>
      </c>
      <c r="T273" s="180">
        <f>IF(ISBLANK(S273),"",IF(VALUE(S273)=0,0,IF(VALUE(S273)=1,3,"")))</f>
        <v>0</v>
      </c>
      <c r="U273" s="185" t="str">
        <f t="shared" si="51"/>
        <v>SUBDIRECCION DE GESTION CONTRACTUAL</v>
      </c>
      <c r="V273" s="172" t="str">
        <f t="shared" si="46"/>
        <v>CO-DC</v>
      </c>
      <c r="W273" s="185" t="str">
        <f t="shared" si="47"/>
        <v>Distrito Capital de Bogotá</v>
      </c>
      <c r="X273" s="186" t="s">
        <v>106</v>
      </c>
      <c r="Y273" s="187">
        <v>2427400</v>
      </c>
      <c r="Z273" s="188" t="s">
        <v>382</v>
      </c>
    </row>
    <row r="274" spans="1:26" s="189" customFormat="1" ht="12.75" customHeight="1" x14ac:dyDescent="0.2">
      <c r="A274" s="171" t="s">
        <v>99</v>
      </c>
      <c r="B274" s="172">
        <v>52</v>
      </c>
      <c r="C274" s="173" t="s">
        <v>407</v>
      </c>
      <c r="D274" s="173" t="s">
        <v>100</v>
      </c>
      <c r="E274" s="174"/>
      <c r="F274" s="174">
        <v>73920000</v>
      </c>
      <c r="G274" s="174"/>
      <c r="H274" s="175" t="s">
        <v>42</v>
      </c>
      <c r="I274" s="176" t="s">
        <v>387</v>
      </c>
      <c r="J274" s="177">
        <v>3</v>
      </c>
      <c r="K274" s="178">
        <v>4</v>
      </c>
      <c r="L274" s="179">
        <v>9</v>
      </c>
      <c r="M274" s="172">
        <f t="shared" si="48"/>
        <v>1</v>
      </c>
      <c r="N274" s="180" t="s">
        <v>61</v>
      </c>
      <c r="O274" s="181" t="str">
        <f>IF(ISBLANK(N274),"",VLOOKUP(N274,[9]Parámetros!$G$2:$H$23,2,FALSE))</f>
        <v>Contratación régimen especial - Selección de comisionista</v>
      </c>
      <c r="P274" s="182">
        <v>1</v>
      </c>
      <c r="Q274" s="183">
        <f t="shared" si="49"/>
        <v>73920000</v>
      </c>
      <c r="R274" s="183">
        <f t="shared" si="50"/>
        <v>73920000</v>
      </c>
      <c r="S274" s="184" t="s">
        <v>223</v>
      </c>
      <c r="T274" s="180">
        <v>0</v>
      </c>
      <c r="U274" s="185" t="str">
        <f t="shared" si="51"/>
        <v>SUBDIRECCION DE GESTION CONTRACTUAL</v>
      </c>
      <c r="V274" s="172" t="str">
        <f t="shared" si="46"/>
        <v>CO-DC</v>
      </c>
      <c r="W274" s="185" t="str">
        <f t="shared" si="47"/>
        <v>Distrito Capital de Bogotá</v>
      </c>
      <c r="X274" s="186" t="s">
        <v>106</v>
      </c>
      <c r="Y274" s="187">
        <v>2427400</v>
      </c>
      <c r="Z274" s="188" t="s">
        <v>382</v>
      </c>
    </row>
    <row r="275" spans="1:26" s="189" customFormat="1" ht="12.75" customHeight="1" x14ac:dyDescent="0.2">
      <c r="A275" s="171" t="s">
        <v>99</v>
      </c>
      <c r="B275" s="172">
        <v>53</v>
      </c>
      <c r="C275" s="173" t="s">
        <v>407</v>
      </c>
      <c r="D275" s="173" t="s">
        <v>100</v>
      </c>
      <c r="E275" s="174"/>
      <c r="F275" s="174">
        <v>469069720</v>
      </c>
      <c r="G275" s="174"/>
      <c r="H275" s="175" t="s">
        <v>801</v>
      </c>
      <c r="I275" s="176" t="s">
        <v>383</v>
      </c>
      <c r="J275" s="177">
        <v>2</v>
      </c>
      <c r="K275" s="178">
        <v>3</v>
      </c>
      <c r="L275" s="179">
        <v>9</v>
      </c>
      <c r="M275" s="172">
        <f t="shared" si="48"/>
        <v>1</v>
      </c>
      <c r="N275" s="180" t="s">
        <v>234</v>
      </c>
      <c r="O275" s="181" t="str">
        <f>IF(ISBLANK(N275),"",VLOOKUP(N275,[10]Parámetros!$G$2:$H$23,2,FALSE))</f>
        <v>Licitación pública</v>
      </c>
      <c r="P275" s="182">
        <v>1</v>
      </c>
      <c r="Q275" s="183">
        <f t="shared" si="49"/>
        <v>469069720</v>
      </c>
      <c r="R275" s="183">
        <f t="shared" si="50"/>
        <v>469069720</v>
      </c>
      <c r="S275" s="184" t="s">
        <v>223</v>
      </c>
      <c r="T275" s="180">
        <v>0</v>
      </c>
      <c r="U275" s="185" t="str">
        <f t="shared" si="51"/>
        <v>SUBDIRECCION DE GESTION CONTRACTUAL</v>
      </c>
      <c r="V275" s="172" t="str">
        <f t="shared" si="46"/>
        <v>CO-DC</v>
      </c>
      <c r="W275" s="185" t="str">
        <f t="shared" si="47"/>
        <v>Distrito Capital de Bogotá</v>
      </c>
      <c r="X275" s="186" t="s">
        <v>106</v>
      </c>
      <c r="Y275" s="187">
        <v>2427400</v>
      </c>
      <c r="Z275" s="188" t="s">
        <v>382</v>
      </c>
    </row>
    <row r="276" spans="1:26" s="189" customFormat="1" ht="12.75" customHeight="1" x14ac:dyDescent="0.2">
      <c r="A276" s="171" t="s">
        <v>99</v>
      </c>
      <c r="B276" s="172">
        <v>54</v>
      </c>
      <c r="C276" s="173" t="s">
        <v>407</v>
      </c>
      <c r="D276" s="173" t="s">
        <v>100</v>
      </c>
      <c r="E276" s="174"/>
      <c r="F276" s="174">
        <v>40000000</v>
      </c>
      <c r="G276" s="174"/>
      <c r="H276" s="175" t="s">
        <v>801</v>
      </c>
      <c r="I276" s="176" t="s">
        <v>383</v>
      </c>
      <c r="J276" s="202">
        <v>1</v>
      </c>
      <c r="K276" s="202">
        <v>2</v>
      </c>
      <c r="L276" s="202">
        <v>3</v>
      </c>
      <c r="M276" s="172">
        <f t="shared" si="48"/>
        <v>1</v>
      </c>
      <c r="N276" s="180" t="s">
        <v>36</v>
      </c>
      <c r="O276" s="181" t="str">
        <f>IF(ISBLANK(N276),"",VLOOKUP(N276,[10]Parámetros!$G$2:$H$23,2,FALSE))</f>
        <v xml:space="preserve">Contratación directa (con ofertas) </v>
      </c>
      <c r="P276" s="182">
        <v>1</v>
      </c>
      <c r="Q276" s="183">
        <f t="shared" si="49"/>
        <v>40000000</v>
      </c>
      <c r="R276" s="183">
        <f t="shared" si="50"/>
        <v>40000000</v>
      </c>
      <c r="S276" s="184" t="s">
        <v>223</v>
      </c>
      <c r="T276" s="180">
        <v>0</v>
      </c>
      <c r="U276" s="185" t="str">
        <f t="shared" si="51"/>
        <v>SUBDIRECCION DE GESTION CONTRACTUAL</v>
      </c>
      <c r="V276" s="172" t="str">
        <f t="shared" si="46"/>
        <v>CO-DC</v>
      </c>
      <c r="W276" s="185" t="str">
        <f t="shared" si="47"/>
        <v>Distrito Capital de Bogotá</v>
      </c>
      <c r="X276" s="186" t="s">
        <v>106</v>
      </c>
      <c r="Y276" s="187">
        <v>2427400</v>
      </c>
      <c r="Z276" s="188" t="s">
        <v>382</v>
      </c>
    </row>
    <row r="277" spans="1:26" s="189" customFormat="1" ht="12.75" customHeight="1" x14ac:dyDescent="0.2">
      <c r="A277" s="171" t="s">
        <v>99</v>
      </c>
      <c r="B277" s="172">
        <v>55</v>
      </c>
      <c r="C277" s="173" t="s">
        <v>407</v>
      </c>
      <c r="D277" s="173" t="s">
        <v>100</v>
      </c>
      <c r="E277" s="174"/>
      <c r="F277" s="174">
        <v>50000000</v>
      </c>
      <c r="G277" s="174"/>
      <c r="H277" s="175" t="s">
        <v>650</v>
      </c>
      <c r="I277" s="176" t="s">
        <v>388</v>
      </c>
      <c r="J277" s="177">
        <v>2</v>
      </c>
      <c r="K277" s="178">
        <v>2</v>
      </c>
      <c r="L277" s="179">
        <v>10</v>
      </c>
      <c r="M277" s="172">
        <f t="shared" si="48"/>
        <v>1</v>
      </c>
      <c r="N277" s="180" t="s">
        <v>36</v>
      </c>
      <c r="O277" s="181" t="str">
        <f>IF(ISBLANK(N277),"",VLOOKUP(N277,[10]Parámetros!$G$2:$H$23,2,FALSE))</f>
        <v xml:space="preserve">Contratación directa (con ofertas) </v>
      </c>
      <c r="P277" s="182">
        <v>1</v>
      </c>
      <c r="Q277" s="183">
        <f t="shared" si="49"/>
        <v>50000000</v>
      </c>
      <c r="R277" s="183">
        <f t="shared" si="50"/>
        <v>50000000</v>
      </c>
      <c r="S277" s="184" t="s">
        <v>223</v>
      </c>
      <c r="T277" s="180">
        <v>0</v>
      </c>
      <c r="U277" s="185" t="str">
        <f t="shared" si="51"/>
        <v>SUBDIRECCION DE GESTION CONTRACTUAL</v>
      </c>
      <c r="V277" s="172" t="str">
        <f t="shared" si="46"/>
        <v>CO-DC</v>
      </c>
      <c r="W277" s="185" t="str">
        <f t="shared" si="47"/>
        <v>Distrito Capital de Bogotá</v>
      </c>
      <c r="X277" s="186" t="s">
        <v>332</v>
      </c>
      <c r="Y277" s="172">
        <v>2427400</v>
      </c>
      <c r="Z277" s="188" t="s">
        <v>94</v>
      </c>
    </row>
    <row r="278" spans="1:26" s="189" customFormat="1" ht="12.75" customHeight="1" x14ac:dyDescent="0.2">
      <c r="A278" s="171" t="s">
        <v>99</v>
      </c>
      <c r="B278" s="172">
        <v>56</v>
      </c>
      <c r="C278" s="173" t="s">
        <v>407</v>
      </c>
      <c r="D278" s="173" t="s">
        <v>100</v>
      </c>
      <c r="E278" s="174"/>
      <c r="F278" s="174">
        <v>78000000</v>
      </c>
      <c r="G278" s="174"/>
      <c r="H278" s="175" t="s">
        <v>384</v>
      </c>
      <c r="I278" s="176" t="s">
        <v>401</v>
      </c>
      <c r="J278" s="193">
        <v>3</v>
      </c>
      <c r="K278" s="193">
        <v>4</v>
      </c>
      <c r="L278" s="193">
        <v>4</v>
      </c>
      <c r="M278" s="172">
        <f t="shared" si="48"/>
        <v>1</v>
      </c>
      <c r="N278" s="180" t="s">
        <v>36</v>
      </c>
      <c r="O278" s="181" t="str">
        <f>IF(ISBLANK(N278),"",VLOOKUP(N278,[10]Parámetros!$G$2:$H$23,2,FALSE))</f>
        <v xml:space="preserve">Contratación directa (con ofertas) </v>
      </c>
      <c r="P278" s="182">
        <v>1</v>
      </c>
      <c r="Q278" s="183">
        <f t="shared" si="49"/>
        <v>78000000</v>
      </c>
      <c r="R278" s="183">
        <f t="shared" si="50"/>
        <v>78000000</v>
      </c>
      <c r="S278" s="184" t="s">
        <v>223</v>
      </c>
      <c r="T278" s="180">
        <v>0</v>
      </c>
      <c r="U278" s="185" t="str">
        <f t="shared" si="51"/>
        <v>SUBDIRECCION DE GESTION CONTRACTUAL</v>
      </c>
      <c r="V278" s="172" t="str">
        <f t="shared" si="46"/>
        <v>CO-DC</v>
      </c>
      <c r="W278" s="185" t="str">
        <f t="shared" si="47"/>
        <v>Distrito Capital de Bogotá</v>
      </c>
      <c r="X278" s="186" t="s">
        <v>106</v>
      </c>
      <c r="Y278" s="187">
        <v>2427400</v>
      </c>
      <c r="Z278" s="188" t="s">
        <v>382</v>
      </c>
    </row>
    <row r="279" spans="1:26" s="189" customFormat="1" ht="12.75" customHeight="1" x14ac:dyDescent="0.2">
      <c r="A279" s="171" t="s">
        <v>99</v>
      </c>
      <c r="B279" s="172">
        <v>57</v>
      </c>
      <c r="C279" s="173" t="s">
        <v>408</v>
      </c>
      <c r="D279" s="173" t="s">
        <v>100</v>
      </c>
      <c r="E279" s="174"/>
      <c r="F279" s="174">
        <v>1377115426</v>
      </c>
      <c r="G279" s="174"/>
      <c r="H279" s="175">
        <v>80111600</v>
      </c>
      <c r="I279" s="176" t="s">
        <v>381</v>
      </c>
      <c r="J279" s="193">
        <v>1</v>
      </c>
      <c r="K279" s="193">
        <v>1</v>
      </c>
      <c r="L279" s="193">
        <v>12</v>
      </c>
      <c r="M279" s="172">
        <f t="shared" si="48"/>
        <v>1</v>
      </c>
      <c r="N279" s="180" t="s">
        <v>216</v>
      </c>
      <c r="O279" s="181" t="str">
        <f>IF(ISBLANK(N279),"",VLOOKUP(N279,[10]Parámetros!$G$2:$H$23,2,FALSE))</f>
        <v>Contratación directa.</v>
      </c>
      <c r="P279" s="182">
        <f>IF(ISBLANK(N279),"",1)</f>
        <v>1</v>
      </c>
      <c r="Q279" s="183">
        <f t="shared" si="49"/>
        <v>1377115426</v>
      </c>
      <c r="R279" s="183">
        <f t="shared" si="50"/>
        <v>1377115426</v>
      </c>
      <c r="S279" s="184" t="s">
        <v>223</v>
      </c>
      <c r="T279" s="180">
        <f>IF(ISBLANK(S279),"",IF(VALUE(S279)=0,0,IF(VALUE(S279)=1,3,"")))</f>
        <v>0</v>
      </c>
      <c r="U279" s="185" t="str">
        <f t="shared" si="51"/>
        <v>SUBDIRECCION DE GESTION CONTRACTUAL</v>
      </c>
      <c r="V279" s="172" t="str">
        <f t="shared" si="46"/>
        <v>CO-DC</v>
      </c>
      <c r="W279" s="185" t="str">
        <f t="shared" si="47"/>
        <v>Distrito Capital de Bogotá</v>
      </c>
      <c r="X279" s="186" t="s">
        <v>106</v>
      </c>
      <c r="Y279" s="187">
        <v>2427400</v>
      </c>
      <c r="Z279" s="188" t="s">
        <v>382</v>
      </c>
    </row>
    <row r="280" spans="1:26" s="189" customFormat="1" ht="12.75" customHeight="1" x14ac:dyDescent="0.2">
      <c r="A280" s="171" t="s">
        <v>99</v>
      </c>
      <c r="B280" s="172">
        <v>58</v>
      </c>
      <c r="C280" s="173" t="s">
        <v>408</v>
      </c>
      <c r="D280" s="173" t="s">
        <v>100</v>
      </c>
      <c r="E280" s="174"/>
      <c r="F280" s="174">
        <v>300495391</v>
      </c>
      <c r="G280" s="174"/>
      <c r="H280" s="175" t="s">
        <v>42</v>
      </c>
      <c r="I280" s="176" t="s">
        <v>387</v>
      </c>
      <c r="J280" s="177">
        <v>3</v>
      </c>
      <c r="K280" s="178">
        <v>4</v>
      </c>
      <c r="L280" s="179">
        <v>9</v>
      </c>
      <c r="M280" s="172">
        <f t="shared" si="48"/>
        <v>1</v>
      </c>
      <c r="N280" s="180" t="s">
        <v>61</v>
      </c>
      <c r="O280" s="181" t="str">
        <f>IF(ISBLANK(N280),"",VLOOKUP(N280,[9]Parámetros!$G$2:$H$23,2,FALSE))</f>
        <v>Contratación régimen especial - Selección de comisionista</v>
      </c>
      <c r="P280" s="182">
        <v>1</v>
      </c>
      <c r="Q280" s="183">
        <f t="shared" si="49"/>
        <v>300495391</v>
      </c>
      <c r="R280" s="183">
        <f t="shared" si="50"/>
        <v>300495391</v>
      </c>
      <c r="S280" s="184" t="s">
        <v>223</v>
      </c>
      <c r="T280" s="180">
        <v>0</v>
      </c>
      <c r="U280" s="185" t="str">
        <f t="shared" si="51"/>
        <v>SUBDIRECCION DE GESTION CONTRACTUAL</v>
      </c>
      <c r="V280" s="172" t="str">
        <f t="shared" si="46"/>
        <v>CO-DC</v>
      </c>
      <c r="W280" s="185" t="str">
        <f t="shared" si="47"/>
        <v>Distrito Capital de Bogotá</v>
      </c>
      <c r="X280" s="186" t="s">
        <v>106</v>
      </c>
      <c r="Y280" s="187">
        <v>2427400</v>
      </c>
      <c r="Z280" s="188" t="s">
        <v>382</v>
      </c>
    </row>
    <row r="281" spans="1:26" s="189" customFormat="1" ht="12.75" customHeight="1" x14ac:dyDescent="0.2">
      <c r="A281" s="171" t="s">
        <v>99</v>
      </c>
      <c r="B281" s="172">
        <v>59</v>
      </c>
      <c r="C281" s="173" t="s">
        <v>408</v>
      </c>
      <c r="D281" s="173" t="s">
        <v>100</v>
      </c>
      <c r="E281" s="174"/>
      <c r="F281" s="174">
        <v>3594000000</v>
      </c>
      <c r="G281" s="174"/>
      <c r="H281" s="175" t="s">
        <v>801</v>
      </c>
      <c r="I281" s="176" t="s">
        <v>383</v>
      </c>
      <c r="J281" s="177">
        <v>2</v>
      </c>
      <c r="K281" s="178">
        <v>3</v>
      </c>
      <c r="L281" s="179">
        <v>9</v>
      </c>
      <c r="M281" s="172">
        <f t="shared" si="48"/>
        <v>1</v>
      </c>
      <c r="N281" s="180" t="s">
        <v>234</v>
      </c>
      <c r="O281" s="181" t="str">
        <f>IF(ISBLANK(N281),"",VLOOKUP(N281,[10]Parámetros!$G$2:$H$23,2,FALSE))</f>
        <v>Licitación pública</v>
      </c>
      <c r="P281" s="182">
        <v>1</v>
      </c>
      <c r="Q281" s="183">
        <f t="shared" si="49"/>
        <v>3594000000</v>
      </c>
      <c r="R281" s="183">
        <f t="shared" si="50"/>
        <v>3594000000</v>
      </c>
      <c r="S281" s="184" t="s">
        <v>223</v>
      </c>
      <c r="T281" s="180">
        <v>0</v>
      </c>
      <c r="U281" s="185" t="str">
        <f t="shared" si="51"/>
        <v>SUBDIRECCION DE GESTION CONTRACTUAL</v>
      </c>
      <c r="V281" s="172" t="str">
        <f t="shared" si="46"/>
        <v>CO-DC</v>
      </c>
      <c r="W281" s="185" t="str">
        <f t="shared" si="47"/>
        <v>Distrito Capital de Bogotá</v>
      </c>
      <c r="X281" s="186" t="s">
        <v>106</v>
      </c>
      <c r="Y281" s="187">
        <v>2427400</v>
      </c>
      <c r="Z281" s="188" t="s">
        <v>382</v>
      </c>
    </row>
    <row r="282" spans="1:26" s="189" customFormat="1" ht="12.75" customHeight="1" x14ac:dyDescent="0.2">
      <c r="A282" s="171" t="s">
        <v>99</v>
      </c>
      <c r="B282" s="172">
        <v>60</v>
      </c>
      <c r="C282" s="173" t="s">
        <v>408</v>
      </c>
      <c r="D282" s="173" t="s">
        <v>100</v>
      </c>
      <c r="E282" s="174"/>
      <c r="F282" s="174">
        <v>50000000</v>
      </c>
      <c r="G282" s="174"/>
      <c r="H282" s="175" t="s">
        <v>801</v>
      </c>
      <c r="I282" s="176" t="s">
        <v>383</v>
      </c>
      <c r="J282" s="202">
        <v>1</v>
      </c>
      <c r="K282" s="202">
        <v>2</v>
      </c>
      <c r="L282" s="202">
        <v>3</v>
      </c>
      <c r="M282" s="172">
        <f t="shared" si="48"/>
        <v>1</v>
      </c>
      <c r="N282" s="180" t="s">
        <v>36</v>
      </c>
      <c r="O282" s="181" t="str">
        <f>IF(ISBLANK(N282),"",VLOOKUP(N282,[10]Parámetros!$G$2:$H$23,2,FALSE))</f>
        <v xml:space="preserve">Contratación directa (con ofertas) </v>
      </c>
      <c r="P282" s="182">
        <v>1</v>
      </c>
      <c r="Q282" s="183">
        <f t="shared" si="49"/>
        <v>50000000</v>
      </c>
      <c r="R282" s="183">
        <f t="shared" si="50"/>
        <v>50000000</v>
      </c>
      <c r="S282" s="184" t="s">
        <v>223</v>
      </c>
      <c r="T282" s="180">
        <v>0</v>
      </c>
      <c r="U282" s="185" t="str">
        <f t="shared" si="51"/>
        <v>SUBDIRECCION DE GESTION CONTRACTUAL</v>
      </c>
      <c r="V282" s="172" t="str">
        <f t="shared" si="46"/>
        <v>CO-DC</v>
      </c>
      <c r="W282" s="185" t="str">
        <f t="shared" si="47"/>
        <v>Distrito Capital de Bogotá</v>
      </c>
      <c r="X282" s="186" t="s">
        <v>106</v>
      </c>
      <c r="Y282" s="187">
        <v>2427400</v>
      </c>
      <c r="Z282" s="188" t="s">
        <v>382</v>
      </c>
    </row>
    <row r="283" spans="1:26" s="189" customFormat="1" ht="12.75" customHeight="1" x14ac:dyDescent="0.2">
      <c r="A283" s="171" t="s">
        <v>99</v>
      </c>
      <c r="B283" s="172">
        <v>61</v>
      </c>
      <c r="C283" s="173" t="s">
        <v>408</v>
      </c>
      <c r="D283" s="173" t="s">
        <v>100</v>
      </c>
      <c r="E283" s="174"/>
      <c r="F283" s="174">
        <v>368000000</v>
      </c>
      <c r="G283" s="174"/>
      <c r="H283" s="175" t="s">
        <v>650</v>
      </c>
      <c r="I283" s="176" t="s">
        <v>388</v>
      </c>
      <c r="J283" s="177">
        <v>2</v>
      </c>
      <c r="K283" s="178">
        <v>2</v>
      </c>
      <c r="L283" s="179">
        <v>10</v>
      </c>
      <c r="M283" s="172">
        <f t="shared" si="48"/>
        <v>1</v>
      </c>
      <c r="N283" s="180" t="s">
        <v>36</v>
      </c>
      <c r="O283" s="181" t="str">
        <f>IF(ISBLANK(N283),"",VLOOKUP(N283,[10]Parámetros!$G$2:$H$23,2,FALSE))</f>
        <v xml:space="preserve">Contratación directa (con ofertas) </v>
      </c>
      <c r="P283" s="182">
        <v>1</v>
      </c>
      <c r="Q283" s="183">
        <f t="shared" si="49"/>
        <v>368000000</v>
      </c>
      <c r="R283" s="183">
        <f t="shared" si="50"/>
        <v>368000000</v>
      </c>
      <c r="S283" s="184" t="s">
        <v>223</v>
      </c>
      <c r="T283" s="180">
        <v>0</v>
      </c>
      <c r="U283" s="185" t="str">
        <f t="shared" si="51"/>
        <v>SUBDIRECCION DE GESTION CONTRACTUAL</v>
      </c>
      <c r="V283" s="172" t="str">
        <f t="shared" si="46"/>
        <v>CO-DC</v>
      </c>
      <c r="W283" s="185" t="str">
        <f t="shared" si="47"/>
        <v>Distrito Capital de Bogotá</v>
      </c>
      <c r="X283" s="186" t="s">
        <v>332</v>
      </c>
      <c r="Y283" s="172">
        <v>2427400</v>
      </c>
      <c r="Z283" s="188" t="s">
        <v>94</v>
      </c>
    </row>
    <row r="284" spans="1:26" s="189" customFormat="1" ht="12.75" customHeight="1" x14ac:dyDescent="0.2">
      <c r="A284" s="171" t="s">
        <v>99</v>
      </c>
      <c r="B284" s="172">
        <v>62</v>
      </c>
      <c r="C284" s="173" t="s">
        <v>408</v>
      </c>
      <c r="D284" s="173" t="s">
        <v>100</v>
      </c>
      <c r="E284" s="174"/>
      <c r="F284" s="174">
        <v>98767510</v>
      </c>
      <c r="G284" s="174"/>
      <c r="H284" s="175" t="s">
        <v>103</v>
      </c>
      <c r="I284" s="176" t="s">
        <v>635</v>
      </c>
      <c r="J284" s="177">
        <v>2</v>
      </c>
      <c r="K284" s="178">
        <v>3</v>
      </c>
      <c r="L284" s="179">
        <v>10</v>
      </c>
      <c r="M284" s="172">
        <f t="shared" si="48"/>
        <v>1</v>
      </c>
      <c r="N284" s="180" t="s">
        <v>36</v>
      </c>
      <c r="O284" s="181" t="str">
        <f>IF(ISBLANK(N284),"",VLOOKUP(N284,[1]Parámetros!$G$2:$H$23,2,FALSE))</f>
        <v xml:space="preserve">Contratación directa (con ofertas) </v>
      </c>
      <c r="P284" s="182">
        <v>1</v>
      </c>
      <c r="Q284" s="183">
        <f t="shared" si="49"/>
        <v>98767510</v>
      </c>
      <c r="R284" s="183">
        <f t="shared" si="50"/>
        <v>98767510</v>
      </c>
      <c r="S284" s="184" t="s">
        <v>223</v>
      </c>
      <c r="T284" s="180">
        <v>0</v>
      </c>
      <c r="U284" s="185" t="str">
        <f t="shared" si="51"/>
        <v>SUBDIRECCION DE GESTION CONTRACTUAL</v>
      </c>
      <c r="V284" s="172" t="str">
        <f t="shared" si="46"/>
        <v>CO-DC</v>
      </c>
      <c r="W284" s="185" t="str">
        <f t="shared" si="47"/>
        <v>Distrito Capital de Bogotá</v>
      </c>
      <c r="X284" s="186" t="s">
        <v>106</v>
      </c>
      <c r="Y284" s="187">
        <v>2427400</v>
      </c>
      <c r="Z284" s="188" t="s">
        <v>382</v>
      </c>
    </row>
    <row r="285" spans="1:26" s="189" customFormat="1" ht="12.75" customHeight="1" x14ac:dyDescent="0.2">
      <c r="A285" s="171" t="s">
        <v>99</v>
      </c>
      <c r="B285" s="172">
        <v>63</v>
      </c>
      <c r="C285" s="173" t="s">
        <v>408</v>
      </c>
      <c r="D285" s="173" t="s">
        <v>100</v>
      </c>
      <c r="E285" s="174"/>
      <c r="F285" s="174">
        <v>27500000</v>
      </c>
      <c r="G285" s="174"/>
      <c r="H285" s="175" t="s">
        <v>51</v>
      </c>
      <c r="I285" s="176" t="s">
        <v>640</v>
      </c>
      <c r="J285" s="177">
        <v>4</v>
      </c>
      <c r="K285" s="178">
        <v>6</v>
      </c>
      <c r="L285" s="179">
        <v>1</v>
      </c>
      <c r="M285" s="172">
        <f t="shared" si="48"/>
        <v>1</v>
      </c>
      <c r="N285" s="180" t="s">
        <v>43</v>
      </c>
      <c r="O285" s="181" t="s">
        <v>44</v>
      </c>
      <c r="P285" s="182">
        <v>1</v>
      </c>
      <c r="Q285" s="183">
        <f t="shared" si="49"/>
        <v>27500000</v>
      </c>
      <c r="R285" s="183">
        <f t="shared" si="50"/>
        <v>27500000</v>
      </c>
      <c r="S285" s="184" t="s">
        <v>223</v>
      </c>
      <c r="T285" s="180">
        <v>0</v>
      </c>
      <c r="U285" s="185" t="str">
        <f t="shared" si="51"/>
        <v>SUBDIRECCION DE GESTION CONTRACTUAL</v>
      </c>
      <c r="V285" s="172" t="str">
        <f t="shared" si="46"/>
        <v>CO-DC</v>
      </c>
      <c r="W285" s="185" t="str">
        <f t="shared" si="47"/>
        <v>Distrito Capital de Bogotá</v>
      </c>
      <c r="X285" s="186" t="s">
        <v>73</v>
      </c>
      <c r="Y285" s="172">
        <v>2427400</v>
      </c>
      <c r="Z285" s="188" t="s">
        <v>74</v>
      </c>
    </row>
    <row r="286" spans="1:26" s="189" customFormat="1" ht="12.75" customHeight="1" x14ac:dyDescent="0.2">
      <c r="A286" s="171" t="s">
        <v>99</v>
      </c>
      <c r="B286" s="172">
        <v>64</v>
      </c>
      <c r="C286" s="173" t="s">
        <v>408</v>
      </c>
      <c r="D286" s="173" t="s">
        <v>100</v>
      </c>
      <c r="E286" s="174"/>
      <c r="F286" s="174">
        <v>1000000000</v>
      </c>
      <c r="G286" s="174"/>
      <c r="H286" s="175" t="s">
        <v>101</v>
      </c>
      <c r="I286" s="176" t="s">
        <v>394</v>
      </c>
      <c r="J286" s="193">
        <v>6</v>
      </c>
      <c r="K286" s="193">
        <v>6</v>
      </c>
      <c r="L286" s="193">
        <v>6</v>
      </c>
      <c r="M286" s="172">
        <f t="shared" si="48"/>
        <v>1</v>
      </c>
      <c r="N286" s="180" t="s">
        <v>36</v>
      </c>
      <c r="O286" s="181" t="str">
        <f>IF(ISBLANK(N286),"",VLOOKUP(N286,[10]Parámetros!$G$2:$H$23,2,FALSE))</f>
        <v xml:space="preserve">Contratación directa (con ofertas) </v>
      </c>
      <c r="P286" s="182">
        <v>1</v>
      </c>
      <c r="Q286" s="183">
        <f t="shared" si="49"/>
        <v>1000000000</v>
      </c>
      <c r="R286" s="183">
        <f t="shared" si="50"/>
        <v>1000000000</v>
      </c>
      <c r="S286" s="184" t="s">
        <v>223</v>
      </c>
      <c r="T286" s="180">
        <v>0</v>
      </c>
      <c r="U286" s="185" t="str">
        <f t="shared" si="51"/>
        <v>SUBDIRECCION DE GESTION CONTRACTUAL</v>
      </c>
      <c r="V286" s="172" t="str">
        <f t="shared" si="46"/>
        <v>CO-DC</v>
      </c>
      <c r="W286" s="185" t="str">
        <f t="shared" si="47"/>
        <v>Distrito Capital de Bogotá</v>
      </c>
      <c r="X286" s="186" t="s">
        <v>106</v>
      </c>
      <c r="Y286" s="187">
        <v>2427400</v>
      </c>
      <c r="Z286" s="188" t="s">
        <v>382</v>
      </c>
    </row>
    <row r="287" spans="1:26" s="189" customFormat="1" ht="12.75" customHeight="1" x14ac:dyDescent="0.2">
      <c r="A287" s="171" t="s">
        <v>99</v>
      </c>
      <c r="B287" s="172">
        <v>65</v>
      </c>
      <c r="C287" s="173" t="s">
        <v>408</v>
      </c>
      <c r="D287" s="173" t="s">
        <v>100</v>
      </c>
      <c r="E287" s="174"/>
      <c r="F287" s="174">
        <v>250000000</v>
      </c>
      <c r="G287" s="174"/>
      <c r="H287" s="175" t="s">
        <v>409</v>
      </c>
      <c r="I287" s="176" t="s">
        <v>410</v>
      </c>
      <c r="J287" s="193">
        <v>3</v>
      </c>
      <c r="K287" s="193">
        <v>4</v>
      </c>
      <c r="L287" s="193">
        <v>7</v>
      </c>
      <c r="M287" s="172">
        <f t="shared" si="48"/>
        <v>1</v>
      </c>
      <c r="N287" s="180" t="s">
        <v>36</v>
      </c>
      <c r="O287" s="181" t="str">
        <f>IF(ISBLANK(N287),"",VLOOKUP(N287,[10]Parámetros!$G$2:$H$23,2,FALSE))</f>
        <v xml:space="preserve">Contratación directa (con ofertas) </v>
      </c>
      <c r="P287" s="182">
        <v>1</v>
      </c>
      <c r="Q287" s="183">
        <f t="shared" si="49"/>
        <v>250000000</v>
      </c>
      <c r="R287" s="183">
        <f t="shared" si="50"/>
        <v>250000000</v>
      </c>
      <c r="S287" s="184" t="s">
        <v>223</v>
      </c>
      <c r="T287" s="180">
        <v>0</v>
      </c>
      <c r="U287" s="185" t="str">
        <f t="shared" si="51"/>
        <v>SUBDIRECCION DE GESTION CONTRACTUAL</v>
      </c>
      <c r="V287" s="172" t="str">
        <f t="shared" si="46"/>
        <v>CO-DC</v>
      </c>
      <c r="W287" s="185" t="str">
        <f t="shared" si="47"/>
        <v>Distrito Capital de Bogotá</v>
      </c>
      <c r="X287" s="186" t="s">
        <v>106</v>
      </c>
      <c r="Y287" s="187">
        <v>2427400</v>
      </c>
      <c r="Z287" s="188" t="s">
        <v>382</v>
      </c>
    </row>
    <row r="288" spans="1:26" s="189" customFormat="1" ht="12.75" customHeight="1" x14ac:dyDescent="0.2">
      <c r="A288" s="171" t="s">
        <v>99</v>
      </c>
      <c r="B288" s="172">
        <v>66</v>
      </c>
      <c r="C288" s="173" t="s">
        <v>408</v>
      </c>
      <c r="D288" s="173" t="s">
        <v>100</v>
      </c>
      <c r="E288" s="174"/>
      <c r="F288" s="174">
        <v>150000000</v>
      </c>
      <c r="G288" s="174"/>
      <c r="H288" s="175" t="s">
        <v>409</v>
      </c>
      <c r="I288" s="176" t="s">
        <v>410</v>
      </c>
      <c r="J288" s="193">
        <v>3</v>
      </c>
      <c r="K288" s="193">
        <v>4</v>
      </c>
      <c r="L288" s="193">
        <v>7</v>
      </c>
      <c r="M288" s="172">
        <f t="shared" si="48"/>
        <v>1</v>
      </c>
      <c r="N288" s="180" t="s">
        <v>36</v>
      </c>
      <c r="O288" s="181" t="str">
        <f>IF(ISBLANK(N288),"",VLOOKUP(N288,[10]Parámetros!$G$2:$H$23,2,FALSE))</f>
        <v xml:space="preserve">Contratación directa (con ofertas) </v>
      </c>
      <c r="P288" s="182">
        <v>1</v>
      </c>
      <c r="Q288" s="183">
        <f t="shared" si="49"/>
        <v>150000000</v>
      </c>
      <c r="R288" s="183">
        <f t="shared" si="50"/>
        <v>150000000</v>
      </c>
      <c r="S288" s="184" t="s">
        <v>223</v>
      </c>
      <c r="T288" s="180">
        <v>0</v>
      </c>
      <c r="U288" s="185" t="str">
        <f t="shared" si="51"/>
        <v>SUBDIRECCION DE GESTION CONTRACTUAL</v>
      </c>
      <c r="V288" s="172" t="str">
        <f t="shared" si="46"/>
        <v>CO-DC</v>
      </c>
      <c r="W288" s="185" t="str">
        <f t="shared" si="47"/>
        <v>Distrito Capital de Bogotá</v>
      </c>
      <c r="X288" s="186" t="s">
        <v>106</v>
      </c>
      <c r="Y288" s="187">
        <v>2427400</v>
      </c>
      <c r="Z288" s="188" t="s">
        <v>382</v>
      </c>
    </row>
    <row r="289" spans="1:26" s="189" customFormat="1" ht="12.75" customHeight="1" x14ac:dyDescent="0.2">
      <c r="A289" s="171" t="s">
        <v>99</v>
      </c>
      <c r="B289" s="172">
        <v>67</v>
      </c>
      <c r="C289" s="173" t="s">
        <v>411</v>
      </c>
      <c r="D289" s="173" t="s">
        <v>100</v>
      </c>
      <c r="E289" s="174"/>
      <c r="F289" s="174">
        <v>5524393742</v>
      </c>
      <c r="G289" s="174"/>
      <c r="H289" s="175">
        <v>80111600</v>
      </c>
      <c r="I289" s="176" t="s">
        <v>381</v>
      </c>
      <c r="J289" s="193">
        <v>1</v>
      </c>
      <c r="K289" s="193">
        <v>1</v>
      </c>
      <c r="L289" s="193">
        <v>12</v>
      </c>
      <c r="M289" s="172">
        <f t="shared" si="48"/>
        <v>1</v>
      </c>
      <c r="N289" s="180" t="s">
        <v>216</v>
      </c>
      <c r="O289" s="181" t="str">
        <f>IF(ISBLANK(N289),"",VLOOKUP(N289,[10]Parámetros!$G$2:$H$23,2,FALSE))</f>
        <v>Contratación directa.</v>
      </c>
      <c r="P289" s="182">
        <f>IF(ISBLANK(N289),"",1)</f>
        <v>1</v>
      </c>
      <c r="Q289" s="183">
        <f t="shared" si="49"/>
        <v>5524393742</v>
      </c>
      <c r="R289" s="183">
        <f t="shared" si="50"/>
        <v>5524393742</v>
      </c>
      <c r="S289" s="184" t="s">
        <v>223</v>
      </c>
      <c r="T289" s="180">
        <f>IF(ISBLANK(S289),"",IF(VALUE(S289)=0,0,IF(VALUE(S289)=1,3,"")))</f>
        <v>0</v>
      </c>
      <c r="U289" s="185" t="str">
        <f t="shared" si="51"/>
        <v>SUBDIRECCION DE GESTION CONTRACTUAL</v>
      </c>
      <c r="V289" s="172" t="str">
        <f t="shared" ref="V289:V354" si="52">IF(ISBLANK(N289),"","CO-DC")</f>
        <v>CO-DC</v>
      </c>
      <c r="W289" s="185" t="str">
        <f t="shared" ref="W289:W354" si="53">IF(ISBLANK(N289),"","Distrito Capital de Bogotá")</f>
        <v>Distrito Capital de Bogotá</v>
      </c>
      <c r="X289" s="186" t="s">
        <v>106</v>
      </c>
      <c r="Y289" s="187">
        <v>2427400</v>
      </c>
      <c r="Z289" s="188" t="s">
        <v>382</v>
      </c>
    </row>
    <row r="290" spans="1:26" s="189" customFormat="1" ht="12.75" customHeight="1" x14ac:dyDescent="0.2">
      <c r="A290" s="171" t="s">
        <v>99</v>
      </c>
      <c r="B290" s="172">
        <v>68</v>
      </c>
      <c r="C290" s="173" t="s">
        <v>411</v>
      </c>
      <c r="D290" s="173" t="s">
        <v>100</v>
      </c>
      <c r="E290" s="174"/>
      <c r="F290" s="174">
        <v>200000000</v>
      </c>
      <c r="G290" s="174"/>
      <c r="H290" s="175" t="s">
        <v>42</v>
      </c>
      <c r="I290" s="176" t="s">
        <v>387</v>
      </c>
      <c r="J290" s="177">
        <v>3</v>
      </c>
      <c r="K290" s="178">
        <v>4</v>
      </c>
      <c r="L290" s="179">
        <v>9</v>
      </c>
      <c r="M290" s="172">
        <f t="shared" si="48"/>
        <v>1</v>
      </c>
      <c r="N290" s="180" t="s">
        <v>61</v>
      </c>
      <c r="O290" s="181" t="str">
        <f>IF(ISBLANK(N290),"",VLOOKUP(N290,[9]Parámetros!$G$2:$H$23,2,FALSE))</f>
        <v>Contratación régimen especial - Selección de comisionista</v>
      </c>
      <c r="P290" s="182">
        <v>1</v>
      </c>
      <c r="Q290" s="183">
        <f t="shared" si="49"/>
        <v>200000000</v>
      </c>
      <c r="R290" s="183">
        <f t="shared" si="50"/>
        <v>200000000</v>
      </c>
      <c r="S290" s="184" t="s">
        <v>223</v>
      </c>
      <c r="T290" s="180">
        <v>0</v>
      </c>
      <c r="U290" s="185" t="str">
        <f t="shared" si="51"/>
        <v>SUBDIRECCION DE GESTION CONTRACTUAL</v>
      </c>
      <c r="V290" s="172" t="str">
        <f t="shared" si="52"/>
        <v>CO-DC</v>
      </c>
      <c r="W290" s="185" t="str">
        <f t="shared" si="53"/>
        <v>Distrito Capital de Bogotá</v>
      </c>
      <c r="X290" s="186" t="s">
        <v>106</v>
      </c>
      <c r="Y290" s="187">
        <v>2427400</v>
      </c>
      <c r="Z290" s="188" t="s">
        <v>382</v>
      </c>
    </row>
    <row r="291" spans="1:26" s="189" customFormat="1" ht="12.75" customHeight="1" x14ac:dyDescent="0.2">
      <c r="A291" s="171" t="s">
        <v>99</v>
      </c>
      <c r="B291" s="172">
        <v>69</v>
      </c>
      <c r="C291" s="173" t="s">
        <v>411</v>
      </c>
      <c r="D291" s="173" t="s">
        <v>100</v>
      </c>
      <c r="E291" s="174"/>
      <c r="F291" s="174">
        <v>1200000000</v>
      </c>
      <c r="G291" s="174"/>
      <c r="H291" s="175" t="s">
        <v>801</v>
      </c>
      <c r="I291" s="176" t="s">
        <v>383</v>
      </c>
      <c r="J291" s="177">
        <v>2</v>
      </c>
      <c r="K291" s="178">
        <v>3</v>
      </c>
      <c r="L291" s="179">
        <v>9</v>
      </c>
      <c r="M291" s="172">
        <f t="shared" si="48"/>
        <v>1</v>
      </c>
      <c r="N291" s="180" t="s">
        <v>234</v>
      </c>
      <c r="O291" s="181" t="str">
        <f>IF(ISBLANK(N291),"",VLOOKUP(N291,[10]Parámetros!$G$2:$H$23,2,FALSE))</f>
        <v>Licitación pública</v>
      </c>
      <c r="P291" s="182">
        <v>1</v>
      </c>
      <c r="Q291" s="183">
        <f t="shared" si="49"/>
        <v>1200000000</v>
      </c>
      <c r="R291" s="183">
        <f t="shared" si="50"/>
        <v>1200000000</v>
      </c>
      <c r="S291" s="184" t="s">
        <v>223</v>
      </c>
      <c r="T291" s="180">
        <v>0</v>
      </c>
      <c r="U291" s="185" t="str">
        <f t="shared" si="51"/>
        <v>SUBDIRECCION DE GESTION CONTRACTUAL</v>
      </c>
      <c r="V291" s="172" t="str">
        <f t="shared" si="52"/>
        <v>CO-DC</v>
      </c>
      <c r="W291" s="185" t="str">
        <f t="shared" si="53"/>
        <v>Distrito Capital de Bogotá</v>
      </c>
      <c r="X291" s="186" t="s">
        <v>106</v>
      </c>
      <c r="Y291" s="187">
        <v>2427400</v>
      </c>
      <c r="Z291" s="188" t="s">
        <v>382</v>
      </c>
    </row>
    <row r="292" spans="1:26" s="189" customFormat="1" ht="12.75" customHeight="1" x14ac:dyDescent="0.2">
      <c r="A292" s="171" t="s">
        <v>99</v>
      </c>
      <c r="B292" s="172">
        <v>70</v>
      </c>
      <c r="C292" s="173" t="s">
        <v>411</v>
      </c>
      <c r="D292" s="173" t="s">
        <v>100</v>
      </c>
      <c r="E292" s="174"/>
      <c r="F292" s="174">
        <v>300000000</v>
      </c>
      <c r="G292" s="174"/>
      <c r="H292" s="175" t="s">
        <v>801</v>
      </c>
      <c r="I292" s="176" t="s">
        <v>383</v>
      </c>
      <c r="J292" s="202">
        <v>1</v>
      </c>
      <c r="K292" s="202">
        <v>2</v>
      </c>
      <c r="L292" s="202">
        <v>3</v>
      </c>
      <c r="M292" s="172">
        <f t="shared" si="48"/>
        <v>1</v>
      </c>
      <c r="N292" s="180" t="s">
        <v>36</v>
      </c>
      <c r="O292" s="181" t="str">
        <f>IF(ISBLANK(N292),"",VLOOKUP(N292,[10]Parámetros!$G$2:$H$23,2,FALSE))</f>
        <v xml:space="preserve">Contratación directa (con ofertas) </v>
      </c>
      <c r="P292" s="182">
        <v>1</v>
      </c>
      <c r="Q292" s="183">
        <f t="shared" si="49"/>
        <v>300000000</v>
      </c>
      <c r="R292" s="183">
        <f t="shared" si="50"/>
        <v>300000000</v>
      </c>
      <c r="S292" s="184" t="s">
        <v>223</v>
      </c>
      <c r="T292" s="180">
        <v>0</v>
      </c>
      <c r="U292" s="185" t="str">
        <f t="shared" si="51"/>
        <v>SUBDIRECCION DE GESTION CONTRACTUAL</v>
      </c>
      <c r="V292" s="172" t="str">
        <f t="shared" si="52"/>
        <v>CO-DC</v>
      </c>
      <c r="W292" s="185" t="str">
        <f t="shared" si="53"/>
        <v>Distrito Capital de Bogotá</v>
      </c>
      <c r="X292" s="186" t="s">
        <v>106</v>
      </c>
      <c r="Y292" s="187">
        <v>2427400</v>
      </c>
      <c r="Z292" s="188" t="s">
        <v>382</v>
      </c>
    </row>
    <row r="293" spans="1:26" s="189" customFormat="1" ht="12.75" customHeight="1" x14ac:dyDescent="0.2">
      <c r="A293" s="171" t="s">
        <v>99</v>
      </c>
      <c r="B293" s="172">
        <v>71</v>
      </c>
      <c r="C293" s="173" t="s">
        <v>411</v>
      </c>
      <c r="D293" s="173" t="s">
        <v>100</v>
      </c>
      <c r="E293" s="174"/>
      <c r="F293" s="174">
        <v>734787929</v>
      </c>
      <c r="G293" s="174"/>
      <c r="H293" s="175" t="s">
        <v>103</v>
      </c>
      <c r="I293" s="176" t="s">
        <v>635</v>
      </c>
      <c r="J293" s="177">
        <v>2</v>
      </c>
      <c r="K293" s="178">
        <v>3</v>
      </c>
      <c r="L293" s="179">
        <v>10</v>
      </c>
      <c r="M293" s="172">
        <f t="shared" si="48"/>
        <v>1</v>
      </c>
      <c r="N293" s="180" t="s">
        <v>36</v>
      </c>
      <c r="O293" s="181" t="str">
        <f>IF(ISBLANK(N293),"",VLOOKUP(N293,[1]Parámetros!$G$2:$H$23,2,FALSE))</f>
        <v xml:space="preserve">Contratación directa (con ofertas) </v>
      </c>
      <c r="P293" s="182">
        <v>1</v>
      </c>
      <c r="Q293" s="183">
        <f t="shared" si="49"/>
        <v>734787929</v>
      </c>
      <c r="R293" s="183">
        <f t="shared" si="50"/>
        <v>734787929</v>
      </c>
      <c r="S293" s="184" t="s">
        <v>223</v>
      </c>
      <c r="T293" s="180">
        <v>0</v>
      </c>
      <c r="U293" s="185" t="str">
        <f t="shared" si="51"/>
        <v>SUBDIRECCION DE GESTION CONTRACTUAL</v>
      </c>
      <c r="V293" s="172" t="str">
        <f t="shared" si="52"/>
        <v>CO-DC</v>
      </c>
      <c r="W293" s="185" t="str">
        <f t="shared" si="53"/>
        <v>Distrito Capital de Bogotá</v>
      </c>
      <c r="X293" s="186" t="s">
        <v>106</v>
      </c>
      <c r="Y293" s="187">
        <v>2427400</v>
      </c>
      <c r="Z293" s="188" t="s">
        <v>382</v>
      </c>
    </row>
    <row r="294" spans="1:26" s="189" customFormat="1" ht="12.75" customHeight="1" x14ac:dyDescent="0.2">
      <c r="A294" s="171" t="s">
        <v>99</v>
      </c>
      <c r="B294" s="172">
        <v>72</v>
      </c>
      <c r="C294" s="173" t="s">
        <v>411</v>
      </c>
      <c r="D294" s="173" t="s">
        <v>100</v>
      </c>
      <c r="E294" s="174"/>
      <c r="F294" s="174">
        <v>100000000</v>
      </c>
      <c r="G294" s="174"/>
      <c r="H294" s="175" t="s">
        <v>80</v>
      </c>
      <c r="I294" s="176" t="s">
        <v>412</v>
      </c>
      <c r="J294" s="193">
        <v>4</v>
      </c>
      <c r="K294" s="193">
        <v>5</v>
      </c>
      <c r="L294" s="193">
        <v>2</v>
      </c>
      <c r="M294" s="172">
        <f t="shared" si="48"/>
        <v>1</v>
      </c>
      <c r="N294" s="180" t="s">
        <v>43</v>
      </c>
      <c r="O294" s="181" t="s">
        <v>44</v>
      </c>
      <c r="P294" s="182">
        <v>1</v>
      </c>
      <c r="Q294" s="183">
        <f t="shared" si="49"/>
        <v>100000000</v>
      </c>
      <c r="R294" s="183">
        <f t="shared" si="50"/>
        <v>100000000</v>
      </c>
      <c r="S294" s="184" t="s">
        <v>223</v>
      </c>
      <c r="T294" s="180">
        <v>0</v>
      </c>
      <c r="U294" s="185" t="str">
        <f t="shared" si="51"/>
        <v>SUBDIRECCION DE GESTION CONTRACTUAL</v>
      </c>
      <c r="V294" s="172" t="str">
        <f t="shared" si="52"/>
        <v>CO-DC</v>
      </c>
      <c r="W294" s="185" t="str">
        <f t="shared" si="53"/>
        <v>Distrito Capital de Bogotá</v>
      </c>
      <c r="X294" s="186" t="s">
        <v>106</v>
      </c>
      <c r="Y294" s="187">
        <v>2427400</v>
      </c>
      <c r="Z294" s="188" t="s">
        <v>382</v>
      </c>
    </row>
    <row r="295" spans="1:26" s="189" customFormat="1" ht="12.75" customHeight="1" x14ac:dyDescent="0.2">
      <c r="A295" s="171" t="s">
        <v>99</v>
      </c>
      <c r="B295" s="172">
        <v>73</v>
      </c>
      <c r="C295" s="173" t="s">
        <v>411</v>
      </c>
      <c r="D295" s="173" t="s">
        <v>100</v>
      </c>
      <c r="E295" s="174"/>
      <c r="F295" s="174">
        <v>110000000</v>
      </c>
      <c r="G295" s="174"/>
      <c r="H295" s="175" t="s">
        <v>395</v>
      </c>
      <c r="I295" s="176" t="s">
        <v>413</v>
      </c>
      <c r="J295" s="193">
        <v>3</v>
      </c>
      <c r="K295" s="193">
        <v>3</v>
      </c>
      <c r="L295" s="193">
        <v>5</v>
      </c>
      <c r="M295" s="172">
        <f t="shared" si="48"/>
        <v>1</v>
      </c>
      <c r="N295" s="180" t="s">
        <v>43</v>
      </c>
      <c r="O295" s="181" t="s">
        <v>44</v>
      </c>
      <c r="P295" s="182">
        <v>1</v>
      </c>
      <c r="Q295" s="183">
        <f t="shared" si="49"/>
        <v>110000000</v>
      </c>
      <c r="R295" s="183">
        <f t="shared" si="50"/>
        <v>110000000</v>
      </c>
      <c r="S295" s="184" t="s">
        <v>223</v>
      </c>
      <c r="T295" s="180">
        <v>0</v>
      </c>
      <c r="U295" s="185" t="str">
        <f t="shared" si="51"/>
        <v>SUBDIRECCION DE GESTION CONTRACTUAL</v>
      </c>
      <c r="V295" s="172" t="str">
        <f t="shared" si="52"/>
        <v>CO-DC</v>
      </c>
      <c r="W295" s="185" t="str">
        <f t="shared" si="53"/>
        <v>Distrito Capital de Bogotá</v>
      </c>
      <c r="X295" s="186" t="s">
        <v>106</v>
      </c>
      <c r="Y295" s="187">
        <v>2427400</v>
      </c>
      <c r="Z295" s="188" t="s">
        <v>382</v>
      </c>
    </row>
    <row r="296" spans="1:26" s="189" customFormat="1" ht="12.75" customHeight="1" x14ac:dyDescent="0.2">
      <c r="A296" s="171" t="s">
        <v>99</v>
      </c>
      <c r="B296" s="172">
        <v>74</v>
      </c>
      <c r="C296" s="173" t="s">
        <v>411</v>
      </c>
      <c r="D296" s="173" t="s">
        <v>100</v>
      </c>
      <c r="E296" s="174"/>
      <c r="F296" s="174">
        <v>41740000000</v>
      </c>
      <c r="G296" s="174"/>
      <c r="H296" s="175" t="s">
        <v>101</v>
      </c>
      <c r="I296" s="176" t="s">
        <v>394</v>
      </c>
      <c r="J296" s="193">
        <v>6</v>
      </c>
      <c r="K296" s="193">
        <v>6</v>
      </c>
      <c r="L296" s="193">
        <v>6</v>
      </c>
      <c r="M296" s="172">
        <f t="shared" si="48"/>
        <v>1</v>
      </c>
      <c r="N296" s="180" t="s">
        <v>36</v>
      </c>
      <c r="O296" s="181" t="str">
        <f>IF(ISBLANK(N296),"",VLOOKUP(N296,[10]Parámetros!$G$2:$H$23,2,FALSE))</f>
        <v xml:space="preserve">Contratación directa (con ofertas) </v>
      </c>
      <c r="P296" s="182">
        <v>1</v>
      </c>
      <c r="Q296" s="183">
        <f t="shared" si="49"/>
        <v>41740000000</v>
      </c>
      <c r="R296" s="183">
        <f t="shared" si="50"/>
        <v>41740000000</v>
      </c>
      <c r="S296" s="184" t="s">
        <v>223</v>
      </c>
      <c r="T296" s="180">
        <v>0</v>
      </c>
      <c r="U296" s="185" t="str">
        <f t="shared" si="51"/>
        <v>SUBDIRECCION DE GESTION CONTRACTUAL</v>
      </c>
      <c r="V296" s="172" t="str">
        <f t="shared" si="52"/>
        <v>CO-DC</v>
      </c>
      <c r="W296" s="185" t="str">
        <f t="shared" si="53"/>
        <v>Distrito Capital de Bogotá</v>
      </c>
      <c r="X296" s="186" t="s">
        <v>106</v>
      </c>
      <c r="Y296" s="187">
        <v>2427400</v>
      </c>
      <c r="Z296" s="188" t="s">
        <v>382</v>
      </c>
    </row>
    <row r="297" spans="1:26" s="189" customFormat="1" ht="12.75" customHeight="1" x14ac:dyDescent="0.2">
      <c r="A297" s="171" t="s">
        <v>99</v>
      </c>
      <c r="B297" s="172">
        <v>75</v>
      </c>
      <c r="C297" s="173" t="s">
        <v>411</v>
      </c>
      <c r="D297" s="173" t="s">
        <v>100</v>
      </c>
      <c r="E297" s="174"/>
      <c r="F297" s="174">
        <v>1400000000</v>
      </c>
      <c r="G297" s="174"/>
      <c r="H297" s="175" t="s">
        <v>384</v>
      </c>
      <c r="I297" s="176" t="s">
        <v>414</v>
      </c>
      <c r="J297" s="193">
        <v>2</v>
      </c>
      <c r="K297" s="193">
        <v>3</v>
      </c>
      <c r="L297" s="193">
        <v>4</v>
      </c>
      <c r="M297" s="172">
        <f t="shared" si="48"/>
        <v>1</v>
      </c>
      <c r="N297" s="180" t="s">
        <v>43</v>
      </c>
      <c r="O297" s="181" t="s">
        <v>44</v>
      </c>
      <c r="P297" s="182">
        <v>1</v>
      </c>
      <c r="Q297" s="183">
        <f t="shared" si="49"/>
        <v>1400000000</v>
      </c>
      <c r="R297" s="183">
        <f t="shared" si="50"/>
        <v>1400000000</v>
      </c>
      <c r="S297" s="184" t="s">
        <v>223</v>
      </c>
      <c r="T297" s="180">
        <v>0</v>
      </c>
      <c r="U297" s="185" t="str">
        <f t="shared" si="51"/>
        <v>SUBDIRECCION DE GESTION CONTRACTUAL</v>
      </c>
      <c r="V297" s="172" t="str">
        <f t="shared" si="52"/>
        <v>CO-DC</v>
      </c>
      <c r="W297" s="185" t="str">
        <f t="shared" si="53"/>
        <v>Distrito Capital de Bogotá</v>
      </c>
      <c r="X297" s="186" t="s">
        <v>106</v>
      </c>
      <c r="Y297" s="187">
        <v>2427400</v>
      </c>
      <c r="Z297" s="188" t="s">
        <v>382</v>
      </c>
    </row>
    <row r="298" spans="1:26" s="189" customFormat="1" ht="12.75" customHeight="1" x14ac:dyDescent="0.2">
      <c r="A298" s="171" t="s">
        <v>99</v>
      </c>
      <c r="B298" s="172">
        <v>76</v>
      </c>
      <c r="C298" s="173" t="s">
        <v>411</v>
      </c>
      <c r="D298" s="173" t="s">
        <v>100</v>
      </c>
      <c r="E298" s="174"/>
      <c r="F298" s="174">
        <v>1800000000</v>
      </c>
      <c r="G298" s="174"/>
      <c r="H298" s="175" t="s">
        <v>395</v>
      </c>
      <c r="I298" s="176" t="s">
        <v>415</v>
      </c>
      <c r="J298" s="193">
        <v>2</v>
      </c>
      <c r="K298" s="193">
        <v>3</v>
      </c>
      <c r="L298" s="193">
        <v>9</v>
      </c>
      <c r="M298" s="172">
        <f t="shared" si="48"/>
        <v>1</v>
      </c>
      <c r="N298" s="180" t="s">
        <v>36</v>
      </c>
      <c r="O298" s="181" t="str">
        <f>IF(ISBLANK(N298),"",VLOOKUP(N298,[10]Parámetros!$G$2:$H$23,2,FALSE))</f>
        <v xml:space="preserve">Contratación directa (con ofertas) </v>
      </c>
      <c r="P298" s="182">
        <v>1</v>
      </c>
      <c r="Q298" s="183">
        <f t="shared" si="49"/>
        <v>1800000000</v>
      </c>
      <c r="R298" s="183">
        <f t="shared" si="50"/>
        <v>1800000000</v>
      </c>
      <c r="S298" s="184" t="s">
        <v>223</v>
      </c>
      <c r="T298" s="180">
        <v>0</v>
      </c>
      <c r="U298" s="185" t="str">
        <f t="shared" si="51"/>
        <v>SUBDIRECCION DE GESTION CONTRACTUAL</v>
      </c>
      <c r="V298" s="172" t="str">
        <f t="shared" si="52"/>
        <v>CO-DC</v>
      </c>
      <c r="W298" s="185" t="str">
        <f t="shared" si="53"/>
        <v>Distrito Capital de Bogotá</v>
      </c>
      <c r="X298" s="186" t="s">
        <v>106</v>
      </c>
      <c r="Y298" s="187">
        <v>2427400</v>
      </c>
      <c r="Z298" s="188" t="s">
        <v>382</v>
      </c>
    </row>
    <row r="299" spans="1:26" s="189" customFormat="1" ht="12.75" customHeight="1" x14ac:dyDescent="0.2">
      <c r="A299" s="171" t="s">
        <v>99</v>
      </c>
      <c r="B299" s="172">
        <v>77</v>
      </c>
      <c r="C299" s="173" t="s">
        <v>411</v>
      </c>
      <c r="D299" s="173" t="s">
        <v>100</v>
      </c>
      <c r="E299" s="174"/>
      <c r="F299" s="174">
        <v>750000000</v>
      </c>
      <c r="G299" s="174"/>
      <c r="H299" s="175" t="s">
        <v>105</v>
      </c>
      <c r="I299" s="176" t="s">
        <v>416</v>
      </c>
      <c r="J299" s="193">
        <v>3</v>
      </c>
      <c r="K299" s="193">
        <v>3</v>
      </c>
      <c r="L299" s="193">
        <v>9</v>
      </c>
      <c r="M299" s="172">
        <f t="shared" si="48"/>
        <v>1</v>
      </c>
      <c r="N299" s="180" t="s">
        <v>36</v>
      </c>
      <c r="O299" s="181" t="str">
        <f>IF(ISBLANK(N299),"",VLOOKUP(N299,[10]Parámetros!$G$2:$H$23,2,FALSE))</f>
        <v xml:space="preserve">Contratación directa (con ofertas) </v>
      </c>
      <c r="P299" s="182">
        <v>1</v>
      </c>
      <c r="Q299" s="183">
        <f t="shared" si="49"/>
        <v>750000000</v>
      </c>
      <c r="R299" s="183">
        <f t="shared" si="50"/>
        <v>750000000</v>
      </c>
      <c r="S299" s="184" t="s">
        <v>223</v>
      </c>
      <c r="T299" s="180">
        <v>0</v>
      </c>
      <c r="U299" s="185" t="str">
        <f t="shared" si="51"/>
        <v>SUBDIRECCION DE GESTION CONTRACTUAL</v>
      </c>
      <c r="V299" s="172" t="str">
        <f t="shared" si="52"/>
        <v>CO-DC</v>
      </c>
      <c r="W299" s="185" t="str">
        <f t="shared" si="53"/>
        <v>Distrito Capital de Bogotá</v>
      </c>
      <c r="X299" s="186" t="s">
        <v>106</v>
      </c>
      <c r="Y299" s="187">
        <v>2427400</v>
      </c>
      <c r="Z299" s="188" t="s">
        <v>382</v>
      </c>
    </row>
    <row r="300" spans="1:26" s="189" customFormat="1" ht="12.75" customHeight="1" x14ac:dyDescent="0.2">
      <c r="A300" s="171" t="s">
        <v>99</v>
      </c>
      <c r="B300" s="172">
        <v>78</v>
      </c>
      <c r="C300" s="173" t="s">
        <v>411</v>
      </c>
      <c r="D300" s="173" t="s">
        <v>100</v>
      </c>
      <c r="E300" s="174"/>
      <c r="F300" s="174">
        <v>150000000</v>
      </c>
      <c r="G300" s="174"/>
      <c r="H300" s="175" t="s">
        <v>650</v>
      </c>
      <c r="I300" s="176" t="s">
        <v>388</v>
      </c>
      <c r="J300" s="177">
        <v>2</v>
      </c>
      <c r="K300" s="178">
        <v>2</v>
      </c>
      <c r="L300" s="179">
        <v>10</v>
      </c>
      <c r="M300" s="172">
        <f t="shared" si="48"/>
        <v>1</v>
      </c>
      <c r="N300" s="180" t="s">
        <v>36</v>
      </c>
      <c r="O300" s="181" t="str">
        <f>IF(ISBLANK(N300),"",VLOOKUP(N300,[10]Parámetros!$G$2:$H$23,2,FALSE))</f>
        <v xml:space="preserve">Contratación directa (con ofertas) </v>
      </c>
      <c r="P300" s="182">
        <v>1</v>
      </c>
      <c r="Q300" s="183">
        <f t="shared" si="49"/>
        <v>150000000</v>
      </c>
      <c r="R300" s="183">
        <f t="shared" si="50"/>
        <v>150000000</v>
      </c>
      <c r="S300" s="184" t="s">
        <v>223</v>
      </c>
      <c r="T300" s="180">
        <v>0</v>
      </c>
      <c r="U300" s="185" t="str">
        <f t="shared" si="51"/>
        <v>SUBDIRECCION DE GESTION CONTRACTUAL</v>
      </c>
      <c r="V300" s="172" t="str">
        <f t="shared" si="52"/>
        <v>CO-DC</v>
      </c>
      <c r="W300" s="185" t="str">
        <f t="shared" si="53"/>
        <v>Distrito Capital de Bogotá</v>
      </c>
      <c r="X300" s="186" t="s">
        <v>332</v>
      </c>
      <c r="Y300" s="172">
        <v>2427400</v>
      </c>
      <c r="Z300" s="188" t="s">
        <v>94</v>
      </c>
    </row>
    <row r="301" spans="1:26" s="189" customFormat="1" ht="12.75" customHeight="1" x14ac:dyDescent="0.2">
      <c r="A301" s="171" t="s">
        <v>99</v>
      </c>
      <c r="B301" s="172">
        <v>79</v>
      </c>
      <c r="C301" s="173" t="s">
        <v>417</v>
      </c>
      <c r="D301" s="173" t="s">
        <v>104</v>
      </c>
      <c r="E301" s="174"/>
      <c r="F301" s="174">
        <v>4000000000</v>
      </c>
      <c r="G301" s="174"/>
      <c r="H301" s="175" t="s">
        <v>395</v>
      </c>
      <c r="I301" s="176" t="s">
        <v>415</v>
      </c>
      <c r="J301" s="193">
        <v>2</v>
      </c>
      <c r="K301" s="193">
        <v>3</v>
      </c>
      <c r="L301" s="193">
        <v>9</v>
      </c>
      <c r="M301" s="172">
        <f t="shared" si="48"/>
        <v>1</v>
      </c>
      <c r="N301" s="180" t="s">
        <v>36</v>
      </c>
      <c r="O301" s="181" t="str">
        <f>IF(ISBLANK(N301),"",VLOOKUP(N301,[10]Parámetros!$G$2:$H$23,2,FALSE))</f>
        <v xml:space="preserve">Contratación directa (con ofertas) </v>
      </c>
      <c r="P301" s="182">
        <v>1</v>
      </c>
      <c r="Q301" s="183">
        <f t="shared" si="49"/>
        <v>4000000000</v>
      </c>
      <c r="R301" s="183">
        <f t="shared" si="50"/>
        <v>4000000000</v>
      </c>
      <c r="S301" s="184" t="s">
        <v>223</v>
      </c>
      <c r="T301" s="180">
        <v>0</v>
      </c>
      <c r="U301" s="185" t="str">
        <f t="shared" si="51"/>
        <v>SUBDIRECCION DE GESTION CONTRACTUAL</v>
      </c>
      <c r="V301" s="172" t="str">
        <f t="shared" si="52"/>
        <v>CO-DC</v>
      </c>
      <c r="W301" s="185" t="str">
        <f t="shared" si="53"/>
        <v>Distrito Capital de Bogotá</v>
      </c>
      <c r="X301" s="186" t="s">
        <v>106</v>
      </c>
      <c r="Y301" s="187">
        <v>2427400</v>
      </c>
      <c r="Z301" s="188" t="s">
        <v>382</v>
      </c>
    </row>
    <row r="302" spans="1:26" s="189" customFormat="1" ht="12.75" customHeight="1" x14ac:dyDescent="0.2">
      <c r="A302" s="171" t="s">
        <v>99</v>
      </c>
      <c r="B302" s="172">
        <v>80</v>
      </c>
      <c r="C302" s="173" t="s">
        <v>417</v>
      </c>
      <c r="D302" s="173" t="s">
        <v>104</v>
      </c>
      <c r="E302" s="174"/>
      <c r="F302" s="174">
        <v>3000000000</v>
      </c>
      <c r="G302" s="174"/>
      <c r="H302" s="175" t="s">
        <v>418</v>
      </c>
      <c r="I302" s="176" t="s">
        <v>419</v>
      </c>
      <c r="J302" s="193">
        <v>6</v>
      </c>
      <c r="K302" s="193">
        <v>7</v>
      </c>
      <c r="L302" s="193">
        <v>5</v>
      </c>
      <c r="M302" s="172">
        <f t="shared" si="48"/>
        <v>1</v>
      </c>
      <c r="N302" s="180" t="s">
        <v>36</v>
      </c>
      <c r="O302" s="181" t="str">
        <f>IF(ISBLANK(N302),"",VLOOKUP(N302,[10]Parámetros!$G$2:$H$23,2,FALSE))</f>
        <v xml:space="preserve">Contratación directa (con ofertas) </v>
      </c>
      <c r="P302" s="182">
        <v>1</v>
      </c>
      <c r="Q302" s="183">
        <f t="shared" si="49"/>
        <v>3000000000</v>
      </c>
      <c r="R302" s="183">
        <f t="shared" si="50"/>
        <v>3000000000</v>
      </c>
      <c r="S302" s="184" t="s">
        <v>223</v>
      </c>
      <c r="T302" s="180">
        <v>0</v>
      </c>
      <c r="U302" s="185" t="str">
        <f t="shared" si="51"/>
        <v>SUBDIRECCION DE GESTION CONTRACTUAL</v>
      </c>
      <c r="V302" s="172" t="str">
        <f t="shared" si="52"/>
        <v>CO-DC</v>
      </c>
      <c r="W302" s="185" t="str">
        <f t="shared" si="53"/>
        <v>Distrito Capital de Bogotá</v>
      </c>
      <c r="X302" s="186" t="s">
        <v>106</v>
      </c>
      <c r="Y302" s="187">
        <v>2427400</v>
      </c>
      <c r="Z302" s="188" t="s">
        <v>382</v>
      </c>
    </row>
    <row r="303" spans="1:26" s="189" customFormat="1" ht="12.75" customHeight="1" x14ac:dyDescent="0.2">
      <c r="A303" s="171" t="s">
        <v>99</v>
      </c>
      <c r="B303" s="172">
        <v>81</v>
      </c>
      <c r="C303" s="173" t="s">
        <v>417</v>
      </c>
      <c r="D303" s="173" t="s">
        <v>104</v>
      </c>
      <c r="E303" s="174"/>
      <c r="F303" s="174">
        <v>900000000</v>
      </c>
      <c r="G303" s="174"/>
      <c r="H303" s="175" t="s">
        <v>409</v>
      </c>
      <c r="I303" s="176" t="s">
        <v>420</v>
      </c>
      <c r="J303" s="193">
        <v>3</v>
      </c>
      <c r="K303" s="193">
        <v>4</v>
      </c>
      <c r="L303" s="193">
        <v>8</v>
      </c>
      <c r="M303" s="172">
        <f t="shared" si="48"/>
        <v>1</v>
      </c>
      <c r="N303" s="180" t="s">
        <v>36</v>
      </c>
      <c r="O303" s="181" t="str">
        <f>IF(ISBLANK(N303),"",VLOOKUP(N303,[10]Parámetros!$G$2:$H$23,2,FALSE))</f>
        <v xml:space="preserve">Contratación directa (con ofertas) </v>
      </c>
      <c r="P303" s="182">
        <v>1</v>
      </c>
      <c r="Q303" s="183">
        <f t="shared" si="49"/>
        <v>900000000</v>
      </c>
      <c r="R303" s="183">
        <f t="shared" si="50"/>
        <v>900000000</v>
      </c>
      <c r="S303" s="184" t="s">
        <v>223</v>
      </c>
      <c r="T303" s="180">
        <v>0</v>
      </c>
      <c r="U303" s="185" t="str">
        <f t="shared" si="51"/>
        <v>SUBDIRECCION DE GESTION CONTRACTUAL</v>
      </c>
      <c r="V303" s="172" t="str">
        <f t="shared" si="52"/>
        <v>CO-DC</v>
      </c>
      <c r="W303" s="185" t="str">
        <f t="shared" si="53"/>
        <v>Distrito Capital de Bogotá</v>
      </c>
      <c r="X303" s="186" t="s">
        <v>106</v>
      </c>
      <c r="Y303" s="187">
        <v>2427400</v>
      </c>
      <c r="Z303" s="188" t="s">
        <v>382</v>
      </c>
    </row>
    <row r="304" spans="1:26" s="189" customFormat="1" ht="12.75" customHeight="1" x14ac:dyDescent="0.2">
      <c r="A304" s="171" t="s">
        <v>99</v>
      </c>
      <c r="B304" s="172">
        <v>82</v>
      </c>
      <c r="C304" s="173" t="s">
        <v>417</v>
      </c>
      <c r="D304" s="173" t="s">
        <v>104</v>
      </c>
      <c r="E304" s="174"/>
      <c r="F304" s="174">
        <v>3180800000</v>
      </c>
      <c r="G304" s="174"/>
      <c r="H304" s="175" t="s">
        <v>421</v>
      </c>
      <c r="I304" s="231" t="s">
        <v>422</v>
      </c>
      <c r="J304" s="193">
        <v>3</v>
      </c>
      <c r="K304" s="193">
        <v>4</v>
      </c>
      <c r="L304" s="193">
        <v>8</v>
      </c>
      <c r="M304" s="172">
        <f t="shared" si="48"/>
        <v>1</v>
      </c>
      <c r="N304" s="180" t="s">
        <v>36</v>
      </c>
      <c r="O304" s="181" t="str">
        <f>IF(ISBLANK(N304),"",VLOOKUP(N304,[10]Parámetros!$G$2:$H$23,2,FALSE))</f>
        <v xml:space="preserve">Contratación directa (con ofertas) </v>
      </c>
      <c r="P304" s="182">
        <v>1</v>
      </c>
      <c r="Q304" s="183">
        <f t="shared" si="49"/>
        <v>3180800000</v>
      </c>
      <c r="R304" s="183">
        <f t="shared" si="50"/>
        <v>3180800000</v>
      </c>
      <c r="S304" s="184" t="s">
        <v>223</v>
      </c>
      <c r="T304" s="180">
        <v>0</v>
      </c>
      <c r="U304" s="185" t="str">
        <f t="shared" si="51"/>
        <v>SUBDIRECCION DE GESTION CONTRACTUAL</v>
      </c>
      <c r="V304" s="172" t="str">
        <f t="shared" si="52"/>
        <v>CO-DC</v>
      </c>
      <c r="W304" s="185" t="str">
        <f t="shared" si="53"/>
        <v>Distrito Capital de Bogotá</v>
      </c>
      <c r="X304" s="186" t="s">
        <v>106</v>
      </c>
      <c r="Y304" s="187">
        <v>2427400</v>
      </c>
      <c r="Z304" s="188" t="s">
        <v>382</v>
      </c>
    </row>
    <row r="305" spans="1:26" s="189" customFormat="1" ht="12.75" customHeight="1" x14ac:dyDescent="0.2">
      <c r="A305" s="171" t="s">
        <v>99</v>
      </c>
      <c r="B305" s="172">
        <v>83</v>
      </c>
      <c r="C305" s="173" t="s">
        <v>417</v>
      </c>
      <c r="D305" s="173" t="s">
        <v>104</v>
      </c>
      <c r="E305" s="174"/>
      <c r="F305" s="174">
        <v>3000000000</v>
      </c>
      <c r="G305" s="174"/>
      <c r="H305" s="175" t="s">
        <v>801</v>
      </c>
      <c r="I305" s="176" t="s">
        <v>383</v>
      </c>
      <c r="J305" s="202">
        <v>1</v>
      </c>
      <c r="K305" s="202">
        <v>2</v>
      </c>
      <c r="L305" s="202">
        <v>3</v>
      </c>
      <c r="M305" s="172">
        <f t="shared" si="48"/>
        <v>1</v>
      </c>
      <c r="N305" s="180" t="s">
        <v>36</v>
      </c>
      <c r="O305" s="181" t="str">
        <f>IF(ISBLANK(N305),"",VLOOKUP(N305,[10]Parámetros!$G$2:$H$23,2,FALSE))</f>
        <v xml:space="preserve">Contratación directa (con ofertas) </v>
      </c>
      <c r="P305" s="182">
        <v>1</v>
      </c>
      <c r="Q305" s="183">
        <f t="shared" si="49"/>
        <v>3000000000</v>
      </c>
      <c r="R305" s="183">
        <f t="shared" si="50"/>
        <v>3000000000</v>
      </c>
      <c r="S305" s="184" t="s">
        <v>223</v>
      </c>
      <c r="T305" s="180">
        <v>0</v>
      </c>
      <c r="U305" s="185" t="str">
        <f t="shared" si="51"/>
        <v>SUBDIRECCION DE GESTION CONTRACTUAL</v>
      </c>
      <c r="V305" s="172" t="str">
        <f t="shared" si="52"/>
        <v>CO-DC</v>
      </c>
      <c r="W305" s="185" t="str">
        <f t="shared" si="53"/>
        <v>Distrito Capital de Bogotá</v>
      </c>
      <c r="X305" s="186" t="s">
        <v>106</v>
      </c>
      <c r="Y305" s="187">
        <v>2427400</v>
      </c>
      <c r="Z305" s="188" t="s">
        <v>382</v>
      </c>
    </row>
    <row r="306" spans="1:26" s="189" customFormat="1" ht="12.75" customHeight="1" x14ac:dyDescent="0.2">
      <c r="A306" s="171" t="s">
        <v>99</v>
      </c>
      <c r="B306" s="172">
        <v>84</v>
      </c>
      <c r="C306" s="173" t="s">
        <v>417</v>
      </c>
      <c r="D306" s="173" t="s">
        <v>104</v>
      </c>
      <c r="E306" s="174"/>
      <c r="F306" s="174">
        <v>9000000000</v>
      </c>
      <c r="G306" s="174"/>
      <c r="H306" s="175" t="s">
        <v>395</v>
      </c>
      <c r="I306" s="176" t="s">
        <v>423</v>
      </c>
      <c r="J306" s="193">
        <v>3</v>
      </c>
      <c r="K306" s="193">
        <v>4</v>
      </c>
      <c r="L306" s="193">
        <v>8</v>
      </c>
      <c r="M306" s="172">
        <f t="shared" si="48"/>
        <v>1</v>
      </c>
      <c r="N306" s="180" t="s">
        <v>36</v>
      </c>
      <c r="O306" s="181" t="str">
        <f>IF(ISBLANK(N306),"",VLOOKUP(N306,[10]Parámetros!$G$2:$H$23,2,FALSE))</f>
        <v xml:space="preserve">Contratación directa (con ofertas) </v>
      </c>
      <c r="P306" s="182">
        <v>1</v>
      </c>
      <c r="Q306" s="183">
        <f t="shared" si="49"/>
        <v>9000000000</v>
      </c>
      <c r="R306" s="183">
        <f t="shared" si="50"/>
        <v>9000000000</v>
      </c>
      <c r="S306" s="184" t="s">
        <v>223</v>
      </c>
      <c r="T306" s="180">
        <v>0</v>
      </c>
      <c r="U306" s="185" t="str">
        <f t="shared" si="51"/>
        <v>SUBDIRECCION DE GESTION CONTRACTUAL</v>
      </c>
      <c r="V306" s="172" t="str">
        <f t="shared" si="52"/>
        <v>CO-DC</v>
      </c>
      <c r="W306" s="185" t="str">
        <f t="shared" si="53"/>
        <v>Distrito Capital de Bogotá</v>
      </c>
      <c r="X306" s="186" t="s">
        <v>106</v>
      </c>
      <c r="Y306" s="187">
        <v>2427400</v>
      </c>
      <c r="Z306" s="188" t="s">
        <v>382</v>
      </c>
    </row>
    <row r="307" spans="1:26" s="189" customFormat="1" ht="12.75" customHeight="1" x14ac:dyDescent="0.2">
      <c r="A307" s="171" t="s">
        <v>99</v>
      </c>
      <c r="B307" s="172">
        <v>85</v>
      </c>
      <c r="C307" s="173" t="s">
        <v>417</v>
      </c>
      <c r="D307" s="173" t="s">
        <v>104</v>
      </c>
      <c r="E307" s="174"/>
      <c r="F307" s="174">
        <v>22070000000</v>
      </c>
      <c r="G307" s="174"/>
      <c r="H307" s="175" t="s">
        <v>101</v>
      </c>
      <c r="I307" s="176" t="s">
        <v>394</v>
      </c>
      <c r="J307" s="193">
        <v>6</v>
      </c>
      <c r="K307" s="193">
        <v>6</v>
      </c>
      <c r="L307" s="193">
        <v>6</v>
      </c>
      <c r="M307" s="172">
        <f t="shared" si="48"/>
        <v>1</v>
      </c>
      <c r="N307" s="180" t="s">
        <v>36</v>
      </c>
      <c r="O307" s="181" t="str">
        <f>IF(ISBLANK(N307),"",VLOOKUP(N307,[10]Parámetros!$G$2:$H$23,2,FALSE))</f>
        <v xml:space="preserve">Contratación directa (con ofertas) </v>
      </c>
      <c r="P307" s="182">
        <v>1</v>
      </c>
      <c r="Q307" s="183">
        <f t="shared" si="49"/>
        <v>22070000000</v>
      </c>
      <c r="R307" s="183">
        <f t="shared" si="50"/>
        <v>22070000000</v>
      </c>
      <c r="S307" s="184" t="s">
        <v>223</v>
      </c>
      <c r="T307" s="180">
        <v>0</v>
      </c>
      <c r="U307" s="185" t="str">
        <f t="shared" si="51"/>
        <v>SUBDIRECCION DE GESTION CONTRACTUAL</v>
      </c>
      <c r="V307" s="172" t="str">
        <f t="shared" si="52"/>
        <v>CO-DC</v>
      </c>
      <c r="W307" s="185" t="str">
        <f t="shared" si="53"/>
        <v>Distrito Capital de Bogotá</v>
      </c>
      <c r="X307" s="186" t="s">
        <v>106</v>
      </c>
      <c r="Y307" s="187">
        <v>2427400</v>
      </c>
      <c r="Z307" s="188" t="s">
        <v>382</v>
      </c>
    </row>
    <row r="308" spans="1:26" s="189" customFormat="1" ht="12.75" customHeight="1" x14ac:dyDescent="0.2">
      <c r="A308" s="171" t="s">
        <v>99</v>
      </c>
      <c r="B308" s="172">
        <v>86</v>
      </c>
      <c r="C308" s="173" t="s">
        <v>417</v>
      </c>
      <c r="D308" s="173" t="s">
        <v>104</v>
      </c>
      <c r="E308" s="174"/>
      <c r="F308" s="174">
        <v>4000000000</v>
      </c>
      <c r="G308" s="174"/>
      <c r="H308" s="175" t="s">
        <v>424</v>
      </c>
      <c r="I308" s="176" t="s">
        <v>425</v>
      </c>
      <c r="J308" s="193">
        <v>3</v>
      </c>
      <c r="K308" s="193">
        <v>4</v>
      </c>
      <c r="L308" s="193">
        <v>8</v>
      </c>
      <c r="M308" s="172">
        <f t="shared" si="48"/>
        <v>1</v>
      </c>
      <c r="N308" s="180" t="s">
        <v>36</v>
      </c>
      <c r="O308" s="181" t="str">
        <f>IF(ISBLANK(N308),"",VLOOKUP(N308,[10]Parámetros!$G$2:$H$23,2,FALSE))</f>
        <v xml:space="preserve">Contratación directa (con ofertas) </v>
      </c>
      <c r="P308" s="182">
        <v>1</v>
      </c>
      <c r="Q308" s="183">
        <f t="shared" si="49"/>
        <v>4000000000</v>
      </c>
      <c r="R308" s="183">
        <f t="shared" si="50"/>
        <v>4000000000</v>
      </c>
      <c r="S308" s="184" t="s">
        <v>223</v>
      </c>
      <c r="T308" s="180">
        <v>0</v>
      </c>
      <c r="U308" s="185" t="str">
        <f t="shared" si="51"/>
        <v>SUBDIRECCION DE GESTION CONTRACTUAL</v>
      </c>
      <c r="V308" s="172" t="str">
        <f t="shared" si="52"/>
        <v>CO-DC</v>
      </c>
      <c r="W308" s="185" t="str">
        <f t="shared" si="53"/>
        <v>Distrito Capital de Bogotá</v>
      </c>
      <c r="X308" s="186" t="s">
        <v>106</v>
      </c>
      <c r="Y308" s="187">
        <v>2427400</v>
      </c>
      <c r="Z308" s="188" t="s">
        <v>382</v>
      </c>
    </row>
    <row r="309" spans="1:26" s="189" customFormat="1" ht="12.75" customHeight="1" x14ac:dyDescent="0.2">
      <c r="A309" s="171" t="s">
        <v>99</v>
      </c>
      <c r="B309" s="172">
        <v>87</v>
      </c>
      <c r="C309" s="173" t="s">
        <v>417</v>
      </c>
      <c r="D309" s="173" t="s">
        <v>104</v>
      </c>
      <c r="E309" s="174"/>
      <c r="F309" s="174">
        <v>849200000</v>
      </c>
      <c r="G309" s="174"/>
      <c r="H309" s="175" t="s">
        <v>418</v>
      </c>
      <c r="I309" s="176" t="s">
        <v>419</v>
      </c>
      <c r="J309" s="193">
        <v>6</v>
      </c>
      <c r="K309" s="193">
        <v>7</v>
      </c>
      <c r="L309" s="193">
        <v>5</v>
      </c>
      <c r="M309" s="172">
        <f t="shared" si="48"/>
        <v>1</v>
      </c>
      <c r="N309" s="180" t="s">
        <v>36</v>
      </c>
      <c r="O309" s="181" t="str">
        <f>IF(ISBLANK(N309),"",VLOOKUP(N309,[10]Parámetros!$G$2:$H$23,2,FALSE))</f>
        <v xml:space="preserve">Contratación directa (con ofertas) </v>
      </c>
      <c r="P309" s="182">
        <v>1</v>
      </c>
      <c r="Q309" s="183">
        <f t="shared" si="49"/>
        <v>849200000</v>
      </c>
      <c r="R309" s="183">
        <f t="shared" si="50"/>
        <v>849200000</v>
      </c>
      <c r="S309" s="184" t="s">
        <v>223</v>
      </c>
      <c r="T309" s="180">
        <v>0</v>
      </c>
      <c r="U309" s="185" t="str">
        <f t="shared" si="51"/>
        <v>SUBDIRECCION DE GESTION CONTRACTUAL</v>
      </c>
      <c r="V309" s="172" t="str">
        <f t="shared" si="52"/>
        <v>CO-DC</v>
      </c>
      <c r="W309" s="185" t="str">
        <f t="shared" si="53"/>
        <v>Distrito Capital de Bogotá</v>
      </c>
      <c r="X309" s="186" t="s">
        <v>106</v>
      </c>
      <c r="Y309" s="187">
        <v>2427400</v>
      </c>
      <c r="Z309" s="188" t="s">
        <v>382</v>
      </c>
    </row>
    <row r="310" spans="1:26" s="189" customFormat="1" ht="12.75" customHeight="1" x14ac:dyDescent="0.2">
      <c r="A310" s="171" t="s">
        <v>99</v>
      </c>
      <c r="B310" s="172">
        <v>88</v>
      </c>
      <c r="C310" s="173" t="s">
        <v>426</v>
      </c>
      <c r="D310" s="173" t="s">
        <v>427</v>
      </c>
      <c r="E310" s="174"/>
      <c r="F310" s="174">
        <v>950000000</v>
      </c>
      <c r="G310" s="174"/>
      <c r="H310" s="175" t="s">
        <v>101</v>
      </c>
      <c r="I310" s="176" t="s">
        <v>394</v>
      </c>
      <c r="J310" s="193">
        <v>6</v>
      </c>
      <c r="K310" s="193">
        <v>6</v>
      </c>
      <c r="L310" s="193">
        <v>6</v>
      </c>
      <c r="M310" s="172">
        <f t="shared" si="48"/>
        <v>1</v>
      </c>
      <c r="N310" s="180" t="s">
        <v>36</v>
      </c>
      <c r="O310" s="181" t="str">
        <f>IF(ISBLANK(N310),"",VLOOKUP(N310,[10]Parámetros!$G$2:$H$23,2,FALSE))</f>
        <v xml:space="preserve">Contratación directa (con ofertas) </v>
      </c>
      <c r="P310" s="182">
        <v>1</v>
      </c>
      <c r="Q310" s="183">
        <f t="shared" si="49"/>
        <v>950000000</v>
      </c>
      <c r="R310" s="183">
        <f t="shared" si="50"/>
        <v>950000000</v>
      </c>
      <c r="S310" s="184" t="s">
        <v>223</v>
      </c>
      <c r="T310" s="180">
        <v>0</v>
      </c>
      <c r="U310" s="185" t="str">
        <f t="shared" si="51"/>
        <v>SUBDIRECCION DE GESTION CONTRACTUAL</v>
      </c>
      <c r="V310" s="172" t="str">
        <f t="shared" si="52"/>
        <v>CO-DC</v>
      </c>
      <c r="W310" s="185" t="str">
        <f t="shared" si="53"/>
        <v>Distrito Capital de Bogotá</v>
      </c>
      <c r="X310" s="186" t="s">
        <v>106</v>
      </c>
      <c r="Y310" s="187">
        <v>2427400</v>
      </c>
      <c r="Z310" s="188" t="s">
        <v>382</v>
      </c>
    </row>
    <row r="311" spans="1:26" s="189" customFormat="1" ht="12.75" customHeight="1" x14ac:dyDescent="0.2">
      <c r="A311" s="171" t="s">
        <v>99</v>
      </c>
      <c r="B311" s="172">
        <v>89</v>
      </c>
      <c r="C311" s="173" t="s">
        <v>426</v>
      </c>
      <c r="D311" s="173" t="s">
        <v>427</v>
      </c>
      <c r="E311" s="174"/>
      <c r="F311" s="174">
        <v>440000000</v>
      </c>
      <c r="G311" s="174"/>
      <c r="H311" s="175" t="s">
        <v>409</v>
      </c>
      <c r="I311" s="176" t="s">
        <v>410</v>
      </c>
      <c r="J311" s="193">
        <v>3</v>
      </c>
      <c r="K311" s="193">
        <v>4</v>
      </c>
      <c r="L311" s="193">
        <v>7</v>
      </c>
      <c r="M311" s="172">
        <f t="shared" si="48"/>
        <v>1</v>
      </c>
      <c r="N311" s="180" t="s">
        <v>36</v>
      </c>
      <c r="O311" s="181" t="str">
        <f>IF(ISBLANK(N311),"",VLOOKUP(N311,[10]Parámetros!$G$2:$H$23,2,FALSE))</f>
        <v xml:space="preserve">Contratación directa (con ofertas) </v>
      </c>
      <c r="P311" s="182">
        <v>1</v>
      </c>
      <c r="Q311" s="183">
        <f t="shared" si="49"/>
        <v>440000000</v>
      </c>
      <c r="R311" s="183">
        <f t="shared" si="50"/>
        <v>440000000</v>
      </c>
      <c r="S311" s="184" t="s">
        <v>223</v>
      </c>
      <c r="T311" s="180">
        <v>0</v>
      </c>
      <c r="U311" s="185" t="str">
        <f t="shared" si="51"/>
        <v>SUBDIRECCION DE GESTION CONTRACTUAL</v>
      </c>
      <c r="V311" s="172" t="str">
        <f t="shared" si="52"/>
        <v>CO-DC</v>
      </c>
      <c r="W311" s="185" t="str">
        <f t="shared" si="53"/>
        <v>Distrito Capital de Bogotá</v>
      </c>
      <c r="X311" s="186" t="s">
        <v>106</v>
      </c>
      <c r="Y311" s="187">
        <v>2427400</v>
      </c>
      <c r="Z311" s="188" t="s">
        <v>382</v>
      </c>
    </row>
    <row r="312" spans="1:26" s="189" customFormat="1" ht="12.75" customHeight="1" thickBot="1" x14ac:dyDescent="0.25">
      <c r="A312" s="232" t="s">
        <v>99</v>
      </c>
      <c r="B312" s="233">
        <v>90</v>
      </c>
      <c r="C312" s="234" t="s">
        <v>426</v>
      </c>
      <c r="D312" s="234" t="s">
        <v>427</v>
      </c>
      <c r="E312" s="235"/>
      <c r="F312" s="235">
        <v>610000000</v>
      </c>
      <c r="G312" s="235"/>
      <c r="H312" s="236" t="s">
        <v>409</v>
      </c>
      <c r="I312" s="237" t="s">
        <v>428</v>
      </c>
      <c r="J312" s="238">
        <v>3</v>
      </c>
      <c r="K312" s="238">
        <v>4</v>
      </c>
      <c r="L312" s="238">
        <v>7</v>
      </c>
      <c r="M312" s="172">
        <f t="shared" si="48"/>
        <v>1</v>
      </c>
      <c r="N312" s="180" t="s">
        <v>36</v>
      </c>
      <c r="O312" s="181" t="str">
        <f>IF(ISBLANK(N312),"",VLOOKUP(N312,[10]Parámetros!$G$2:$H$23,2,FALSE))</f>
        <v xml:space="preserve">Contratación directa (con ofertas) </v>
      </c>
      <c r="P312" s="239">
        <v>1</v>
      </c>
      <c r="Q312" s="183">
        <f t="shared" si="49"/>
        <v>610000000</v>
      </c>
      <c r="R312" s="183">
        <f t="shared" si="50"/>
        <v>610000000</v>
      </c>
      <c r="S312" s="240" t="s">
        <v>223</v>
      </c>
      <c r="T312" s="241">
        <v>0</v>
      </c>
      <c r="U312" s="185" t="str">
        <f t="shared" si="51"/>
        <v>SUBDIRECCION DE GESTION CONTRACTUAL</v>
      </c>
      <c r="V312" s="233" t="str">
        <f t="shared" si="52"/>
        <v>CO-DC</v>
      </c>
      <c r="W312" s="242" t="str">
        <f t="shared" si="53"/>
        <v>Distrito Capital de Bogotá</v>
      </c>
      <c r="X312" s="243" t="s">
        <v>106</v>
      </c>
      <c r="Y312" s="187">
        <v>2427400</v>
      </c>
      <c r="Z312" s="244" t="s">
        <v>382</v>
      </c>
    </row>
    <row r="313" spans="1:26" s="189" customFormat="1" ht="12.75" customHeight="1" x14ac:dyDescent="0.2">
      <c r="A313" s="172" t="s">
        <v>169</v>
      </c>
      <c r="B313" s="172">
        <v>1</v>
      </c>
      <c r="C313" s="173" t="s">
        <v>429</v>
      </c>
      <c r="D313" s="245" t="s">
        <v>847</v>
      </c>
      <c r="E313" s="174"/>
      <c r="F313" s="174">
        <f>8521050000-215000000</f>
        <v>8306050000</v>
      </c>
      <c r="G313" s="174"/>
      <c r="H313" s="175">
        <v>80111600</v>
      </c>
      <c r="I313" s="231" t="s">
        <v>430</v>
      </c>
      <c r="J313" s="193">
        <v>1</v>
      </c>
      <c r="K313" s="193">
        <v>1</v>
      </c>
      <c r="L313" s="193">
        <v>12</v>
      </c>
      <c r="M313" s="172">
        <f t="shared" si="48"/>
        <v>1</v>
      </c>
      <c r="N313" s="180" t="s">
        <v>216</v>
      </c>
      <c r="O313" s="181" t="str">
        <f>IF(ISBLANK(N313),"",VLOOKUP(N313,[11]Parámetros!$G$2:$H$23,2,FALSE))</f>
        <v>Contratación directa.</v>
      </c>
      <c r="P313" s="182">
        <f t="shared" ref="P313:P346" si="54">IF(ISBLANK(N313),"",1)</f>
        <v>1</v>
      </c>
      <c r="Q313" s="183">
        <f t="shared" si="49"/>
        <v>8306050000</v>
      </c>
      <c r="R313" s="183">
        <f t="shared" si="50"/>
        <v>8306050000</v>
      </c>
      <c r="S313" s="184" t="s">
        <v>223</v>
      </c>
      <c r="T313" s="180">
        <f t="shared" ref="T313:T346" si="55">IF(ISBLANK(S313),"",IF(VALUE(S313)=0,0,IF(VALUE(S313)=1,3,"")))</f>
        <v>0</v>
      </c>
      <c r="U313" s="185" t="str">
        <f t="shared" si="51"/>
        <v>SUBDIRECCION DE GESTION CONTRACTUAL</v>
      </c>
      <c r="V313" s="172" t="str">
        <f t="shared" si="52"/>
        <v>CO-DC</v>
      </c>
      <c r="W313" s="185" t="str">
        <f t="shared" si="53"/>
        <v>Distrito Capital de Bogotá</v>
      </c>
      <c r="X313" s="186" t="s">
        <v>170</v>
      </c>
      <c r="Y313" s="172">
        <v>2427400</v>
      </c>
      <c r="Z313" s="186" t="s">
        <v>171</v>
      </c>
    </row>
    <row r="314" spans="1:26" s="189" customFormat="1" ht="12.75" customHeight="1" x14ac:dyDescent="0.2">
      <c r="A314" s="172" t="s">
        <v>169</v>
      </c>
      <c r="B314" s="172">
        <v>2</v>
      </c>
      <c r="C314" s="173" t="s">
        <v>429</v>
      </c>
      <c r="D314" s="245" t="s">
        <v>847</v>
      </c>
      <c r="E314" s="174"/>
      <c r="F314" s="174">
        <v>1200000000</v>
      </c>
      <c r="G314" s="174"/>
      <c r="H314" s="175" t="s">
        <v>801</v>
      </c>
      <c r="I314" s="176" t="s">
        <v>431</v>
      </c>
      <c r="J314" s="177">
        <v>2</v>
      </c>
      <c r="K314" s="178">
        <v>3</v>
      </c>
      <c r="L314" s="179">
        <v>9</v>
      </c>
      <c r="M314" s="172">
        <f t="shared" si="48"/>
        <v>1</v>
      </c>
      <c r="N314" s="180" t="s">
        <v>234</v>
      </c>
      <c r="O314" s="181" t="str">
        <f>IF(ISBLANK(N314),"",VLOOKUP(N314,[11]Parámetros!$G$2:$H$23,2,FALSE))</f>
        <v>Licitación pública</v>
      </c>
      <c r="P314" s="182">
        <f t="shared" si="54"/>
        <v>1</v>
      </c>
      <c r="Q314" s="183">
        <f t="shared" si="49"/>
        <v>1200000000</v>
      </c>
      <c r="R314" s="183">
        <f t="shared" si="50"/>
        <v>1200000000</v>
      </c>
      <c r="S314" s="184" t="s">
        <v>223</v>
      </c>
      <c r="T314" s="180">
        <f t="shared" si="55"/>
        <v>0</v>
      </c>
      <c r="U314" s="185" t="str">
        <f t="shared" si="51"/>
        <v>SUBDIRECCION DE GESTION CONTRACTUAL</v>
      </c>
      <c r="V314" s="172" t="str">
        <f t="shared" si="52"/>
        <v>CO-DC</v>
      </c>
      <c r="W314" s="185" t="str">
        <f t="shared" si="53"/>
        <v>Distrito Capital de Bogotá</v>
      </c>
      <c r="X314" s="186" t="s">
        <v>170</v>
      </c>
      <c r="Y314" s="172">
        <v>2427400</v>
      </c>
      <c r="Z314" s="186" t="s">
        <v>171</v>
      </c>
    </row>
    <row r="315" spans="1:26" s="189" customFormat="1" ht="12.75" customHeight="1" x14ac:dyDescent="0.2">
      <c r="A315" s="172" t="s">
        <v>169</v>
      </c>
      <c r="B315" s="172">
        <v>3</v>
      </c>
      <c r="C315" s="173" t="s">
        <v>429</v>
      </c>
      <c r="D315" s="245" t="s">
        <v>847</v>
      </c>
      <c r="E315" s="174">
        <v>29702409.983999997</v>
      </c>
      <c r="F315" s="174">
        <v>445000000</v>
      </c>
      <c r="G315" s="174"/>
      <c r="H315" s="175" t="s">
        <v>42</v>
      </c>
      <c r="I315" s="176" t="s">
        <v>432</v>
      </c>
      <c r="J315" s="177">
        <v>3</v>
      </c>
      <c r="K315" s="178">
        <v>4</v>
      </c>
      <c r="L315" s="179">
        <v>9</v>
      </c>
      <c r="M315" s="172">
        <f t="shared" si="48"/>
        <v>1</v>
      </c>
      <c r="N315" s="180" t="s">
        <v>61</v>
      </c>
      <c r="O315" s="181" t="str">
        <f>IF(ISBLANK(N315),"",VLOOKUP(N315,[9]Parámetros!$G$2:$H$23,2,FALSE))</f>
        <v>Contratación régimen especial - Selección de comisionista</v>
      </c>
      <c r="P315" s="182">
        <f t="shared" si="54"/>
        <v>1</v>
      </c>
      <c r="Q315" s="183">
        <f t="shared" si="49"/>
        <v>474702409.98399997</v>
      </c>
      <c r="R315" s="183">
        <f t="shared" si="50"/>
        <v>445000000</v>
      </c>
      <c r="S315" s="184" t="s">
        <v>223</v>
      </c>
      <c r="T315" s="180">
        <f t="shared" si="55"/>
        <v>0</v>
      </c>
      <c r="U315" s="185" t="str">
        <f t="shared" si="51"/>
        <v>SUBDIRECCION DE GESTION CONTRACTUAL</v>
      </c>
      <c r="V315" s="172" t="str">
        <f t="shared" si="52"/>
        <v>CO-DC</v>
      </c>
      <c r="W315" s="185" t="str">
        <f t="shared" si="53"/>
        <v>Distrito Capital de Bogotá</v>
      </c>
      <c r="X315" s="186" t="s">
        <v>170</v>
      </c>
      <c r="Y315" s="172">
        <v>2427400</v>
      </c>
      <c r="Z315" s="186" t="s">
        <v>171</v>
      </c>
    </row>
    <row r="316" spans="1:26" s="189" customFormat="1" ht="12.75" customHeight="1" x14ac:dyDescent="0.2">
      <c r="A316" s="172" t="s">
        <v>169</v>
      </c>
      <c r="B316" s="172">
        <v>4</v>
      </c>
      <c r="C316" s="173" t="s">
        <v>429</v>
      </c>
      <c r="D316" s="245" t="s">
        <v>847</v>
      </c>
      <c r="E316" s="174"/>
      <c r="F316" s="174">
        <v>75000000</v>
      </c>
      <c r="G316" s="174"/>
      <c r="H316" s="175" t="s">
        <v>650</v>
      </c>
      <c r="I316" s="176" t="s">
        <v>433</v>
      </c>
      <c r="J316" s="177">
        <v>2</v>
      </c>
      <c r="K316" s="178">
        <v>2</v>
      </c>
      <c r="L316" s="179">
        <v>10</v>
      </c>
      <c r="M316" s="172">
        <f t="shared" si="48"/>
        <v>1</v>
      </c>
      <c r="N316" s="180" t="s">
        <v>36</v>
      </c>
      <c r="O316" s="181" t="str">
        <f>IF(ISBLANK(N316),"",VLOOKUP(N316,[11]Parámetros!$G$2:$H$23,2,FALSE))</f>
        <v xml:space="preserve">Contratación directa (con ofertas) </v>
      </c>
      <c r="P316" s="182">
        <f t="shared" si="54"/>
        <v>1</v>
      </c>
      <c r="Q316" s="183">
        <f t="shared" si="49"/>
        <v>75000000</v>
      </c>
      <c r="R316" s="183">
        <f t="shared" si="50"/>
        <v>75000000</v>
      </c>
      <c r="S316" s="184" t="s">
        <v>223</v>
      </c>
      <c r="T316" s="180">
        <f t="shared" si="55"/>
        <v>0</v>
      </c>
      <c r="U316" s="185" t="str">
        <f t="shared" si="51"/>
        <v>SUBDIRECCION DE GESTION CONTRACTUAL</v>
      </c>
      <c r="V316" s="172" t="str">
        <f t="shared" si="52"/>
        <v>CO-DC</v>
      </c>
      <c r="W316" s="185" t="str">
        <f t="shared" si="53"/>
        <v>Distrito Capital de Bogotá</v>
      </c>
      <c r="X316" s="186" t="s">
        <v>332</v>
      </c>
      <c r="Y316" s="172">
        <v>2427400</v>
      </c>
      <c r="Z316" s="188" t="s">
        <v>94</v>
      </c>
    </row>
    <row r="317" spans="1:26" s="189" customFormat="1" ht="12.75" customHeight="1" x14ac:dyDescent="0.2">
      <c r="A317" s="172" t="s">
        <v>169</v>
      </c>
      <c r="B317" s="172">
        <v>5</v>
      </c>
      <c r="C317" s="173" t="s">
        <v>429</v>
      </c>
      <c r="D317" s="245" t="s">
        <v>847</v>
      </c>
      <c r="E317" s="174"/>
      <c r="F317" s="174">
        <v>1250000000</v>
      </c>
      <c r="G317" s="174"/>
      <c r="H317" s="175" t="s">
        <v>803</v>
      </c>
      <c r="I317" s="176" t="s">
        <v>434</v>
      </c>
      <c r="J317" s="193">
        <v>2</v>
      </c>
      <c r="K317" s="193">
        <v>3</v>
      </c>
      <c r="L317" s="193">
        <v>9</v>
      </c>
      <c r="M317" s="172">
        <f t="shared" si="48"/>
        <v>1</v>
      </c>
      <c r="N317" s="180" t="s">
        <v>36</v>
      </c>
      <c r="O317" s="181" t="str">
        <f>IF(ISBLANK(N317),"",VLOOKUP(N317,[11]Parámetros!$G$2:$H$23,2,FALSE))</f>
        <v xml:space="preserve">Contratación directa (con ofertas) </v>
      </c>
      <c r="P317" s="182">
        <f t="shared" si="54"/>
        <v>1</v>
      </c>
      <c r="Q317" s="183">
        <f t="shared" si="49"/>
        <v>1250000000</v>
      </c>
      <c r="R317" s="183">
        <f t="shared" si="50"/>
        <v>1250000000</v>
      </c>
      <c r="S317" s="184" t="s">
        <v>223</v>
      </c>
      <c r="T317" s="180">
        <f t="shared" si="55"/>
        <v>0</v>
      </c>
      <c r="U317" s="185" t="str">
        <f t="shared" si="51"/>
        <v>SUBDIRECCION DE GESTION CONTRACTUAL</v>
      </c>
      <c r="V317" s="172" t="str">
        <f t="shared" si="52"/>
        <v>CO-DC</v>
      </c>
      <c r="W317" s="185" t="str">
        <f t="shared" si="53"/>
        <v>Distrito Capital de Bogotá</v>
      </c>
      <c r="X317" s="186" t="s">
        <v>170</v>
      </c>
      <c r="Y317" s="172">
        <v>2427400</v>
      </c>
      <c r="Z317" s="186" t="s">
        <v>171</v>
      </c>
    </row>
    <row r="318" spans="1:26" s="189" customFormat="1" ht="12.75" customHeight="1" x14ac:dyDescent="0.2">
      <c r="A318" s="172" t="s">
        <v>169</v>
      </c>
      <c r="B318" s="172">
        <v>6</v>
      </c>
      <c r="C318" s="173" t="s">
        <v>429</v>
      </c>
      <c r="D318" s="245" t="s">
        <v>847</v>
      </c>
      <c r="E318" s="174"/>
      <c r="F318" s="174">
        <v>100000000</v>
      </c>
      <c r="G318" s="174"/>
      <c r="H318" s="175" t="s">
        <v>240</v>
      </c>
      <c r="I318" s="176" t="s">
        <v>435</v>
      </c>
      <c r="J318" s="193">
        <v>2</v>
      </c>
      <c r="K318" s="193">
        <v>3</v>
      </c>
      <c r="L318" s="193">
        <v>4</v>
      </c>
      <c r="M318" s="172">
        <f t="shared" si="48"/>
        <v>1</v>
      </c>
      <c r="N318" s="180" t="s">
        <v>43</v>
      </c>
      <c r="O318" s="181" t="str">
        <f>IF(ISBLANK(N318),"",VLOOKUP(N318,[11]Parámetros!$G$2:$H$23,2,FALSE))</f>
        <v>Selección abreviada subasta inversa</v>
      </c>
      <c r="P318" s="182">
        <f t="shared" si="54"/>
        <v>1</v>
      </c>
      <c r="Q318" s="183">
        <f t="shared" si="49"/>
        <v>100000000</v>
      </c>
      <c r="R318" s="183">
        <f t="shared" si="50"/>
        <v>100000000</v>
      </c>
      <c r="S318" s="184" t="s">
        <v>223</v>
      </c>
      <c r="T318" s="180">
        <f t="shared" si="55"/>
        <v>0</v>
      </c>
      <c r="U318" s="185" t="str">
        <f t="shared" si="51"/>
        <v>SUBDIRECCION DE GESTION CONTRACTUAL</v>
      </c>
      <c r="V318" s="172" t="str">
        <f t="shared" si="52"/>
        <v>CO-DC</v>
      </c>
      <c r="W318" s="185" t="str">
        <f t="shared" si="53"/>
        <v>Distrito Capital de Bogotá</v>
      </c>
      <c r="X318" s="186" t="s">
        <v>332</v>
      </c>
      <c r="Y318" s="172">
        <v>2427400</v>
      </c>
      <c r="Z318" s="188" t="s">
        <v>94</v>
      </c>
    </row>
    <row r="319" spans="1:26" s="189" customFormat="1" ht="12.75" customHeight="1" x14ac:dyDescent="0.2">
      <c r="A319" s="172" t="s">
        <v>169</v>
      </c>
      <c r="B319" s="172">
        <v>7</v>
      </c>
      <c r="C319" s="173" t="s">
        <v>429</v>
      </c>
      <c r="D319" s="245" t="s">
        <v>847</v>
      </c>
      <c r="E319" s="174"/>
      <c r="F319" s="174">
        <v>15000000</v>
      </c>
      <c r="G319" s="174"/>
      <c r="H319" s="175" t="s">
        <v>51</v>
      </c>
      <c r="I319" s="176" t="s">
        <v>436</v>
      </c>
      <c r="J319" s="177">
        <v>4</v>
      </c>
      <c r="K319" s="178">
        <v>6</v>
      </c>
      <c r="L319" s="179">
        <v>1</v>
      </c>
      <c r="M319" s="172">
        <f t="shared" si="48"/>
        <v>1</v>
      </c>
      <c r="N319" s="180" t="s">
        <v>43</v>
      </c>
      <c r="O319" s="181" t="str">
        <f>IF(ISBLANK(N319),"",VLOOKUP(N319,[11]Parámetros!$G$2:$H$23,2,FALSE))</f>
        <v>Selección abreviada subasta inversa</v>
      </c>
      <c r="P319" s="182">
        <f t="shared" si="54"/>
        <v>1</v>
      </c>
      <c r="Q319" s="183">
        <f t="shared" si="49"/>
        <v>15000000</v>
      </c>
      <c r="R319" s="183">
        <f t="shared" si="50"/>
        <v>15000000</v>
      </c>
      <c r="S319" s="184" t="s">
        <v>223</v>
      </c>
      <c r="T319" s="180">
        <f t="shared" si="55"/>
        <v>0</v>
      </c>
      <c r="U319" s="185" t="str">
        <f t="shared" si="51"/>
        <v>SUBDIRECCION DE GESTION CONTRACTUAL</v>
      </c>
      <c r="V319" s="172" t="str">
        <f t="shared" si="52"/>
        <v>CO-DC</v>
      </c>
      <c r="W319" s="185" t="str">
        <f t="shared" si="53"/>
        <v>Distrito Capital de Bogotá</v>
      </c>
      <c r="X319" s="186" t="s">
        <v>73</v>
      </c>
      <c r="Y319" s="172">
        <v>2427400</v>
      </c>
      <c r="Z319" s="188" t="s">
        <v>74</v>
      </c>
    </row>
    <row r="320" spans="1:26" s="189" customFormat="1" ht="12.75" customHeight="1" x14ac:dyDescent="0.2">
      <c r="A320" s="172" t="s">
        <v>169</v>
      </c>
      <c r="B320" s="172">
        <v>8</v>
      </c>
      <c r="C320" s="173" t="s">
        <v>437</v>
      </c>
      <c r="D320" s="245" t="s">
        <v>847</v>
      </c>
      <c r="E320" s="174"/>
      <c r="F320" s="174">
        <v>28000000000</v>
      </c>
      <c r="G320" s="174"/>
      <c r="H320" s="175" t="s">
        <v>803</v>
      </c>
      <c r="I320" s="176" t="s">
        <v>438</v>
      </c>
      <c r="J320" s="193">
        <v>2</v>
      </c>
      <c r="K320" s="193">
        <v>3</v>
      </c>
      <c r="L320" s="193">
        <v>9</v>
      </c>
      <c r="M320" s="172">
        <f t="shared" si="48"/>
        <v>1</v>
      </c>
      <c r="N320" s="180" t="s">
        <v>36</v>
      </c>
      <c r="O320" s="181" t="str">
        <f>IF(ISBLANK(N320),"",VLOOKUP(N320,[11]Parámetros!$G$2:$H$23,2,FALSE))</f>
        <v xml:space="preserve">Contratación directa (con ofertas) </v>
      </c>
      <c r="P320" s="182">
        <f t="shared" si="54"/>
        <v>1</v>
      </c>
      <c r="Q320" s="183">
        <f t="shared" si="49"/>
        <v>28000000000</v>
      </c>
      <c r="R320" s="183">
        <f t="shared" si="50"/>
        <v>28000000000</v>
      </c>
      <c r="S320" s="184" t="s">
        <v>223</v>
      </c>
      <c r="T320" s="180">
        <f t="shared" si="55"/>
        <v>0</v>
      </c>
      <c r="U320" s="185" t="str">
        <f t="shared" si="51"/>
        <v>SUBDIRECCION DE GESTION CONTRACTUAL</v>
      </c>
      <c r="V320" s="172" t="str">
        <f t="shared" si="52"/>
        <v>CO-DC</v>
      </c>
      <c r="W320" s="185" t="str">
        <f t="shared" si="53"/>
        <v>Distrito Capital de Bogotá</v>
      </c>
      <c r="X320" s="186" t="s">
        <v>170</v>
      </c>
      <c r="Y320" s="172">
        <v>2427400</v>
      </c>
      <c r="Z320" s="186" t="s">
        <v>171</v>
      </c>
    </row>
    <row r="321" spans="1:26" s="189" customFormat="1" ht="12.75" customHeight="1" x14ac:dyDescent="0.2">
      <c r="A321" s="172" t="s">
        <v>169</v>
      </c>
      <c r="B321" s="172">
        <v>9</v>
      </c>
      <c r="C321" s="173" t="s">
        <v>172</v>
      </c>
      <c r="D321" s="173" t="s">
        <v>173</v>
      </c>
      <c r="E321" s="174"/>
      <c r="F321" s="174">
        <v>2257136244</v>
      </c>
      <c r="G321" s="174"/>
      <c r="H321" s="175">
        <v>80111600</v>
      </c>
      <c r="I321" s="231" t="s">
        <v>430</v>
      </c>
      <c r="J321" s="193">
        <v>1</v>
      </c>
      <c r="K321" s="193">
        <v>1</v>
      </c>
      <c r="L321" s="193">
        <v>12</v>
      </c>
      <c r="M321" s="172">
        <f t="shared" si="48"/>
        <v>1</v>
      </c>
      <c r="N321" s="180" t="s">
        <v>216</v>
      </c>
      <c r="O321" s="181" t="str">
        <f>IF(ISBLANK(N321),"",VLOOKUP(N321,[11]Parámetros!$G$2:$H$23,2,FALSE))</f>
        <v>Contratación directa.</v>
      </c>
      <c r="P321" s="182">
        <f t="shared" si="54"/>
        <v>1</v>
      </c>
      <c r="Q321" s="183">
        <f t="shared" si="49"/>
        <v>2257136244</v>
      </c>
      <c r="R321" s="183">
        <f t="shared" si="50"/>
        <v>2257136244</v>
      </c>
      <c r="S321" s="184" t="s">
        <v>223</v>
      </c>
      <c r="T321" s="180">
        <f t="shared" si="55"/>
        <v>0</v>
      </c>
      <c r="U321" s="185" t="str">
        <f t="shared" si="51"/>
        <v>SUBDIRECCION DE GESTION CONTRACTUAL</v>
      </c>
      <c r="V321" s="172" t="str">
        <f t="shared" si="52"/>
        <v>CO-DC</v>
      </c>
      <c r="W321" s="185" t="str">
        <f t="shared" si="53"/>
        <v>Distrito Capital de Bogotá</v>
      </c>
      <c r="X321" s="186" t="s">
        <v>170</v>
      </c>
      <c r="Y321" s="172">
        <v>2427400</v>
      </c>
      <c r="Z321" s="186" t="s">
        <v>171</v>
      </c>
    </row>
    <row r="322" spans="1:26" s="189" customFormat="1" ht="12.75" customHeight="1" x14ac:dyDescent="0.2">
      <c r="A322" s="172" t="s">
        <v>169</v>
      </c>
      <c r="B322" s="172">
        <v>10</v>
      </c>
      <c r="C322" s="173" t="s">
        <v>172</v>
      </c>
      <c r="D322" s="173" t="s">
        <v>173</v>
      </c>
      <c r="E322" s="174"/>
      <c r="F322" s="174">
        <v>80000000</v>
      </c>
      <c r="G322" s="174"/>
      <c r="H322" s="175" t="s">
        <v>801</v>
      </c>
      <c r="I322" s="176" t="s">
        <v>439</v>
      </c>
      <c r="J322" s="202">
        <v>1</v>
      </c>
      <c r="K322" s="202">
        <v>2</v>
      </c>
      <c r="L322" s="202">
        <v>3</v>
      </c>
      <c r="M322" s="172">
        <f t="shared" si="48"/>
        <v>1</v>
      </c>
      <c r="N322" s="180" t="s">
        <v>36</v>
      </c>
      <c r="O322" s="181" t="str">
        <f>IF(ISBLANK(N322),"",VLOOKUP(N322,[11]Parámetros!$G$2:$H$23,2,FALSE))</f>
        <v xml:space="preserve">Contratación directa (con ofertas) </v>
      </c>
      <c r="P322" s="182">
        <f t="shared" si="54"/>
        <v>1</v>
      </c>
      <c r="Q322" s="183">
        <f t="shared" si="49"/>
        <v>80000000</v>
      </c>
      <c r="R322" s="183">
        <f t="shared" si="50"/>
        <v>80000000</v>
      </c>
      <c r="S322" s="184" t="s">
        <v>223</v>
      </c>
      <c r="T322" s="180">
        <f t="shared" si="55"/>
        <v>0</v>
      </c>
      <c r="U322" s="185" t="str">
        <f t="shared" si="51"/>
        <v>SUBDIRECCION DE GESTION CONTRACTUAL</v>
      </c>
      <c r="V322" s="172" t="str">
        <f t="shared" si="52"/>
        <v>CO-DC</v>
      </c>
      <c r="W322" s="185" t="str">
        <f t="shared" si="53"/>
        <v>Distrito Capital de Bogotá</v>
      </c>
      <c r="X322" s="186" t="s">
        <v>170</v>
      </c>
      <c r="Y322" s="172">
        <v>2427400</v>
      </c>
      <c r="Z322" s="186" t="s">
        <v>171</v>
      </c>
    </row>
    <row r="323" spans="1:26" s="189" customFormat="1" ht="12.75" customHeight="1" x14ac:dyDescent="0.2">
      <c r="A323" s="172" t="s">
        <v>169</v>
      </c>
      <c r="B323" s="172">
        <v>11</v>
      </c>
      <c r="C323" s="173" t="s">
        <v>172</v>
      </c>
      <c r="D323" s="173" t="s">
        <v>173</v>
      </c>
      <c r="E323" s="174"/>
      <c r="F323" s="174">
        <f>295000000-80000000</f>
        <v>215000000</v>
      </c>
      <c r="G323" s="174"/>
      <c r="H323" s="175" t="s">
        <v>801</v>
      </c>
      <c r="I323" s="176" t="s">
        <v>439</v>
      </c>
      <c r="J323" s="177">
        <v>2</v>
      </c>
      <c r="K323" s="178">
        <v>3</v>
      </c>
      <c r="L323" s="179">
        <v>9</v>
      </c>
      <c r="M323" s="172">
        <f t="shared" si="48"/>
        <v>1</v>
      </c>
      <c r="N323" s="180" t="s">
        <v>234</v>
      </c>
      <c r="O323" s="181" t="str">
        <f>IF(ISBLANK(N323),"",VLOOKUP(N323,[11]Parámetros!$G$2:$H$23,2,FALSE))</f>
        <v>Licitación pública</v>
      </c>
      <c r="P323" s="182">
        <f t="shared" si="54"/>
        <v>1</v>
      </c>
      <c r="Q323" s="183">
        <f t="shared" si="49"/>
        <v>215000000</v>
      </c>
      <c r="R323" s="183">
        <f t="shared" si="50"/>
        <v>215000000</v>
      </c>
      <c r="S323" s="184" t="s">
        <v>223</v>
      </c>
      <c r="T323" s="180">
        <f t="shared" si="55"/>
        <v>0</v>
      </c>
      <c r="U323" s="185" t="str">
        <f t="shared" si="51"/>
        <v>SUBDIRECCION DE GESTION CONTRACTUAL</v>
      </c>
      <c r="V323" s="172" t="str">
        <f t="shared" si="52"/>
        <v>CO-DC</v>
      </c>
      <c r="W323" s="185" t="str">
        <f t="shared" si="53"/>
        <v>Distrito Capital de Bogotá</v>
      </c>
      <c r="X323" s="186" t="s">
        <v>170</v>
      </c>
      <c r="Y323" s="172">
        <v>2427400</v>
      </c>
      <c r="Z323" s="186" t="s">
        <v>171</v>
      </c>
    </row>
    <row r="324" spans="1:26" s="189" customFormat="1" ht="12.75" customHeight="1" x14ac:dyDescent="0.2">
      <c r="A324" s="172" t="s">
        <v>169</v>
      </c>
      <c r="B324" s="172">
        <v>12</v>
      </c>
      <c r="C324" s="173" t="s">
        <v>172</v>
      </c>
      <c r="D324" s="173" t="s">
        <v>173</v>
      </c>
      <c r="E324" s="174"/>
      <c r="F324" s="174">
        <v>100000000</v>
      </c>
      <c r="G324" s="174"/>
      <c r="H324" s="175">
        <v>93121607</v>
      </c>
      <c r="I324" s="176" t="s">
        <v>440</v>
      </c>
      <c r="J324" s="193">
        <v>2</v>
      </c>
      <c r="K324" s="193">
        <v>3</v>
      </c>
      <c r="L324" s="193">
        <v>9</v>
      </c>
      <c r="M324" s="172">
        <f t="shared" si="48"/>
        <v>1</v>
      </c>
      <c r="N324" s="180" t="s">
        <v>36</v>
      </c>
      <c r="O324" s="181" t="str">
        <f>IF(ISBLANK(N324),"",VLOOKUP(N324,[11]Parámetros!$G$2:$H$23,2,FALSE))</f>
        <v xml:space="preserve">Contratación directa (con ofertas) </v>
      </c>
      <c r="P324" s="182">
        <f t="shared" si="54"/>
        <v>1</v>
      </c>
      <c r="Q324" s="183">
        <f t="shared" si="49"/>
        <v>100000000</v>
      </c>
      <c r="R324" s="183">
        <f t="shared" si="50"/>
        <v>100000000</v>
      </c>
      <c r="S324" s="184" t="s">
        <v>223</v>
      </c>
      <c r="T324" s="180">
        <f t="shared" si="55"/>
        <v>0</v>
      </c>
      <c r="U324" s="185" t="str">
        <f t="shared" si="51"/>
        <v>SUBDIRECCION DE GESTION CONTRACTUAL</v>
      </c>
      <c r="V324" s="172" t="str">
        <f t="shared" si="52"/>
        <v>CO-DC</v>
      </c>
      <c r="W324" s="185" t="str">
        <f t="shared" si="53"/>
        <v>Distrito Capital de Bogotá</v>
      </c>
      <c r="X324" s="186" t="s">
        <v>170</v>
      </c>
      <c r="Y324" s="172">
        <v>2427400</v>
      </c>
      <c r="Z324" s="186" t="s">
        <v>171</v>
      </c>
    </row>
    <row r="325" spans="1:26" s="189" customFormat="1" ht="12.75" customHeight="1" x14ac:dyDescent="0.2">
      <c r="A325" s="172" t="s">
        <v>169</v>
      </c>
      <c r="B325" s="172">
        <v>13</v>
      </c>
      <c r="C325" s="173" t="s">
        <v>172</v>
      </c>
      <c r="D325" s="173" t="s">
        <v>173</v>
      </c>
      <c r="E325" s="174"/>
      <c r="F325" s="174">
        <v>100000000</v>
      </c>
      <c r="G325" s="174"/>
      <c r="H325" s="175" t="s">
        <v>42</v>
      </c>
      <c r="I325" s="176" t="s">
        <v>432</v>
      </c>
      <c r="J325" s="177">
        <v>3</v>
      </c>
      <c r="K325" s="178">
        <v>4</v>
      </c>
      <c r="L325" s="179">
        <v>9</v>
      </c>
      <c r="M325" s="172">
        <f t="shared" si="48"/>
        <v>1</v>
      </c>
      <c r="N325" s="180" t="s">
        <v>61</v>
      </c>
      <c r="O325" s="181" t="str">
        <f>IF(ISBLANK(N325),"",VLOOKUP(N325,[9]Parámetros!$G$2:$H$23,2,FALSE))</f>
        <v>Contratación régimen especial - Selección de comisionista</v>
      </c>
      <c r="P325" s="182">
        <f t="shared" si="54"/>
        <v>1</v>
      </c>
      <c r="Q325" s="183">
        <f t="shared" si="49"/>
        <v>100000000</v>
      </c>
      <c r="R325" s="183">
        <f t="shared" si="50"/>
        <v>100000000</v>
      </c>
      <c r="S325" s="184" t="s">
        <v>223</v>
      </c>
      <c r="T325" s="180">
        <f t="shared" si="55"/>
        <v>0</v>
      </c>
      <c r="U325" s="185" t="str">
        <f t="shared" si="51"/>
        <v>SUBDIRECCION DE GESTION CONTRACTUAL</v>
      </c>
      <c r="V325" s="172" t="str">
        <f t="shared" si="52"/>
        <v>CO-DC</v>
      </c>
      <c r="W325" s="185" t="str">
        <f t="shared" si="53"/>
        <v>Distrito Capital de Bogotá</v>
      </c>
      <c r="X325" s="186" t="s">
        <v>170</v>
      </c>
      <c r="Y325" s="172">
        <v>2427400</v>
      </c>
      <c r="Z325" s="186" t="s">
        <v>171</v>
      </c>
    </row>
    <row r="326" spans="1:26" s="189" customFormat="1" ht="12.75" customHeight="1" x14ac:dyDescent="0.2">
      <c r="A326" s="172" t="s">
        <v>169</v>
      </c>
      <c r="B326" s="172">
        <v>14</v>
      </c>
      <c r="C326" s="173" t="s">
        <v>174</v>
      </c>
      <c r="D326" s="173" t="s">
        <v>175</v>
      </c>
      <c r="E326" s="174"/>
      <c r="F326" s="174">
        <f>890000000-890000000</f>
        <v>0</v>
      </c>
      <c r="G326" s="174"/>
      <c r="H326" s="175">
        <v>80111600</v>
      </c>
      <c r="I326" s="231" t="s">
        <v>430</v>
      </c>
      <c r="J326" s="193">
        <v>1</v>
      </c>
      <c r="K326" s="193">
        <v>1</v>
      </c>
      <c r="L326" s="193">
        <v>12</v>
      </c>
      <c r="M326" s="172">
        <f t="shared" si="48"/>
        <v>1</v>
      </c>
      <c r="N326" s="180" t="s">
        <v>216</v>
      </c>
      <c r="O326" s="181" t="str">
        <f>IF(ISBLANK(N326),"",VLOOKUP(N326,[11]Parámetros!$G$2:$H$23,2,FALSE))</f>
        <v>Contratación directa.</v>
      </c>
      <c r="P326" s="182">
        <f t="shared" si="54"/>
        <v>1</v>
      </c>
      <c r="Q326" s="183">
        <f t="shared" si="49"/>
        <v>0</v>
      </c>
      <c r="R326" s="183">
        <f t="shared" si="50"/>
        <v>0</v>
      </c>
      <c r="S326" s="184" t="s">
        <v>223</v>
      </c>
      <c r="T326" s="180">
        <f t="shared" si="55"/>
        <v>0</v>
      </c>
      <c r="U326" s="185" t="str">
        <f t="shared" si="51"/>
        <v>SUBDIRECCION DE GESTION CONTRACTUAL</v>
      </c>
      <c r="V326" s="172" t="str">
        <f t="shared" si="52"/>
        <v>CO-DC</v>
      </c>
      <c r="W326" s="185" t="str">
        <f t="shared" si="53"/>
        <v>Distrito Capital de Bogotá</v>
      </c>
      <c r="X326" s="186" t="s">
        <v>170</v>
      </c>
      <c r="Y326" s="172">
        <v>2427400</v>
      </c>
      <c r="Z326" s="186" t="s">
        <v>171</v>
      </c>
    </row>
    <row r="327" spans="1:26" s="189" customFormat="1" ht="12.75" customHeight="1" x14ac:dyDescent="0.2">
      <c r="A327" s="172" t="s">
        <v>169</v>
      </c>
      <c r="B327" s="172">
        <v>15</v>
      </c>
      <c r="C327" s="173" t="s">
        <v>174</v>
      </c>
      <c r="D327" s="173" t="s">
        <v>175</v>
      </c>
      <c r="E327" s="174"/>
      <c r="F327" s="174">
        <f>150000000-150000000</f>
        <v>0</v>
      </c>
      <c r="G327" s="174"/>
      <c r="H327" s="175" t="s">
        <v>801</v>
      </c>
      <c r="I327" s="176" t="s">
        <v>439</v>
      </c>
      <c r="J327" s="177">
        <v>2</v>
      </c>
      <c r="K327" s="178">
        <v>3</v>
      </c>
      <c r="L327" s="179">
        <v>9</v>
      </c>
      <c r="M327" s="172">
        <f t="shared" si="48"/>
        <v>1</v>
      </c>
      <c r="N327" s="180" t="s">
        <v>234</v>
      </c>
      <c r="O327" s="181" t="str">
        <f>IF(ISBLANK(N327),"",VLOOKUP(N327,[11]Parámetros!$G$2:$H$23,2,FALSE))</f>
        <v>Licitación pública</v>
      </c>
      <c r="P327" s="182">
        <f t="shared" si="54"/>
        <v>1</v>
      </c>
      <c r="Q327" s="183">
        <f t="shared" si="49"/>
        <v>0</v>
      </c>
      <c r="R327" s="183">
        <f t="shared" si="50"/>
        <v>0</v>
      </c>
      <c r="S327" s="184" t="s">
        <v>223</v>
      </c>
      <c r="T327" s="180">
        <f t="shared" si="55"/>
        <v>0</v>
      </c>
      <c r="U327" s="185" t="str">
        <f t="shared" si="51"/>
        <v>SUBDIRECCION DE GESTION CONTRACTUAL</v>
      </c>
      <c r="V327" s="172" t="str">
        <f t="shared" si="52"/>
        <v>CO-DC</v>
      </c>
      <c r="W327" s="185" t="str">
        <f t="shared" si="53"/>
        <v>Distrito Capital de Bogotá</v>
      </c>
      <c r="X327" s="186" t="s">
        <v>170</v>
      </c>
      <c r="Y327" s="172">
        <v>2427400</v>
      </c>
      <c r="Z327" s="186" t="s">
        <v>171</v>
      </c>
    </row>
    <row r="328" spans="1:26" s="189" customFormat="1" ht="12.75" customHeight="1" x14ac:dyDescent="0.2">
      <c r="A328" s="172" t="s">
        <v>169</v>
      </c>
      <c r="B328" s="172">
        <v>16</v>
      </c>
      <c r="C328" s="173" t="s">
        <v>174</v>
      </c>
      <c r="D328" s="173" t="s">
        <v>175</v>
      </c>
      <c r="E328" s="174"/>
      <c r="F328" s="174">
        <f>100000000-100000000</f>
        <v>0</v>
      </c>
      <c r="G328" s="174"/>
      <c r="H328" s="175" t="s">
        <v>42</v>
      </c>
      <c r="I328" s="176" t="s">
        <v>432</v>
      </c>
      <c r="J328" s="177">
        <v>3</v>
      </c>
      <c r="K328" s="178">
        <v>4</v>
      </c>
      <c r="L328" s="179">
        <v>9</v>
      </c>
      <c r="M328" s="172">
        <f t="shared" si="48"/>
        <v>1</v>
      </c>
      <c r="N328" s="180" t="s">
        <v>61</v>
      </c>
      <c r="O328" s="181" t="str">
        <f>IF(ISBLANK(N328),"",VLOOKUP(N328,[9]Parámetros!$G$2:$H$23,2,FALSE))</f>
        <v>Contratación régimen especial - Selección de comisionista</v>
      </c>
      <c r="P328" s="182">
        <f t="shared" si="54"/>
        <v>1</v>
      </c>
      <c r="Q328" s="183">
        <f t="shared" si="49"/>
        <v>0</v>
      </c>
      <c r="R328" s="183">
        <f t="shared" si="50"/>
        <v>0</v>
      </c>
      <c r="S328" s="184" t="s">
        <v>223</v>
      </c>
      <c r="T328" s="180">
        <f t="shared" si="55"/>
        <v>0</v>
      </c>
      <c r="U328" s="185" t="str">
        <f t="shared" si="51"/>
        <v>SUBDIRECCION DE GESTION CONTRACTUAL</v>
      </c>
      <c r="V328" s="172" t="str">
        <f t="shared" si="52"/>
        <v>CO-DC</v>
      </c>
      <c r="W328" s="185" t="str">
        <f t="shared" si="53"/>
        <v>Distrito Capital de Bogotá</v>
      </c>
      <c r="X328" s="186" t="s">
        <v>170</v>
      </c>
      <c r="Y328" s="172">
        <v>2427400</v>
      </c>
      <c r="Z328" s="186" t="s">
        <v>171</v>
      </c>
    </row>
    <row r="329" spans="1:26" s="189" customFormat="1" ht="12.75" customHeight="1" x14ac:dyDescent="0.2">
      <c r="A329" s="172" t="s">
        <v>169</v>
      </c>
      <c r="B329" s="172">
        <v>17</v>
      </c>
      <c r="C329" s="173" t="s">
        <v>174</v>
      </c>
      <c r="D329" s="173" t="s">
        <v>175</v>
      </c>
      <c r="E329" s="174"/>
      <c r="F329" s="174">
        <f>75000000-75000000</f>
        <v>0</v>
      </c>
      <c r="G329" s="174"/>
      <c r="H329" s="175" t="s">
        <v>650</v>
      </c>
      <c r="I329" s="176" t="s">
        <v>433</v>
      </c>
      <c r="J329" s="177">
        <v>2</v>
      </c>
      <c r="K329" s="178">
        <v>2</v>
      </c>
      <c r="L329" s="179">
        <v>10</v>
      </c>
      <c r="M329" s="172">
        <f t="shared" si="48"/>
        <v>1</v>
      </c>
      <c r="N329" s="180" t="s">
        <v>36</v>
      </c>
      <c r="O329" s="181" t="str">
        <f>IF(ISBLANK(N329),"",VLOOKUP(N329,[11]Parámetros!$G$2:$H$23,2,FALSE))</f>
        <v xml:space="preserve">Contratación directa (con ofertas) </v>
      </c>
      <c r="P329" s="182">
        <f t="shared" si="54"/>
        <v>1</v>
      </c>
      <c r="Q329" s="183">
        <f t="shared" si="49"/>
        <v>0</v>
      </c>
      <c r="R329" s="183">
        <f t="shared" si="50"/>
        <v>0</v>
      </c>
      <c r="S329" s="184" t="s">
        <v>223</v>
      </c>
      <c r="T329" s="180">
        <f t="shared" si="55"/>
        <v>0</v>
      </c>
      <c r="U329" s="185" t="str">
        <f t="shared" si="51"/>
        <v>SUBDIRECCION DE GESTION CONTRACTUAL</v>
      </c>
      <c r="V329" s="172" t="str">
        <f t="shared" si="52"/>
        <v>CO-DC</v>
      </c>
      <c r="W329" s="185" t="str">
        <f t="shared" si="53"/>
        <v>Distrito Capital de Bogotá</v>
      </c>
      <c r="X329" s="186" t="s">
        <v>332</v>
      </c>
      <c r="Y329" s="172">
        <v>2427400</v>
      </c>
      <c r="Z329" s="188" t="s">
        <v>94</v>
      </c>
    </row>
    <row r="330" spans="1:26" s="189" customFormat="1" ht="12.75" customHeight="1" x14ac:dyDescent="0.2">
      <c r="A330" s="172" t="s">
        <v>169</v>
      </c>
      <c r="B330" s="172">
        <v>18</v>
      </c>
      <c r="C330" s="173" t="s">
        <v>174</v>
      </c>
      <c r="D330" s="173" t="s">
        <v>175</v>
      </c>
      <c r="E330" s="174"/>
      <c r="F330" s="174">
        <f>200000000-200000000</f>
        <v>0</v>
      </c>
      <c r="G330" s="174"/>
      <c r="H330" s="175" t="s">
        <v>103</v>
      </c>
      <c r="I330" s="176" t="s">
        <v>636</v>
      </c>
      <c r="J330" s="177">
        <v>2</v>
      </c>
      <c r="K330" s="178">
        <v>3</v>
      </c>
      <c r="L330" s="179">
        <v>10</v>
      </c>
      <c r="M330" s="172">
        <f t="shared" si="48"/>
        <v>1</v>
      </c>
      <c r="N330" s="180" t="s">
        <v>36</v>
      </c>
      <c r="O330" s="181" t="str">
        <f>IF(ISBLANK(N330),"",VLOOKUP(N330,[1]Parámetros!$G$2:$H$23,2,FALSE))</f>
        <v xml:space="preserve">Contratación directa (con ofertas) </v>
      </c>
      <c r="P330" s="182">
        <f t="shared" si="54"/>
        <v>1</v>
      </c>
      <c r="Q330" s="183">
        <f t="shared" si="49"/>
        <v>0</v>
      </c>
      <c r="R330" s="183">
        <f t="shared" si="50"/>
        <v>0</v>
      </c>
      <c r="S330" s="184" t="s">
        <v>223</v>
      </c>
      <c r="T330" s="180">
        <f t="shared" si="55"/>
        <v>0</v>
      </c>
      <c r="U330" s="185" t="str">
        <f t="shared" si="51"/>
        <v>SUBDIRECCION DE GESTION CONTRACTUAL</v>
      </c>
      <c r="V330" s="172" t="str">
        <f t="shared" si="52"/>
        <v>CO-DC</v>
      </c>
      <c r="W330" s="185" t="str">
        <f t="shared" si="53"/>
        <v>Distrito Capital de Bogotá</v>
      </c>
      <c r="X330" s="186" t="s">
        <v>170</v>
      </c>
      <c r="Y330" s="172">
        <v>2427400</v>
      </c>
      <c r="Z330" s="186" t="s">
        <v>171</v>
      </c>
    </row>
    <row r="331" spans="1:26" s="189" customFormat="1" ht="12.75" customHeight="1" x14ac:dyDescent="0.2">
      <c r="A331" s="172" t="s">
        <v>169</v>
      </c>
      <c r="B331" s="172">
        <v>19</v>
      </c>
      <c r="C331" s="173" t="s">
        <v>174</v>
      </c>
      <c r="D331" s="173" t="s">
        <v>175</v>
      </c>
      <c r="E331" s="174"/>
      <c r="F331" s="174">
        <f>15000000-15000000</f>
        <v>0</v>
      </c>
      <c r="G331" s="174"/>
      <c r="H331" s="175" t="s">
        <v>441</v>
      </c>
      <c r="I331" s="176" t="s">
        <v>442</v>
      </c>
      <c r="J331" s="193">
        <v>2</v>
      </c>
      <c r="K331" s="193">
        <v>3</v>
      </c>
      <c r="L331" s="193">
        <v>9</v>
      </c>
      <c r="M331" s="172">
        <f t="shared" si="48"/>
        <v>1</v>
      </c>
      <c r="N331" s="180" t="s">
        <v>43</v>
      </c>
      <c r="O331" s="181" t="str">
        <f>IF(ISBLANK(N331),"",VLOOKUP(N331,[11]Parámetros!$G$2:$H$23,2,FALSE))</f>
        <v>Selección abreviada subasta inversa</v>
      </c>
      <c r="P331" s="182">
        <f t="shared" si="54"/>
        <v>1</v>
      </c>
      <c r="Q331" s="183">
        <f t="shared" si="49"/>
        <v>0</v>
      </c>
      <c r="R331" s="183">
        <f t="shared" si="50"/>
        <v>0</v>
      </c>
      <c r="S331" s="184" t="s">
        <v>223</v>
      </c>
      <c r="T331" s="180">
        <f t="shared" si="55"/>
        <v>0</v>
      </c>
      <c r="U331" s="185" t="str">
        <f t="shared" si="51"/>
        <v>SUBDIRECCION DE GESTION CONTRACTUAL</v>
      </c>
      <c r="V331" s="172" t="str">
        <f t="shared" si="52"/>
        <v>CO-DC</v>
      </c>
      <c r="W331" s="185" t="str">
        <f t="shared" si="53"/>
        <v>Distrito Capital de Bogotá</v>
      </c>
      <c r="X331" s="186" t="s">
        <v>170</v>
      </c>
      <c r="Y331" s="172">
        <v>2427400</v>
      </c>
      <c r="Z331" s="186" t="s">
        <v>171</v>
      </c>
    </row>
    <row r="332" spans="1:26" s="189" customFormat="1" ht="12.75" customHeight="1" x14ac:dyDescent="0.2">
      <c r="A332" s="172" t="s">
        <v>169</v>
      </c>
      <c r="B332" s="172">
        <v>20</v>
      </c>
      <c r="C332" s="173" t="s">
        <v>429</v>
      </c>
      <c r="D332" s="173" t="s">
        <v>847</v>
      </c>
      <c r="E332" s="174"/>
      <c r="F332" s="174">
        <v>200000000</v>
      </c>
      <c r="G332" s="174"/>
      <c r="H332" s="175" t="s">
        <v>848</v>
      </c>
      <c r="I332" s="176" t="s">
        <v>849</v>
      </c>
      <c r="J332" s="193">
        <v>1</v>
      </c>
      <c r="K332" s="193">
        <v>1</v>
      </c>
      <c r="L332" s="193">
        <v>12</v>
      </c>
      <c r="M332" s="172">
        <f>IF(ISBLANK(J332),"",1)</f>
        <v>1</v>
      </c>
      <c r="N332" s="180" t="s">
        <v>36</v>
      </c>
      <c r="O332" s="181" t="str">
        <f>IF(ISBLANK(N332),"",VLOOKUP(N332,[12]Parámetros!$G$2:$H$23,2,FALSE))</f>
        <v xml:space="preserve">Contratación directa (con ofertas) </v>
      </c>
      <c r="P332" s="182">
        <f t="shared" si="54"/>
        <v>1</v>
      </c>
      <c r="Q332" s="183">
        <f t="shared" ref="Q332" si="56">+E332+F332+G332</f>
        <v>200000000</v>
      </c>
      <c r="R332" s="183">
        <f t="shared" ref="R332" si="57">+F332</f>
        <v>200000000</v>
      </c>
      <c r="S332" s="184" t="s">
        <v>223</v>
      </c>
      <c r="T332" s="180">
        <f t="shared" si="55"/>
        <v>0</v>
      </c>
      <c r="U332" s="185" t="str">
        <f t="shared" si="51"/>
        <v>SUBDIRECCION DE GESTION CONTRACTUAL</v>
      </c>
      <c r="V332" s="172" t="str">
        <f t="shared" si="52"/>
        <v>CO-DC</v>
      </c>
      <c r="W332" s="185" t="str">
        <f t="shared" si="53"/>
        <v>Distrito Capital de Bogotá</v>
      </c>
      <c r="X332" s="186" t="s">
        <v>170</v>
      </c>
      <c r="Y332" s="172">
        <v>2427400</v>
      </c>
      <c r="Z332" s="186" t="s">
        <v>171</v>
      </c>
    </row>
    <row r="333" spans="1:26" s="189" customFormat="1" ht="12.75" customHeight="1" x14ac:dyDescent="0.2">
      <c r="A333" s="172" t="s">
        <v>169</v>
      </c>
      <c r="B333" s="172">
        <v>21</v>
      </c>
      <c r="C333" s="173" t="s">
        <v>429</v>
      </c>
      <c r="D333" s="173" t="s">
        <v>847</v>
      </c>
      <c r="E333" s="174"/>
      <c r="F333" s="174">
        <v>15000000</v>
      </c>
      <c r="G333" s="174"/>
      <c r="H333" s="175" t="s">
        <v>441</v>
      </c>
      <c r="I333" s="176" t="s">
        <v>442</v>
      </c>
      <c r="J333" s="193">
        <v>2</v>
      </c>
      <c r="K333" s="193">
        <v>3</v>
      </c>
      <c r="L333" s="193">
        <v>9</v>
      </c>
      <c r="M333" s="172">
        <f t="shared" si="48"/>
        <v>1</v>
      </c>
      <c r="N333" s="180" t="s">
        <v>43</v>
      </c>
      <c r="O333" s="181" t="str">
        <f>IF(ISBLANK(N333),"",VLOOKUP(N333,[12]Parámetros!$G$2:$H$23,2,FALSE))</f>
        <v>Selección abreviada subasta inversa</v>
      </c>
      <c r="P333" s="182">
        <f t="shared" si="54"/>
        <v>1</v>
      </c>
      <c r="Q333" s="183">
        <f t="shared" si="49"/>
        <v>15000000</v>
      </c>
      <c r="R333" s="183">
        <f t="shared" si="50"/>
        <v>15000000</v>
      </c>
      <c r="S333" s="184" t="s">
        <v>223</v>
      </c>
      <c r="T333" s="180">
        <f t="shared" si="55"/>
        <v>0</v>
      </c>
      <c r="U333" s="185" t="str">
        <f t="shared" si="51"/>
        <v>SUBDIRECCION DE GESTION CONTRACTUAL</v>
      </c>
      <c r="V333" s="172" t="str">
        <f t="shared" si="52"/>
        <v>CO-DC</v>
      </c>
      <c r="W333" s="185" t="str">
        <f t="shared" si="53"/>
        <v>Distrito Capital de Bogotá</v>
      </c>
      <c r="X333" s="186" t="s">
        <v>170</v>
      </c>
      <c r="Y333" s="172">
        <v>2427400</v>
      </c>
      <c r="Z333" s="186" t="s">
        <v>171</v>
      </c>
    </row>
    <row r="334" spans="1:26" s="189" customFormat="1" ht="12.75" customHeight="1" x14ac:dyDescent="0.25">
      <c r="A334" s="172" t="s">
        <v>107</v>
      </c>
      <c r="B334" s="172">
        <v>1</v>
      </c>
      <c r="C334" s="173" t="s">
        <v>108</v>
      </c>
      <c r="D334" s="173" t="s">
        <v>88</v>
      </c>
      <c r="E334" s="174"/>
      <c r="F334" s="174">
        <v>162469701</v>
      </c>
      <c r="G334" s="174"/>
      <c r="H334" s="175" t="s">
        <v>804</v>
      </c>
      <c r="I334" s="176" t="s">
        <v>443</v>
      </c>
      <c r="J334" s="193">
        <v>2</v>
      </c>
      <c r="K334" s="193">
        <v>3</v>
      </c>
      <c r="L334" s="193">
        <v>9</v>
      </c>
      <c r="M334" s="172">
        <f t="shared" si="48"/>
        <v>1</v>
      </c>
      <c r="N334" s="180" t="s">
        <v>36</v>
      </c>
      <c r="O334" s="181" t="str">
        <f>IF(ISBLANK(N334),"",VLOOKUP(N334,[13]Parámetros!$G$2:$H$23,2,FALSE))</f>
        <v xml:space="preserve">Contratación directa (con ofertas) </v>
      </c>
      <c r="P334" s="182">
        <f t="shared" si="54"/>
        <v>1</v>
      </c>
      <c r="Q334" s="183">
        <f t="shared" si="49"/>
        <v>162469701</v>
      </c>
      <c r="R334" s="183">
        <f t="shared" si="50"/>
        <v>162469701</v>
      </c>
      <c r="S334" s="184" t="s">
        <v>223</v>
      </c>
      <c r="T334" s="180">
        <f t="shared" si="55"/>
        <v>0</v>
      </c>
      <c r="U334" s="185" t="str">
        <f t="shared" si="51"/>
        <v>SUBDIRECCION DE GESTION CONTRACTUAL</v>
      </c>
      <c r="V334" s="172" t="str">
        <f t="shared" si="52"/>
        <v>CO-DC</v>
      </c>
      <c r="W334" s="185" t="str">
        <f t="shared" si="53"/>
        <v>Distrito Capital de Bogotá</v>
      </c>
      <c r="X334" s="186" t="s">
        <v>679</v>
      </c>
      <c r="Y334" s="172">
        <v>2427400</v>
      </c>
      <c r="Z334" s="246" t="s">
        <v>673</v>
      </c>
    </row>
    <row r="335" spans="1:26" s="189" customFormat="1" ht="12.75" customHeight="1" x14ac:dyDescent="0.25">
      <c r="A335" s="172" t="s">
        <v>107</v>
      </c>
      <c r="B335" s="172">
        <v>2</v>
      </c>
      <c r="C335" s="173" t="s">
        <v>108</v>
      </c>
      <c r="D335" s="173" t="s">
        <v>88</v>
      </c>
      <c r="E335" s="174"/>
      <c r="F335" s="174">
        <v>177437126</v>
      </c>
      <c r="G335" s="174"/>
      <c r="H335" s="175" t="s">
        <v>804</v>
      </c>
      <c r="I335" s="176" t="s">
        <v>444</v>
      </c>
      <c r="J335" s="193">
        <v>2</v>
      </c>
      <c r="K335" s="193">
        <v>3</v>
      </c>
      <c r="L335" s="193">
        <v>9</v>
      </c>
      <c r="M335" s="172">
        <f t="shared" ref="M335:M398" si="58">IF(ISBLANK(J335),"",1)</f>
        <v>1</v>
      </c>
      <c r="N335" s="180" t="s">
        <v>36</v>
      </c>
      <c r="O335" s="181" t="str">
        <f>IF(ISBLANK(N335),"",VLOOKUP(N335,[13]Parámetros!$G$2:$H$23,2,FALSE))</f>
        <v xml:space="preserve">Contratación directa (con ofertas) </v>
      </c>
      <c r="P335" s="182">
        <f t="shared" si="54"/>
        <v>1</v>
      </c>
      <c r="Q335" s="183">
        <f t="shared" ref="Q335:Q398" si="59">+E335+F335+G335</f>
        <v>177437126</v>
      </c>
      <c r="R335" s="183">
        <f t="shared" ref="R335:R398" si="60">+F335</f>
        <v>177437126</v>
      </c>
      <c r="S335" s="184" t="s">
        <v>223</v>
      </c>
      <c r="T335" s="180">
        <f t="shared" si="55"/>
        <v>0</v>
      </c>
      <c r="U335" s="185" t="str">
        <f t="shared" ref="U335:U398" si="61">IF(ISBLANK(N335),"","SUBDIRECCION DE GESTION CONTRACTUAL")</f>
        <v>SUBDIRECCION DE GESTION CONTRACTUAL</v>
      </c>
      <c r="V335" s="172" t="str">
        <f t="shared" si="52"/>
        <v>CO-DC</v>
      </c>
      <c r="W335" s="185" t="str">
        <f t="shared" si="53"/>
        <v>Distrito Capital de Bogotá</v>
      </c>
      <c r="X335" s="186" t="s">
        <v>679</v>
      </c>
      <c r="Y335" s="172">
        <v>2427400</v>
      </c>
      <c r="Z335" s="246" t="s">
        <v>673</v>
      </c>
    </row>
    <row r="336" spans="1:26" s="189" customFormat="1" ht="12.75" customHeight="1" x14ac:dyDescent="0.25">
      <c r="A336" s="172" t="s">
        <v>107</v>
      </c>
      <c r="B336" s="172">
        <v>3</v>
      </c>
      <c r="C336" s="173" t="s">
        <v>108</v>
      </c>
      <c r="D336" s="173" t="s">
        <v>88</v>
      </c>
      <c r="E336" s="174"/>
      <c r="F336" s="174">
        <v>438490269</v>
      </c>
      <c r="G336" s="174"/>
      <c r="H336" s="175" t="s">
        <v>804</v>
      </c>
      <c r="I336" s="176" t="s">
        <v>445</v>
      </c>
      <c r="J336" s="193">
        <v>2</v>
      </c>
      <c r="K336" s="193">
        <v>3</v>
      </c>
      <c r="L336" s="193">
        <v>9</v>
      </c>
      <c r="M336" s="172">
        <f t="shared" si="58"/>
        <v>1</v>
      </c>
      <c r="N336" s="180" t="s">
        <v>36</v>
      </c>
      <c r="O336" s="181" t="str">
        <f>IF(ISBLANK(N336),"",VLOOKUP(N336,[13]Parámetros!$G$2:$H$23,2,FALSE))</f>
        <v xml:space="preserve">Contratación directa (con ofertas) </v>
      </c>
      <c r="P336" s="182">
        <f t="shared" si="54"/>
        <v>1</v>
      </c>
      <c r="Q336" s="183">
        <f t="shared" si="59"/>
        <v>438490269</v>
      </c>
      <c r="R336" s="183">
        <f t="shared" si="60"/>
        <v>438490269</v>
      </c>
      <c r="S336" s="184" t="s">
        <v>223</v>
      </c>
      <c r="T336" s="180">
        <f t="shared" si="55"/>
        <v>0</v>
      </c>
      <c r="U336" s="185" t="str">
        <f t="shared" si="61"/>
        <v>SUBDIRECCION DE GESTION CONTRACTUAL</v>
      </c>
      <c r="V336" s="172" t="str">
        <f t="shared" si="52"/>
        <v>CO-DC</v>
      </c>
      <c r="W336" s="185" t="str">
        <f t="shared" si="53"/>
        <v>Distrito Capital de Bogotá</v>
      </c>
      <c r="X336" s="186" t="s">
        <v>679</v>
      </c>
      <c r="Y336" s="172">
        <v>2427400</v>
      </c>
      <c r="Z336" s="246" t="s">
        <v>673</v>
      </c>
    </row>
    <row r="337" spans="1:26" s="189" customFormat="1" ht="12.75" customHeight="1" x14ac:dyDescent="0.25">
      <c r="A337" s="172" t="s">
        <v>107</v>
      </c>
      <c r="B337" s="172">
        <v>4</v>
      </c>
      <c r="C337" s="173" t="s">
        <v>108</v>
      </c>
      <c r="D337" s="173" t="s">
        <v>88</v>
      </c>
      <c r="E337" s="174"/>
      <c r="F337" s="174">
        <v>1533271892</v>
      </c>
      <c r="G337" s="174"/>
      <c r="H337" s="175">
        <v>80111600</v>
      </c>
      <c r="I337" s="176" t="s">
        <v>446</v>
      </c>
      <c r="J337" s="193">
        <v>1</v>
      </c>
      <c r="K337" s="193">
        <v>1</v>
      </c>
      <c r="L337" s="193">
        <v>12</v>
      </c>
      <c r="M337" s="172">
        <f t="shared" si="58"/>
        <v>1</v>
      </c>
      <c r="N337" s="180" t="s">
        <v>216</v>
      </c>
      <c r="O337" s="181" t="str">
        <f>IF(ISBLANK(N337),"",VLOOKUP(N337,[13]Parámetros!$G$2:$H$23,2,FALSE))</f>
        <v>Contratación directa.</v>
      </c>
      <c r="P337" s="182">
        <f t="shared" si="54"/>
        <v>1</v>
      </c>
      <c r="Q337" s="183">
        <f t="shared" si="59"/>
        <v>1533271892</v>
      </c>
      <c r="R337" s="183">
        <f t="shared" si="60"/>
        <v>1533271892</v>
      </c>
      <c r="S337" s="184" t="s">
        <v>223</v>
      </c>
      <c r="T337" s="180">
        <f t="shared" si="55"/>
        <v>0</v>
      </c>
      <c r="U337" s="185" t="str">
        <f t="shared" si="61"/>
        <v>SUBDIRECCION DE GESTION CONTRACTUAL</v>
      </c>
      <c r="V337" s="172" t="str">
        <f t="shared" si="52"/>
        <v>CO-DC</v>
      </c>
      <c r="W337" s="185" t="str">
        <f t="shared" si="53"/>
        <v>Distrito Capital de Bogotá</v>
      </c>
      <c r="X337" s="186" t="s">
        <v>679</v>
      </c>
      <c r="Y337" s="172">
        <v>2427400</v>
      </c>
      <c r="Z337" s="246" t="s">
        <v>673</v>
      </c>
    </row>
    <row r="338" spans="1:26" s="189" customFormat="1" ht="12.75" customHeight="1" x14ac:dyDescent="0.2">
      <c r="A338" s="172" t="s">
        <v>107</v>
      </c>
      <c r="B338" s="172">
        <v>5</v>
      </c>
      <c r="C338" s="173" t="s">
        <v>108</v>
      </c>
      <c r="D338" s="173" t="s">
        <v>88</v>
      </c>
      <c r="E338" s="174"/>
      <c r="F338" s="174">
        <v>200000000</v>
      </c>
      <c r="G338" s="174"/>
      <c r="H338" s="175" t="s">
        <v>42</v>
      </c>
      <c r="I338" s="176" t="s">
        <v>447</v>
      </c>
      <c r="J338" s="177">
        <v>3</v>
      </c>
      <c r="K338" s="178">
        <v>4</v>
      </c>
      <c r="L338" s="179">
        <v>9</v>
      </c>
      <c r="M338" s="172">
        <f t="shared" si="58"/>
        <v>1</v>
      </c>
      <c r="N338" s="180" t="s">
        <v>61</v>
      </c>
      <c r="O338" s="181" t="str">
        <f>IF(ISBLANK(N338),"",VLOOKUP(N338,[9]Parámetros!$G$2:$H$23,2,FALSE))</f>
        <v>Contratación régimen especial - Selección de comisionista</v>
      </c>
      <c r="P338" s="182">
        <f t="shared" si="54"/>
        <v>1</v>
      </c>
      <c r="Q338" s="183">
        <f t="shared" si="59"/>
        <v>200000000</v>
      </c>
      <c r="R338" s="183">
        <f t="shared" si="60"/>
        <v>200000000</v>
      </c>
      <c r="S338" s="184" t="s">
        <v>223</v>
      </c>
      <c r="T338" s="180">
        <f t="shared" si="55"/>
        <v>0</v>
      </c>
      <c r="U338" s="185" t="str">
        <f t="shared" si="61"/>
        <v>SUBDIRECCION DE GESTION CONTRACTUAL</v>
      </c>
      <c r="V338" s="172" t="str">
        <f t="shared" si="52"/>
        <v>CO-DC</v>
      </c>
      <c r="W338" s="185" t="str">
        <f t="shared" si="53"/>
        <v>Distrito Capital de Bogotá</v>
      </c>
      <c r="X338" s="186" t="s">
        <v>359</v>
      </c>
      <c r="Y338" s="172">
        <v>2427400</v>
      </c>
      <c r="Z338" s="186" t="s">
        <v>75</v>
      </c>
    </row>
    <row r="339" spans="1:26" s="189" customFormat="1" ht="12.75" customHeight="1" x14ac:dyDescent="0.2">
      <c r="A339" s="172" t="s">
        <v>107</v>
      </c>
      <c r="B339" s="172">
        <v>6</v>
      </c>
      <c r="C339" s="173" t="s">
        <v>108</v>
      </c>
      <c r="D339" s="173" t="s">
        <v>88</v>
      </c>
      <c r="E339" s="174"/>
      <c r="F339" s="174">
        <v>15000000</v>
      </c>
      <c r="G339" s="174"/>
      <c r="H339" s="175" t="s">
        <v>51</v>
      </c>
      <c r="I339" s="176" t="s">
        <v>448</v>
      </c>
      <c r="J339" s="177">
        <v>4</v>
      </c>
      <c r="K339" s="178">
        <v>6</v>
      </c>
      <c r="L339" s="179">
        <v>1</v>
      </c>
      <c r="M339" s="172">
        <f t="shared" si="58"/>
        <v>1</v>
      </c>
      <c r="N339" s="180" t="s">
        <v>43</v>
      </c>
      <c r="O339" s="181" t="str">
        <f>IF(ISBLANK(N339),"",VLOOKUP(N339,[13]Parámetros!$G$2:$H$23,2,FALSE))</f>
        <v>Selección abreviada subasta inversa</v>
      </c>
      <c r="P339" s="182">
        <f t="shared" si="54"/>
        <v>1</v>
      </c>
      <c r="Q339" s="183">
        <f t="shared" si="59"/>
        <v>15000000</v>
      </c>
      <c r="R339" s="183">
        <f t="shared" si="60"/>
        <v>15000000</v>
      </c>
      <c r="S339" s="184" t="s">
        <v>223</v>
      </c>
      <c r="T339" s="180">
        <f t="shared" si="55"/>
        <v>0</v>
      </c>
      <c r="U339" s="185" t="str">
        <f t="shared" si="61"/>
        <v>SUBDIRECCION DE GESTION CONTRACTUAL</v>
      </c>
      <c r="V339" s="172" t="str">
        <f t="shared" si="52"/>
        <v>CO-DC</v>
      </c>
      <c r="W339" s="185" t="str">
        <f t="shared" si="53"/>
        <v>Distrito Capital de Bogotá</v>
      </c>
      <c r="X339" s="186" t="s">
        <v>73</v>
      </c>
      <c r="Y339" s="172">
        <v>2427400</v>
      </c>
      <c r="Z339" s="188" t="s">
        <v>74</v>
      </c>
    </row>
    <row r="340" spans="1:26" s="189" customFormat="1" ht="12.75" customHeight="1" x14ac:dyDescent="0.25">
      <c r="A340" s="172" t="s">
        <v>107</v>
      </c>
      <c r="B340" s="172">
        <v>7</v>
      </c>
      <c r="C340" s="173" t="s">
        <v>108</v>
      </c>
      <c r="D340" s="173" t="s">
        <v>88</v>
      </c>
      <c r="E340" s="174"/>
      <c r="F340" s="174">
        <v>154400000</v>
      </c>
      <c r="G340" s="174"/>
      <c r="H340" s="175" t="s">
        <v>103</v>
      </c>
      <c r="I340" s="176" t="s">
        <v>637</v>
      </c>
      <c r="J340" s="177">
        <v>2</v>
      </c>
      <c r="K340" s="178">
        <v>3</v>
      </c>
      <c r="L340" s="179">
        <v>10</v>
      </c>
      <c r="M340" s="172">
        <f t="shared" si="58"/>
        <v>1</v>
      </c>
      <c r="N340" s="180" t="s">
        <v>36</v>
      </c>
      <c r="O340" s="181" t="str">
        <f>IF(ISBLANK(N340),"",VLOOKUP(N340,[1]Parámetros!$G$2:$H$23,2,FALSE))</f>
        <v xml:space="preserve">Contratación directa (con ofertas) </v>
      </c>
      <c r="P340" s="182">
        <f t="shared" si="54"/>
        <v>1</v>
      </c>
      <c r="Q340" s="183">
        <f t="shared" si="59"/>
        <v>154400000</v>
      </c>
      <c r="R340" s="183">
        <f t="shared" si="60"/>
        <v>154400000</v>
      </c>
      <c r="S340" s="184" t="s">
        <v>226</v>
      </c>
      <c r="T340" s="180">
        <f t="shared" si="55"/>
        <v>3</v>
      </c>
      <c r="U340" s="185" t="str">
        <f t="shared" si="61"/>
        <v>SUBDIRECCION DE GESTION CONTRACTUAL</v>
      </c>
      <c r="V340" s="172" t="str">
        <f t="shared" si="52"/>
        <v>CO-DC</v>
      </c>
      <c r="W340" s="185" t="str">
        <f t="shared" si="53"/>
        <v>Distrito Capital de Bogotá</v>
      </c>
      <c r="X340" s="186" t="s">
        <v>679</v>
      </c>
      <c r="Y340" s="172">
        <v>2427400</v>
      </c>
      <c r="Z340" s="246" t="s">
        <v>673</v>
      </c>
    </row>
    <row r="341" spans="1:26" s="189" customFormat="1" ht="12.75" customHeight="1" x14ac:dyDescent="0.2">
      <c r="A341" s="172" t="s">
        <v>107</v>
      </c>
      <c r="B341" s="172">
        <v>8</v>
      </c>
      <c r="C341" s="173" t="s">
        <v>108</v>
      </c>
      <c r="D341" s="173" t="s">
        <v>88</v>
      </c>
      <c r="E341" s="174"/>
      <c r="F341" s="174">
        <v>25000000</v>
      </c>
      <c r="G341" s="174"/>
      <c r="H341" s="175" t="s">
        <v>250</v>
      </c>
      <c r="I341" s="176" t="s">
        <v>648</v>
      </c>
      <c r="J341" s="193">
        <v>3</v>
      </c>
      <c r="K341" s="193">
        <v>4</v>
      </c>
      <c r="L341" s="193">
        <v>8</v>
      </c>
      <c r="M341" s="172">
        <f t="shared" si="58"/>
        <v>1</v>
      </c>
      <c r="N341" s="180" t="s">
        <v>53</v>
      </c>
      <c r="O341" s="181" t="str">
        <f>IF(ISBLANK(N341),"",VLOOKUP(N341,[13]Parámetros!$G$2:$H$23,2,FALSE))</f>
        <v>Seléccion abreviada - acuerdo marco</v>
      </c>
      <c r="P341" s="182">
        <f t="shared" si="54"/>
        <v>1</v>
      </c>
      <c r="Q341" s="183">
        <f t="shared" si="59"/>
        <v>25000000</v>
      </c>
      <c r="R341" s="183">
        <f t="shared" si="60"/>
        <v>25000000</v>
      </c>
      <c r="S341" s="184" t="s">
        <v>223</v>
      </c>
      <c r="T341" s="180">
        <f t="shared" si="55"/>
        <v>0</v>
      </c>
      <c r="U341" s="185" t="str">
        <f t="shared" si="61"/>
        <v>SUBDIRECCION DE GESTION CONTRACTUAL</v>
      </c>
      <c r="V341" s="172" t="str">
        <f t="shared" si="52"/>
        <v>CO-DC</v>
      </c>
      <c r="W341" s="185" t="str">
        <f t="shared" si="53"/>
        <v>Distrito Capital de Bogotá</v>
      </c>
      <c r="X341" s="186" t="s">
        <v>77</v>
      </c>
      <c r="Y341" s="172">
        <v>2427400</v>
      </c>
      <c r="Z341" s="186" t="s">
        <v>78</v>
      </c>
    </row>
    <row r="342" spans="1:26" s="189" customFormat="1" ht="12.75" customHeight="1" x14ac:dyDescent="0.2">
      <c r="A342" s="172" t="s">
        <v>107</v>
      </c>
      <c r="B342" s="172">
        <v>9</v>
      </c>
      <c r="C342" s="173" t="s">
        <v>108</v>
      </c>
      <c r="D342" s="173" t="s">
        <v>88</v>
      </c>
      <c r="E342" s="174"/>
      <c r="F342" s="174">
        <v>50000000</v>
      </c>
      <c r="G342" s="174"/>
      <c r="H342" s="175" t="s">
        <v>240</v>
      </c>
      <c r="I342" s="176" t="s">
        <v>449</v>
      </c>
      <c r="J342" s="193">
        <v>2</v>
      </c>
      <c r="K342" s="193">
        <v>3</v>
      </c>
      <c r="L342" s="193">
        <v>4</v>
      </c>
      <c r="M342" s="172">
        <f t="shared" si="58"/>
        <v>1</v>
      </c>
      <c r="N342" s="180" t="s">
        <v>43</v>
      </c>
      <c r="O342" s="181" t="str">
        <f>IF(ISBLANK(N342),"",VLOOKUP(N342,[13]Parámetros!$G$2:$H$23,2,FALSE))</f>
        <v>Selección abreviada subasta inversa</v>
      </c>
      <c r="P342" s="182">
        <f t="shared" si="54"/>
        <v>1</v>
      </c>
      <c r="Q342" s="183">
        <f t="shared" si="59"/>
        <v>50000000</v>
      </c>
      <c r="R342" s="183">
        <f t="shared" si="60"/>
        <v>50000000</v>
      </c>
      <c r="S342" s="184" t="s">
        <v>223</v>
      </c>
      <c r="T342" s="180">
        <f t="shared" si="55"/>
        <v>0</v>
      </c>
      <c r="U342" s="185" t="str">
        <f t="shared" si="61"/>
        <v>SUBDIRECCION DE GESTION CONTRACTUAL</v>
      </c>
      <c r="V342" s="172" t="str">
        <f t="shared" si="52"/>
        <v>CO-DC</v>
      </c>
      <c r="W342" s="185" t="str">
        <f t="shared" si="53"/>
        <v>Distrito Capital de Bogotá</v>
      </c>
      <c r="X342" s="186" t="s">
        <v>332</v>
      </c>
      <c r="Y342" s="172">
        <v>2427400</v>
      </c>
      <c r="Z342" s="188" t="s">
        <v>94</v>
      </c>
    </row>
    <row r="343" spans="1:26" s="189" customFormat="1" ht="12.75" customHeight="1" x14ac:dyDescent="0.25">
      <c r="A343" s="172" t="s">
        <v>107</v>
      </c>
      <c r="B343" s="172">
        <v>10</v>
      </c>
      <c r="C343" s="173" t="s">
        <v>110</v>
      </c>
      <c r="D343" s="173" t="s">
        <v>109</v>
      </c>
      <c r="E343" s="174"/>
      <c r="F343" s="174">
        <v>365899947</v>
      </c>
      <c r="G343" s="174"/>
      <c r="H343" s="175" t="s">
        <v>804</v>
      </c>
      <c r="I343" s="176" t="s">
        <v>450</v>
      </c>
      <c r="J343" s="193">
        <v>2</v>
      </c>
      <c r="K343" s="193">
        <v>3</v>
      </c>
      <c r="L343" s="193">
        <v>9</v>
      </c>
      <c r="M343" s="172">
        <f t="shared" si="58"/>
        <v>1</v>
      </c>
      <c r="N343" s="180" t="s">
        <v>36</v>
      </c>
      <c r="O343" s="181" t="str">
        <f>IF(ISBLANK(N343),"",VLOOKUP(N343,[13]Parámetros!$G$2:$H$23,2,FALSE))</f>
        <v xml:space="preserve">Contratación directa (con ofertas) </v>
      </c>
      <c r="P343" s="182">
        <f t="shared" si="54"/>
        <v>1</v>
      </c>
      <c r="Q343" s="183">
        <f t="shared" si="59"/>
        <v>365899947</v>
      </c>
      <c r="R343" s="183">
        <f t="shared" si="60"/>
        <v>365899947</v>
      </c>
      <c r="S343" s="184" t="s">
        <v>223</v>
      </c>
      <c r="T343" s="180">
        <f t="shared" si="55"/>
        <v>0</v>
      </c>
      <c r="U343" s="185" t="str">
        <f t="shared" si="61"/>
        <v>SUBDIRECCION DE GESTION CONTRACTUAL</v>
      </c>
      <c r="V343" s="172" t="str">
        <f t="shared" si="52"/>
        <v>CO-DC</v>
      </c>
      <c r="W343" s="185" t="str">
        <f t="shared" si="53"/>
        <v>Distrito Capital de Bogotá</v>
      </c>
      <c r="X343" s="186" t="s">
        <v>679</v>
      </c>
      <c r="Y343" s="172">
        <v>2427400</v>
      </c>
      <c r="Z343" s="246" t="s">
        <v>673</v>
      </c>
    </row>
    <row r="344" spans="1:26" s="189" customFormat="1" ht="12.75" customHeight="1" x14ac:dyDescent="0.25">
      <c r="A344" s="172" t="s">
        <v>107</v>
      </c>
      <c r="B344" s="172">
        <v>11</v>
      </c>
      <c r="C344" s="173" t="s">
        <v>110</v>
      </c>
      <c r="D344" s="173" t="s">
        <v>109</v>
      </c>
      <c r="E344" s="174"/>
      <c r="F344" s="174">
        <v>404480842</v>
      </c>
      <c r="G344" s="174"/>
      <c r="H344" s="175" t="s">
        <v>804</v>
      </c>
      <c r="I344" s="176" t="s">
        <v>451</v>
      </c>
      <c r="J344" s="193">
        <v>2</v>
      </c>
      <c r="K344" s="193">
        <v>3</v>
      </c>
      <c r="L344" s="193">
        <v>9</v>
      </c>
      <c r="M344" s="172">
        <f t="shared" si="58"/>
        <v>1</v>
      </c>
      <c r="N344" s="180" t="s">
        <v>36</v>
      </c>
      <c r="O344" s="181" t="str">
        <f>IF(ISBLANK(N344),"",VLOOKUP(N344,[13]Parámetros!$G$2:$H$23,2,FALSE))</f>
        <v xml:space="preserve">Contratación directa (con ofertas) </v>
      </c>
      <c r="P344" s="182">
        <f t="shared" si="54"/>
        <v>1</v>
      </c>
      <c r="Q344" s="183">
        <f t="shared" si="59"/>
        <v>404480842</v>
      </c>
      <c r="R344" s="183">
        <f t="shared" si="60"/>
        <v>404480842</v>
      </c>
      <c r="S344" s="184" t="s">
        <v>223</v>
      </c>
      <c r="T344" s="180">
        <f t="shared" si="55"/>
        <v>0</v>
      </c>
      <c r="U344" s="185" t="str">
        <f t="shared" si="61"/>
        <v>SUBDIRECCION DE GESTION CONTRACTUAL</v>
      </c>
      <c r="V344" s="172" t="str">
        <f t="shared" si="52"/>
        <v>CO-DC</v>
      </c>
      <c r="W344" s="185" t="str">
        <f t="shared" si="53"/>
        <v>Distrito Capital de Bogotá</v>
      </c>
      <c r="X344" s="186" t="s">
        <v>679</v>
      </c>
      <c r="Y344" s="172">
        <v>2427400</v>
      </c>
      <c r="Z344" s="246" t="s">
        <v>673</v>
      </c>
    </row>
    <row r="345" spans="1:26" s="189" customFormat="1" ht="12.75" customHeight="1" x14ac:dyDescent="0.25">
      <c r="A345" s="172" t="s">
        <v>107</v>
      </c>
      <c r="B345" s="172">
        <v>12</v>
      </c>
      <c r="C345" s="173" t="s">
        <v>110</v>
      </c>
      <c r="D345" s="173" t="s">
        <v>88</v>
      </c>
      <c r="E345" s="174"/>
      <c r="F345" s="174">
        <v>87602275</v>
      </c>
      <c r="G345" s="174"/>
      <c r="H345" s="175" t="s">
        <v>804</v>
      </c>
      <c r="I345" s="176" t="s">
        <v>452</v>
      </c>
      <c r="J345" s="193">
        <v>2</v>
      </c>
      <c r="K345" s="193">
        <v>3</v>
      </c>
      <c r="L345" s="193">
        <v>9</v>
      </c>
      <c r="M345" s="172">
        <f t="shared" si="58"/>
        <v>1</v>
      </c>
      <c r="N345" s="180" t="s">
        <v>36</v>
      </c>
      <c r="O345" s="181" t="str">
        <f>IF(ISBLANK(N345),"",VLOOKUP(N345,[13]Parámetros!$G$2:$H$23,2,FALSE))</f>
        <v xml:space="preserve">Contratación directa (con ofertas) </v>
      </c>
      <c r="P345" s="182">
        <f t="shared" si="54"/>
        <v>1</v>
      </c>
      <c r="Q345" s="183">
        <f t="shared" si="59"/>
        <v>87602275</v>
      </c>
      <c r="R345" s="183">
        <f t="shared" si="60"/>
        <v>87602275</v>
      </c>
      <c r="S345" s="184" t="s">
        <v>223</v>
      </c>
      <c r="T345" s="180">
        <f t="shared" si="55"/>
        <v>0</v>
      </c>
      <c r="U345" s="185" t="str">
        <f t="shared" si="61"/>
        <v>SUBDIRECCION DE GESTION CONTRACTUAL</v>
      </c>
      <c r="V345" s="172" t="str">
        <f t="shared" si="52"/>
        <v>CO-DC</v>
      </c>
      <c r="W345" s="185" t="str">
        <f t="shared" si="53"/>
        <v>Distrito Capital de Bogotá</v>
      </c>
      <c r="X345" s="186" t="s">
        <v>679</v>
      </c>
      <c r="Y345" s="172">
        <v>2427400</v>
      </c>
      <c r="Z345" s="246" t="s">
        <v>673</v>
      </c>
    </row>
    <row r="346" spans="1:26" s="189" customFormat="1" ht="12.75" customHeight="1" x14ac:dyDescent="0.25">
      <c r="A346" s="172" t="s">
        <v>107</v>
      </c>
      <c r="B346" s="172">
        <v>13</v>
      </c>
      <c r="C346" s="173" t="s">
        <v>110</v>
      </c>
      <c r="D346" s="173" t="s">
        <v>109</v>
      </c>
      <c r="E346" s="174"/>
      <c r="F346" s="174">
        <v>191609926</v>
      </c>
      <c r="G346" s="174"/>
      <c r="H346" s="175" t="s">
        <v>804</v>
      </c>
      <c r="I346" s="176" t="s">
        <v>453</v>
      </c>
      <c r="J346" s="193">
        <v>2</v>
      </c>
      <c r="K346" s="193">
        <v>3</v>
      </c>
      <c r="L346" s="193">
        <v>9</v>
      </c>
      <c r="M346" s="172">
        <f t="shared" si="58"/>
        <v>1</v>
      </c>
      <c r="N346" s="180" t="s">
        <v>36</v>
      </c>
      <c r="O346" s="181" t="str">
        <f>IF(ISBLANK(N346),"",VLOOKUP(N346,[13]Parámetros!$G$2:$H$23,2,FALSE))</f>
        <v xml:space="preserve">Contratación directa (con ofertas) </v>
      </c>
      <c r="P346" s="182">
        <f t="shared" si="54"/>
        <v>1</v>
      </c>
      <c r="Q346" s="183">
        <f t="shared" si="59"/>
        <v>191609926</v>
      </c>
      <c r="R346" s="183">
        <f t="shared" si="60"/>
        <v>191609926</v>
      </c>
      <c r="S346" s="184" t="s">
        <v>223</v>
      </c>
      <c r="T346" s="180">
        <f t="shared" si="55"/>
        <v>0</v>
      </c>
      <c r="U346" s="185" t="str">
        <f t="shared" si="61"/>
        <v>SUBDIRECCION DE GESTION CONTRACTUAL</v>
      </c>
      <c r="V346" s="172" t="str">
        <f t="shared" si="52"/>
        <v>CO-DC</v>
      </c>
      <c r="W346" s="185" t="str">
        <f t="shared" si="53"/>
        <v>Distrito Capital de Bogotá</v>
      </c>
      <c r="X346" s="186" t="s">
        <v>679</v>
      </c>
      <c r="Y346" s="172">
        <v>2427400</v>
      </c>
      <c r="Z346" s="246" t="s">
        <v>673</v>
      </c>
    </row>
    <row r="347" spans="1:26" s="189" customFormat="1" ht="12.75" customHeight="1" x14ac:dyDescent="0.25">
      <c r="A347" s="172" t="s">
        <v>107</v>
      </c>
      <c r="B347" s="172">
        <v>14</v>
      </c>
      <c r="C347" s="173" t="s">
        <v>110</v>
      </c>
      <c r="D347" s="173" t="s">
        <v>88</v>
      </c>
      <c r="E347" s="174"/>
      <c r="F347" s="174">
        <v>300000000</v>
      </c>
      <c r="G347" s="174"/>
      <c r="H347" s="175" t="s">
        <v>804</v>
      </c>
      <c r="I347" s="176" t="s">
        <v>454</v>
      </c>
      <c r="J347" s="193">
        <v>2</v>
      </c>
      <c r="K347" s="193">
        <v>3</v>
      </c>
      <c r="L347" s="193">
        <v>9</v>
      </c>
      <c r="M347" s="172">
        <f t="shared" si="58"/>
        <v>1</v>
      </c>
      <c r="N347" s="180" t="s">
        <v>36</v>
      </c>
      <c r="O347" s="181" t="str">
        <f>IF(ISBLANK(N347),"",VLOOKUP(N347,[13]Parámetros!$G$2:$H$23,2,FALSE))</f>
        <v xml:space="preserve">Contratación directa (con ofertas) </v>
      </c>
      <c r="P347" s="182">
        <f t="shared" ref="P347:P378" si="62">IF(ISBLANK(N347),"",1)</f>
        <v>1</v>
      </c>
      <c r="Q347" s="183">
        <f t="shared" si="59"/>
        <v>300000000</v>
      </c>
      <c r="R347" s="183">
        <f t="shared" si="60"/>
        <v>300000000</v>
      </c>
      <c r="S347" s="184" t="s">
        <v>223</v>
      </c>
      <c r="T347" s="180">
        <f t="shared" ref="T347:T378" si="63">IF(ISBLANK(S347),"",IF(VALUE(S347)=0,0,IF(VALUE(S347)=1,3,"")))</f>
        <v>0</v>
      </c>
      <c r="U347" s="185" t="str">
        <f t="shared" si="61"/>
        <v>SUBDIRECCION DE GESTION CONTRACTUAL</v>
      </c>
      <c r="V347" s="172" t="str">
        <f t="shared" si="52"/>
        <v>CO-DC</v>
      </c>
      <c r="W347" s="185" t="str">
        <f t="shared" si="53"/>
        <v>Distrito Capital de Bogotá</v>
      </c>
      <c r="X347" s="186" t="s">
        <v>679</v>
      </c>
      <c r="Y347" s="172">
        <v>2427400</v>
      </c>
      <c r="Z347" s="246" t="s">
        <v>673</v>
      </c>
    </row>
    <row r="348" spans="1:26" s="189" customFormat="1" ht="12.75" customHeight="1" x14ac:dyDescent="0.25">
      <c r="A348" s="172" t="s">
        <v>107</v>
      </c>
      <c r="B348" s="172">
        <v>15</v>
      </c>
      <c r="C348" s="173" t="s">
        <v>110</v>
      </c>
      <c r="D348" s="173" t="s">
        <v>88</v>
      </c>
      <c r="E348" s="174"/>
      <c r="F348" s="174">
        <v>742800000</v>
      </c>
      <c r="G348" s="174"/>
      <c r="H348" s="175" t="s">
        <v>804</v>
      </c>
      <c r="I348" s="176" t="s">
        <v>455</v>
      </c>
      <c r="J348" s="193">
        <v>2</v>
      </c>
      <c r="K348" s="193">
        <v>3</v>
      </c>
      <c r="L348" s="193">
        <v>9</v>
      </c>
      <c r="M348" s="172">
        <f t="shared" si="58"/>
        <v>1</v>
      </c>
      <c r="N348" s="180" t="s">
        <v>36</v>
      </c>
      <c r="O348" s="181" t="str">
        <f>IF(ISBLANK(N348),"",VLOOKUP(N348,[13]Parámetros!$G$2:$H$23,2,FALSE))</f>
        <v xml:space="preserve">Contratación directa (con ofertas) </v>
      </c>
      <c r="P348" s="182">
        <f t="shared" si="62"/>
        <v>1</v>
      </c>
      <c r="Q348" s="183">
        <f t="shared" si="59"/>
        <v>742800000</v>
      </c>
      <c r="R348" s="183">
        <f t="shared" si="60"/>
        <v>742800000</v>
      </c>
      <c r="S348" s="184" t="s">
        <v>223</v>
      </c>
      <c r="T348" s="180">
        <f t="shared" si="63"/>
        <v>0</v>
      </c>
      <c r="U348" s="185" t="str">
        <f t="shared" si="61"/>
        <v>SUBDIRECCION DE GESTION CONTRACTUAL</v>
      </c>
      <c r="V348" s="172" t="str">
        <f t="shared" si="52"/>
        <v>CO-DC</v>
      </c>
      <c r="W348" s="185" t="str">
        <f t="shared" si="53"/>
        <v>Distrito Capital de Bogotá</v>
      </c>
      <c r="X348" s="186" t="s">
        <v>679</v>
      </c>
      <c r="Y348" s="172">
        <v>2427400</v>
      </c>
      <c r="Z348" s="246" t="s">
        <v>673</v>
      </c>
    </row>
    <row r="349" spans="1:26" s="189" customFormat="1" ht="12.75" customHeight="1" x14ac:dyDescent="0.25">
      <c r="A349" s="172" t="s">
        <v>107</v>
      </c>
      <c r="B349" s="172">
        <v>16</v>
      </c>
      <c r="C349" s="173" t="s">
        <v>111</v>
      </c>
      <c r="D349" s="173" t="s">
        <v>109</v>
      </c>
      <c r="E349" s="174"/>
      <c r="F349" s="174">
        <v>54798795</v>
      </c>
      <c r="G349" s="174"/>
      <c r="H349" s="175" t="s">
        <v>804</v>
      </c>
      <c r="I349" s="176" t="s">
        <v>456</v>
      </c>
      <c r="J349" s="193">
        <v>2</v>
      </c>
      <c r="K349" s="193">
        <v>3</v>
      </c>
      <c r="L349" s="193">
        <v>9</v>
      </c>
      <c r="M349" s="172">
        <f t="shared" si="58"/>
        <v>1</v>
      </c>
      <c r="N349" s="180" t="s">
        <v>36</v>
      </c>
      <c r="O349" s="181" t="str">
        <f>IF(ISBLANK(N349),"",VLOOKUP(N349,[13]Parámetros!$G$2:$H$23,2,FALSE))</f>
        <v xml:space="preserve">Contratación directa (con ofertas) </v>
      </c>
      <c r="P349" s="182">
        <f t="shared" si="62"/>
        <v>1</v>
      </c>
      <c r="Q349" s="183">
        <f t="shared" si="59"/>
        <v>54798795</v>
      </c>
      <c r="R349" s="183">
        <f t="shared" si="60"/>
        <v>54798795</v>
      </c>
      <c r="S349" s="184" t="s">
        <v>223</v>
      </c>
      <c r="T349" s="180">
        <f t="shared" si="63"/>
        <v>0</v>
      </c>
      <c r="U349" s="185" t="str">
        <f t="shared" si="61"/>
        <v>SUBDIRECCION DE GESTION CONTRACTUAL</v>
      </c>
      <c r="V349" s="172" t="str">
        <f t="shared" si="52"/>
        <v>CO-DC</v>
      </c>
      <c r="W349" s="185" t="str">
        <f t="shared" si="53"/>
        <v>Distrito Capital de Bogotá</v>
      </c>
      <c r="X349" s="186" t="s">
        <v>679</v>
      </c>
      <c r="Y349" s="172">
        <v>2427400</v>
      </c>
      <c r="Z349" s="246" t="s">
        <v>673</v>
      </c>
    </row>
    <row r="350" spans="1:26" s="189" customFormat="1" ht="12.75" customHeight="1" x14ac:dyDescent="0.25">
      <c r="A350" s="172" t="s">
        <v>107</v>
      </c>
      <c r="B350" s="172">
        <v>17</v>
      </c>
      <c r="C350" s="173" t="s">
        <v>111</v>
      </c>
      <c r="D350" s="173" t="s">
        <v>109</v>
      </c>
      <c r="E350" s="174"/>
      <c r="F350" s="174">
        <v>81548796</v>
      </c>
      <c r="G350" s="174"/>
      <c r="H350" s="175" t="s">
        <v>804</v>
      </c>
      <c r="I350" s="176" t="s">
        <v>457</v>
      </c>
      <c r="J350" s="193">
        <v>2</v>
      </c>
      <c r="K350" s="193">
        <v>3</v>
      </c>
      <c r="L350" s="193">
        <v>9</v>
      </c>
      <c r="M350" s="172">
        <f t="shared" si="58"/>
        <v>1</v>
      </c>
      <c r="N350" s="180" t="s">
        <v>36</v>
      </c>
      <c r="O350" s="181" t="str">
        <f>IF(ISBLANK(N350),"",VLOOKUP(N350,[13]Parámetros!$G$2:$H$23,2,FALSE))</f>
        <v xml:space="preserve">Contratación directa (con ofertas) </v>
      </c>
      <c r="P350" s="182">
        <f t="shared" si="62"/>
        <v>1</v>
      </c>
      <c r="Q350" s="183">
        <f t="shared" si="59"/>
        <v>81548796</v>
      </c>
      <c r="R350" s="183">
        <f t="shared" si="60"/>
        <v>81548796</v>
      </c>
      <c r="S350" s="184" t="s">
        <v>223</v>
      </c>
      <c r="T350" s="180">
        <f t="shared" si="63"/>
        <v>0</v>
      </c>
      <c r="U350" s="185" t="str">
        <f t="shared" si="61"/>
        <v>SUBDIRECCION DE GESTION CONTRACTUAL</v>
      </c>
      <c r="V350" s="172" t="str">
        <f t="shared" si="52"/>
        <v>CO-DC</v>
      </c>
      <c r="W350" s="185" t="str">
        <f t="shared" si="53"/>
        <v>Distrito Capital de Bogotá</v>
      </c>
      <c r="X350" s="186" t="s">
        <v>679</v>
      </c>
      <c r="Y350" s="172">
        <v>2427400</v>
      </c>
      <c r="Z350" s="246" t="s">
        <v>673</v>
      </c>
    </row>
    <row r="351" spans="1:26" s="189" customFormat="1" ht="12.75" customHeight="1" x14ac:dyDescent="0.25">
      <c r="A351" s="172" t="s">
        <v>107</v>
      </c>
      <c r="B351" s="172">
        <v>18</v>
      </c>
      <c r="C351" s="173" t="s">
        <v>111</v>
      </c>
      <c r="D351" s="173" t="s">
        <v>88</v>
      </c>
      <c r="E351" s="174"/>
      <c r="F351" s="174">
        <v>3625228068</v>
      </c>
      <c r="G351" s="174"/>
      <c r="H351" s="175" t="s">
        <v>804</v>
      </c>
      <c r="I351" s="176" t="s">
        <v>458</v>
      </c>
      <c r="J351" s="193">
        <v>2</v>
      </c>
      <c r="K351" s="193">
        <v>3</v>
      </c>
      <c r="L351" s="193">
        <v>9</v>
      </c>
      <c r="M351" s="172">
        <f t="shared" si="58"/>
        <v>1</v>
      </c>
      <c r="N351" s="180" t="s">
        <v>36</v>
      </c>
      <c r="O351" s="181" t="str">
        <f>IF(ISBLANK(N351),"",VLOOKUP(N351,[13]Parámetros!$G$2:$H$23,2,FALSE))</f>
        <v xml:space="preserve">Contratación directa (con ofertas) </v>
      </c>
      <c r="P351" s="182">
        <f t="shared" si="62"/>
        <v>1</v>
      </c>
      <c r="Q351" s="183">
        <f t="shared" si="59"/>
        <v>3625228068</v>
      </c>
      <c r="R351" s="183">
        <f t="shared" si="60"/>
        <v>3625228068</v>
      </c>
      <c r="S351" s="184" t="s">
        <v>223</v>
      </c>
      <c r="T351" s="180">
        <f t="shared" si="63"/>
        <v>0</v>
      </c>
      <c r="U351" s="185" t="str">
        <f t="shared" si="61"/>
        <v>SUBDIRECCION DE GESTION CONTRACTUAL</v>
      </c>
      <c r="V351" s="172" t="str">
        <f t="shared" si="52"/>
        <v>CO-DC</v>
      </c>
      <c r="W351" s="185" t="str">
        <f t="shared" si="53"/>
        <v>Distrito Capital de Bogotá</v>
      </c>
      <c r="X351" s="186" t="s">
        <v>679</v>
      </c>
      <c r="Y351" s="172">
        <v>2427400</v>
      </c>
      <c r="Z351" s="246" t="s">
        <v>673</v>
      </c>
    </row>
    <row r="352" spans="1:26" s="189" customFormat="1" ht="12.75" customHeight="1" x14ac:dyDescent="0.25">
      <c r="A352" s="172" t="s">
        <v>107</v>
      </c>
      <c r="B352" s="172">
        <v>19</v>
      </c>
      <c r="C352" s="173" t="s">
        <v>111</v>
      </c>
      <c r="D352" s="173" t="s">
        <v>109</v>
      </c>
      <c r="E352" s="174"/>
      <c r="F352" s="174">
        <v>707908984</v>
      </c>
      <c r="G352" s="174"/>
      <c r="H352" s="175" t="s">
        <v>804</v>
      </c>
      <c r="I352" s="176" t="s">
        <v>459</v>
      </c>
      <c r="J352" s="193">
        <v>2</v>
      </c>
      <c r="K352" s="193">
        <v>3</v>
      </c>
      <c r="L352" s="193">
        <v>9</v>
      </c>
      <c r="M352" s="172">
        <f t="shared" si="58"/>
        <v>1</v>
      </c>
      <c r="N352" s="180" t="s">
        <v>36</v>
      </c>
      <c r="O352" s="181" t="str">
        <f>IF(ISBLANK(N352),"",VLOOKUP(N352,[13]Parámetros!$G$2:$H$23,2,FALSE))</f>
        <v xml:space="preserve">Contratación directa (con ofertas) </v>
      </c>
      <c r="P352" s="182">
        <f t="shared" si="62"/>
        <v>1</v>
      </c>
      <c r="Q352" s="183">
        <f t="shared" si="59"/>
        <v>707908984</v>
      </c>
      <c r="R352" s="183">
        <f t="shared" si="60"/>
        <v>707908984</v>
      </c>
      <c r="S352" s="184" t="s">
        <v>223</v>
      </c>
      <c r="T352" s="180">
        <f t="shared" si="63"/>
        <v>0</v>
      </c>
      <c r="U352" s="185" t="str">
        <f t="shared" si="61"/>
        <v>SUBDIRECCION DE GESTION CONTRACTUAL</v>
      </c>
      <c r="V352" s="172" t="str">
        <f t="shared" si="52"/>
        <v>CO-DC</v>
      </c>
      <c r="W352" s="185" t="str">
        <f t="shared" si="53"/>
        <v>Distrito Capital de Bogotá</v>
      </c>
      <c r="X352" s="186" t="s">
        <v>679</v>
      </c>
      <c r="Y352" s="172">
        <v>2427400</v>
      </c>
      <c r="Z352" s="246" t="s">
        <v>673</v>
      </c>
    </row>
    <row r="353" spans="1:85" s="189" customFormat="1" ht="12.75" customHeight="1" x14ac:dyDescent="0.25">
      <c r="A353" s="172" t="s">
        <v>107</v>
      </c>
      <c r="B353" s="172">
        <v>20</v>
      </c>
      <c r="C353" s="173" t="s">
        <v>111</v>
      </c>
      <c r="D353" s="173" t="s">
        <v>109</v>
      </c>
      <c r="E353" s="174"/>
      <c r="F353" s="174">
        <v>239070300</v>
      </c>
      <c r="G353" s="174"/>
      <c r="H353" s="175" t="s">
        <v>804</v>
      </c>
      <c r="I353" s="176" t="s">
        <v>460</v>
      </c>
      <c r="J353" s="193">
        <v>2</v>
      </c>
      <c r="K353" s="193">
        <v>3</v>
      </c>
      <c r="L353" s="193">
        <v>9</v>
      </c>
      <c r="M353" s="172">
        <f t="shared" si="58"/>
        <v>1</v>
      </c>
      <c r="N353" s="180" t="s">
        <v>36</v>
      </c>
      <c r="O353" s="181" t="str">
        <f>IF(ISBLANK(N353),"",VLOOKUP(N353,[13]Parámetros!$G$2:$H$23,2,FALSE))</f>
        <v xml:space="preserve">Contratación directa (con ofertas) </v>
      </c>
      <c r="P353" s="182">
        <f t="shared" si="62"/>
        <v>1</v>
      </c>
      <c r="Q353" s="183">
        <f t="shared" si="59"/>
        <v>239070300</v>
      </c>
      <c r="R353" s="183">
        <f t="shared" si="60"/>
        <v>239070300</v>
      </c>
      <c r="S353" s="184" t="s">
        <v>223</v>
      </c>
      <c r="T353" s="180">
        <f t="shared" si="63"/>
        <v>0</v>
      </c>
      <c r="U353" s="185" t="str">
        <f t="shared" si="61"/>
        <v>SUBDIRECCION DE GESTION CONTRACTUAL</v>
      </c>
      <c r="V353" s="172" t="str">
        <f t="shared" si="52"/>
        <v>CO-DC</v>
      </c>
      <c r="W353" s="185" t="str">
        <f t="shared" si="53"/>
        <v>Distrito Capital de Bogotá</v>
      </c>
      <c r="X353" s="186" t="s">
        <v>679</v>
      </c>
      <c r="Y353" s="172">
        <v>2427400</v>
      </c>
      <c r="Z353" s="246" t="s">
        <v>673</v>
      </c>
    </row>
    <row r="354" spans="1:85" s="189" customFormat="1" ht="12.75" customHeight="1" x14ac:dyDescent="0.25">
      <c r="A354" s="172" t="s">
        <v>107</v>
      </c>
      <c r="B354" s="172">
        <v>21</v>
      </c>
      <c r="C354" s="173" t="s">
        <v>461</v>
      </c>
      <c r="D354" s="173" t="s">
        <v>109</v>
      </c>
      <c r="E354" s="174"/>
      <c r="F354" s="174">
        <v>377537308</v>
      </c>
      <c r="G354" s="174"/>
      <c r="H354" s="175" t="s">
        <v>804</v>
      </c>
      <c r="I354" s="176" t="s">
        <v>462</v>
      </c>
      <c r="J354" s="193">
        <v>2</v>
      </c>
      <c r="K354" s="193">
        <v>3</v>
      </c>
      <c r="L354" s="193">
        <v>9</v>
      </c>
      <c r="M354" s="172">
        <f t="shared" si="58"/>
        <v>1</v>
      </c>
      <c r="N354" s="180" t="s">
        <v>36</v>
      </c>
      <c r="O354" s="181" t="str">
        <f>IF(ISBLANK(N354),"",VLOOKUP(N354,[13]Parámetros!$G$2:$H$23,2,FALSE))</f>
        <v xml:space="preserve">Contratación directa (con ofertas) </v>
      </c>
      <c r="P354" s="182">
        <f t="shared" si="62"/>
        <v>1</v>
      </c>
      <c r="Q354" s="183">
        <f t="shared" si="59"/>
        <v>377537308</v>
      </c>
      <c r="R354" s="183">
        <f t="shared" si="60"/>
        <v>377537308</v>
      </c>
      <c r="S354" s="184" t="s">
        <v>223</v>
      </c>
      <c r="T354" s="180">
        <f t="shared" si="63"/>
        <v>0</v>
      </c>
      <c r="U354" s="185" t="str">
        <f t="shared" si="61"/>
        <v>SUBDIRECCION DE GESTION CONTRACTUAL</v>
      </c>
      <c r="V354" s="172" t="str">
        <f t="shared" si="52"/>
        <v>CO-DC</v>
      </c>
      <c r="W354" s="185" t="str">
        <f t="shared" si="53"/>
        <v>Distrito Capital de Bogotá</v>
      </c>
      <c r="X354" s="186" t="s">
        <v>679</v>
      </c>
      <c r="Y354" s="172">
        <v>2427400</v>
      </c>
      <c r="Z354" s="246" t="s">
        <v>673</v>
      </c>
    </row>
    <row r="355" spans="1:85" s="189" customFormat="1" ht="12.75" customHeight="1" x14ac:dyDescent="0.25">
      <c r="A355" s="172" t="s">
        <v>107</v>
      </c>
      <c r="B355" s="172">
        <v>22</v>
      </c>
      <c r="C355" s="173" t="s">
        <v>461</v>
      </c>
      <c r="D355" s="173" t="s">
        <v>109</v>
      </c>
      <c r="E355" s="174"/>
      <c r="F355" s="174">
        <v>57388638</v>
      </c>
      <c r="G355" s="174"/>
      <c r="H355" s="175" t="s">
        <v>804</v>
      </c>
      <c r="I355" s="176" t="s">
        <v>463</v>
      </c>
      <c r="J355" s="193">
        <v>2</v>
      </c>
      <c r="K355" s="193">
        <v>3</v>
      </c>
      <c r="L355" s="193">
        <v>9</v>
      </c>
      <c r="M355" s="172">
        <f t="shared" si="58"/>
        <v>1</v>
      </c>
      <c r="N355" s="180" t="s">
        <v>36</v>
      </c>
      <c r="O355" s="181" t="str">
        <f>IF(ISBLANK(N355),"",VLOOKUP(N355,[13]Parámetros!$G$2:$H$23,2,FALSE))</f>
        <v xml:space="preserve">Contratación directa (con ofertas) </v>
      </c>
      <c r="P355" s="182">
        <f t="shared" si="62"/>
        <v>1</v>
      </c>
      <c r="Q355" s="183">
        <f t="shared" si="59"/>
        <v>57388638</v>
      </c>
      <c r="R355" s="183">
        <f t="shared" si="60"/>
        <v>57388638</v>
      </c>
      <c r="S355" s="184" t="s">
        <v>223</v>
      </c>
      <c r="T355" s="180">
        <f t="shared" si="63"/>
        <v>0</v>
      </c>
      <c r="U355" s="185" t="str">
        <f t="shared" si="61"/>
        <v>SUBDIRECCION DE GESTION CONTRACTUAL</v>
      </c>
      <c r="V355" s="172" t="str">
        <f t="shared" ref="V355:V418" si="64">IF(ISBLANK(N355),"","CO-DC")</f>
        <v>CO-DC</v>
      </c>
      <c r="W355" s="185" t="str">
        <f t="shared" ref="W355:W418" si="65">IF(ISBLANK(N355),"","Distrito Capital de Bogotá")</f>
        <v>Distrito Capital de Bogotá</v>
      </c>
      <c r="X355" s="186" t="s">
        <v>679</v>
      </c>
      <c r="Y355" s="172">
        <v>2427400</v>
      </c>
      <c r="Z355" s="246" t="s">
        <v>673</v>
      </c>
    </row>
    <row r="356" spans="1:85" s="189" customFormat="1" ht="12.75" customHeight="1" x14ac:dyDescent="0.25">
      <c r="A356" s="172" t="s">
        <v>107</v>
      </c>
      <c r="B356" s="172">
        <v>23</v>
      </c>
      <c r="C356" s="173" t="s">
        <v>461</v>
      </c>
      <c r="D356" s="173" t="s">
        <v>109</v>
      </c>
      <c r="E356" s="174"/>
      <c r="F356" s="174">
        <v>132529770</v>
      </c>
      <c r="G356" s="174"/>
      <c r="H356" s="175" t="s">
        <v>804</v>
      </c>
      <c r="I356" s="176" t="s">
        <v>464</v>
      </c>
      <c r="J356" s="193">
        <v>2</v>
      </c>
      <c r="K356" s="193">
        <v>3</v>
      </c>
      <c r="L356" s="193">
        <v>9</v>
      </c>
      <c r="M356" s="172">
        <f t="shared" si="58"/>
        <v>1</v>
      </c>
      <c r="N356" s="180" t="s">
        <v>36</v>
      </c>
      <c r="O356" s="181" t="str">
        <f>IF(ISBLANK(N356),"",VLOOKUP(N356,[13]Parámetros!$G$2:$H$23,2,FALSE))</f>
        <v xml:space="preserve">Contratación directa (con ofertas) </v>
      </c>
      <c r="P356" s="182">
        <f t="shared" si="62"/>
        <v>1</v>
      </c>
      <c r="Q356" s="183">
        <f t="shared" si="59"/>
        <v>132529770</v>
      </c>
      <c r="R356" s="183">
        <f t="shared" si="60"/>
        <v>132529770</v>
      </c>
      <c r="S356" s="184" t="s">
        <v>223</v>
      </c>
      <c r="T356" s="180">
        <f t="shared" si="63"/>
        <v>0</v>
      </c>
      <c r="U356" s="185" t="str">
        <f t="shared" si="61"/>
        <v>SUBDIRECCION DE GESTION CONTRACTUAL</v>
      </c>
      <c r="V356" s="172" t="str">
        <f t="shared" si="64"/>
        <v>CO-DC</v>
      </c>
      <c r="W356" s="185" t="str">
        <f t="shared" si="65"/>
        <v>Distrito Capital de Bogotá</v>
      </c>
      <c r="X356" s="186" t="s">
        <v>679</v>
      </c>
      <c r="Y356" s="172">
        <v>2427400</v>
      </c>
      <c r="Z356" s="246" t="s">
        <v>673</v>
      </c>
    </row>
    <row r="357" spans="1:85" s="189" customFormat="1" ht="12.75" customHeight="1" x14ac:dyDescent="0.25">
      <c r="A357" s="172" t="s">
        <v>107</v>
      </c>
      <c r="B357" s="172">
        <v>24</v>
      </c>
      <c r="C357" s="173" t="s">
        <v>461</v>
      </c>
      <c r="D357" s="173" t="s">
        <v>88</v>
      </c>
      <c r="E357" s="174"/>
      <c r="F357" s="174">
        <v>300000000</v>
      </c>
      <c r="G357" s="174"/>
      <c r="H357" s="175" t="s">
        <v>804</v>
      </c>
      <c r="I357" s="176" t="s">
        <v>465</v>
      </c>
      <c r="J357" s="193">
        <v>2</v>
      </c>
      <c r="K357" s="193">
        <v>3</v>
      </c>
      <c r="L357" s="193">
        <v>9</v>
      </c>
      <c r="M357" s="172">
        <f t="shared" si="58"/>
        <v>1</v>
      </c>
      <c r="N357" s="180" t="s">
        <v>36</v>
      </c>
      <c r="O357" s="181" t="str">
        <f>IF(ISBLANK(N357),"",VLOOKUP(N357,[13]Parámetros!$G$2:$H$23,2,FALSE))</f>
        <v xml:space="preserve">Contratación directa (con ofertas) </v>
      </c>
      <c r="P357" s="182">
        <f t="shared" si="62"/>
        <v>1</v>
      </c>
      <c r="Q357" s="183">
        <f t="shared" si="59"/>
        <v>300000000</v>
      </c>
      <c r="R357" s="183">
        <f t="shared" si="60"/>
        <v>300000000</v>
      </c>
      <c r="S357" s="184" t="s">
        <v>223</v>
      </c>
      <c r="T357" s="180">
        <f t="shared" si="63"/>
        <v>0</v>
      </c>
      <c r="U357" s="185" t="str">
        <f t="shared" si="61"/>
        <v>SUBDIRECCION DE GESTION CONTRACTUAL</v>
      </c>
      <c r="V357" s="172" t="str">
        <f t="shared" si="64"/>
        <v>CO-DC</v>
      </c>
      <c r="W357" s="185" t="str">
        <f t="shared" si="65"/>
        <v>Distrito Capital de Bogotá</v>
      </c>
      <c r="X357" s="186" t="s">
        <v>679</v>
      </c>
      <c r="Y357" s="172">
        <v>2427400</v>
      </c>
      <c r="Z357" s="246" t="s">
        <v>673</v>
      </c>
    </row>
    <row r="358" spans="1:85" s="189" customFormat="1" ht="12.75" customHeight="1" x14ac:dyDescent="0.2">
      <c r="A358" s="247" t="s">
        <v>112</v>
      </c>
      <c r="B358" s="187">
        <v>1</v>
      </c>
      <c r="C358" s="248" t="s">
        <v>546</v>
      </c>
      <c r="D358" s="197" t="s">
        <v>500</v>
      </c>
      <c r="E358" s="199"/>
      <c r="F358" s="199">
        <v>1076707446</v>
      </c>
      <c r="G358" s="199"/>
      <c r="H358" s="197">
        <v>80111600</v>
      </c>
      <c r="I358" s="248" t="s">
        <v>547</v>
      </c>
      <c r="J358" s="187">
        <v>1</v>
      </c>
      <c r="K358" s="187">
        <v>1</v>
      </c>
      <c r="L358" s="187">
        <v>12</v>
      </c>
      <c r="M358" s="172">
        <f t="shared" si="58"/>
        <v>1</v>
      </c>
      <c r="N358" s="180" t="s">
        <v>216</v>
      </c>
      <c r="O358" s="181" t="str">
        <f>IF(ISBLANK(N358),"",VLOOKUP(N358,[14]Parámetros!$G$2:$H$23,2,FALSE))</f>
        <v>Contratación directa.</v>
      </c>
      <c r="P358" s="249">
        <f t="shared" si="62"/>
        <v>1</v>
      </c>
      <c r="Q358" s="183">
        <f t="shared" si="59"/>
        <v>1076707446</v>
      </c>
      <c r="R358" s="183">
        <f t="shared" si="60"/>
        <v>1076707446</v>
      </c>
      <c r="S358" s="250" t="s">
        <v>223</v>
      </c>
      <c r="T358" s="249">
        <f t="shared" si="63"/>
        <v>0</v>
      </c>
      <c r="U358" s="185" t="str">
        <f t="shared" si="61"/>
        <v>SUBDIRECCION DE GESTION CONTRACTUAL</v>
      </c>
      <c r="V358" s="249" t="str">
        <f t="shared" si="64"/>
        <v>CO-DC</v>
      </c>
      <c r="W358" s="249" t="str">
        <f t="shared" si="65"/>
        <v>Distrito Capital de Bogotá</v>
      </c>
      <c r="X358" s="197" t="s">
        <v>113</v>
      </c>
      <c r="Y358" s="187">
        <v>2427400</v>
      </c>
      <c r="Z358" s="251" t="s">
        <v>114</v>
      </c>
      <c r="AA358" s="252"/>
      <c r="AB358" s="252"/>
      <c r="AC358" s="252"/>
      <c r="AD358" s="252"/>
      <c r="AE358" s="252"/>
      <c r="AF358" s="252"/>
      <c r="AG358" s="252"/>
      <c r="AH358" s="252"/>
      <c r="AI358" s="252"/>
      <c r="AJ358" s="252"/>
      <c r="AK358" s="252"/>
      <c r="AL358" s="252"/>
      <c r="AM358" s="252"/>
      <c r="AN358" s="252"/>
      <c r="AO358" s="252"/>
      <c r="AP358" s="252"/>
      <c r="AQ358" s="252"/>
      <c r="AR358" s="252"/>
      <c r="AS358" s="252"/>
      <c r="AT358" s="252"/>
      <c r="AU358" s="195"/>
      <c r="AV358" s="195"/>
      <c r="AW358" s="195"/>
      <c r="AX358" s="195"/>
      <c r="AY358" s="195"/>
      <c r="AZ358" s="195"/>
      <c r="BA358" s="195"/>
      <c r="BB358" s="195"/>
      <c r="BC358" s="195"/>
      <c r="BD358" s="195"/>
      <c r="BE358" s="195"/>
      <c r="BF358" s="195"/>
      <c r="BG358" s="195"/>
      <c r="BH358" s="195"/>
      <c r="BI358" s="195"/>
      <c r="BJ358" s="195"/>
      <c r="BK358" s="195"/>
      <c r="BL358" s="195"/>
      <c r="BM358" s="195"/>
      <c r="BN358" s="195"/>
      <c r="BO358" s="195"/>
      <c r="BP358" s="195"/>
      <c r="BQ358" s="195"/>
      <c r="BR358" s="195"/>
      <c r="BS358" s="195"/>
      <c r="BT358" s="195"/>
      <c r="BU358" s="195"/>
      <c r="BV358" s="195"/>
      <c r="BW358" s="195"/>
      <c r="BX358" s="195"/>
      <c r="BY358" s="195"/>
      <c r="BZ358" s="195"/>
      <c r="CA358" s="195"/>
      <c r="CB358" s="195"/>
      <c r="CC358" s="195"/>
      <c r="CD358" s="195"/>
      <c r="CE358" s="195"/>
      <c r="CF358" s="195"/>
      <c r="CG358" s="195"/>
    </row>
    <row r="359" spans="1:85" s="189" customFormat="1" ht="12.75" customHeight="1" x14ac:dyDescent="0.2">
      <c r="A359" s="247" t="s">
        <v>112</v>
      </c>
      <c r="B359" s="187">
        <v>2</v>
      </c>
      <c r="C359" s="248" t="s">
        <v>548</v>
      </c>
      <c r="D359" s="197" t="s">
        <v>500</v>
      </c>
      <c r="E359" s="199"/>
      <c r="F359" s="199">
        <v>78585815</v>
      </c>
      <c r="G359" s="199"/>
      <c r="H359" s="197">
        <v>86101705</v>
      </c>
      <c r="I359" s="248" t="s">
        <v>549</v>
      </c>
      <c r="J359" s="187">
        <v>3</v>
      </c>
      <c r="K359" s="187">
        <v>3</v>
      </c>
      <c r="L359" s="187">
        <v>2</v>
      </c>
      <c r="M359" s="172">
        <f t="shared" si="58"/>
        <v>1</v>
      </c>
      <c r="N359" s="180" t="s">
        <v>329</v>
      </c>
      <c r="O359" s="181" t="str">
        <f>IF(ISBLANK(N359),"",VLOOKUP(N359,[14]Parámetros!$G$2:$H$23,2,FALSE))</f>
        <v>Selección abreviada menor cuantía</v>
      </c>
      <c r="P359" s="249">
        <f t="shared" si="62"/>
        <v>1</v>
      </c>
      <c r="Q359" s="183">
        <f t="shared" si="59"/>
        <v>78585815</v>
      </c>
      <c r="R359" s="183">
        <f t="shared" si="60"/>
        <v>78585815</v>
      </c>
      <c r="S359" s="250" t="s">
        <v>223</v>
      </c>
      <c r="T359" s="249">
        <f t="shared" si="63"/>
        <v>0</v>
      </c>
      <c r="U359" s="185" t="str">
        <f t="shared" si="61"/>
        <v>SUBDIRECCION DE GESTION CONTRACTUAL</v>
      </c>
      <c r="V359" s="249" t="str">
        <f t="shared" si="64"/>
        <v>CO-DC</v>
      </c>
      <c r="W359" s="249" t="str">
        <f t="shared" si="65"/>
        <v>Distrito Capital de Bogotá</v>
      </c>
      <c r="X359" s="197" t="s">
        <v>113</v>
      </c>
      <c r="Y359" s="187">
        <v>2427400</v>
      </c>
      <c r="Z359" s="251" t="s">
        <v>114</v>
      </c>
      <c r="AA359" s="252"/>
      <c r="AB359" s="252"/>
      <c r="AC359" s="252"/>
      <c r="AD359" s="252"/>
      <c r="AE359" s="252"/>
      <c r="AF359" s="252"/>
      <c r="AG359" s="252"/>
      <c r="AH359" s="252"/>
      <c r="AI359" s="252"/>
      <c r="AJ359" s="252"/>
      <c r="AK359" s="252"/>
      <c r="AL359" s="252"/>
      <c r="AM359" s="252"/>
      <c r="AN359" s="252"/>
      <c r="AO359" s="252"/>
      <c r="AP359" s="252"/>
      <c r="AQ359" s="252"/>
      <c r="AR359" s="252"/>
      <c r="AS359" s="252"/>
      <c r="AT359" s="252"/>
      <c r="AU359" s="195"/>
      <c r="AV359" s="195"/>
      <c r="AW359" s="195"/>
      <c r="AX359" s="195"/>
      <c r="AY359" s="195"/>
      <c r="AZ359" s="195"/>
      <c r="BA359" s="195"/>
      <c r="BB359" s="195"/>
      <c r="BC359" s="195"/>
      <c r="BD359" s="195"/>
      <c r="BE359" s="195"/>
      <c r="BF359" s="195"/>
      <c r="BG359" s="195"/>
      <c r="BH359" s="195"/>
      <c r="BI359" s="195"/>
      <c r="BJ359" s="195"/>
      <c r="BK359" s="195"/>
      <c r="BL359" s="195"/>
      <c r="BM359" s="195"/>
      <c r="BN359" s="195"/>
      <c r="BO359" s="195"/>
      <c r="BP359" s="195"/>
      <c r="BQ359" s="195"/>
      <c r="BR359" s="195"/>
      <c r="BS359" s="195"/>
      <c r="BT359" s="195"/>
      <c r="BU359" s="195"/>
      <c r="BV359" s="195"/>
      <c r="BW359" s="195"/>
      <c r="BX359" s="195"/>
      <c r="BY359" s="195"/>
      <c r="BZ359" s="195"/>
      <c r="CA359" s="195"/>
      <c r="CB359" s="195"/>
      <c r="CC359" s="195"/>
      <c r="CD359" s="195"/>
      <c r="CE359" s="195"/>
      <c r="CF359" s="195"/>
      <c r="CG359" s="195"/>
    </row>
    <row r="360" spans="1:85" s="189" customFormat="1" ht="12.75" customHeight="1" x14ac:dyDescent="0.2">
      <c r="A360" s="247" t="s">
        <v>112</v>
      </c>
      <c r="B360" s="187">
        <v>3</v>
      </c>
      <c r="C360" s="248" t="s">
        <v>550</v>
      </c>
      <c r="D360" s="197" t="s">
        <v>500</v>
      </c>
      <c r="E360" s="199"/>
      <c r="F360" s="199">
        <v>378325067</v>
      </c>
      <c r="G360" s="199"/>
      <c r="H360" s="197">
        <v>80111600</v>
      </c>
      <c r="I360" s="248" t="s">
        <v>547</v>
      </c>
      <c r="J360" s="187">
        <v>1</v>
      </c>
      <c r="K360" s="187">
        <v>1</v>
      </c>
      <c r="L360" s="187">
        <v>12</v>
      </c>
      <c r="M360" s="172">
        <f t="shared" si="58"/>
        <v>1</v>
      </c>
      <c r="N360" s="180" t="s">
        <v>216</v>
      </c>
      <c r="O360" s="181" t="str">
        <f>IF(ISBLANK(N360),"",VLOOKUP(N360,[14]Parámetros!$G$2:$H$23,2,FALSE))</f>
        <v>Contratación directa.</v>
      </c>
      <c r="P360" s="249">
        <f t="shared" si="62"/>
        <v>1</v>
      </c>
      <c r="Q360" s="183">
        <f t="shared" si="59"/>
        <v>378325067</v>
      </c>
      <c r="R360" s="183">
        <f t="shared" si="60"/>
        <v>378325067</v>
      </c>
      <c r="S360" s="250" t="s">
        <v>223</v>
      </c>
      <c r="T360" s="249">
        <f t="shared" si="63"/>
        <v>0</v>
      </c>
      <c r="U360" s="185" t="str">
        <f t="shared" si="61"/>
        <v>SUBDIRECCION DE GESTION CONTRACTUAL</v>
      </c>
      <c r="V360" s="249" t="str">
        <f t="shared" si="64"/>
        <v>CO-DC</v>
      </c>
      <c r="W360" s="249" t="str">
        <f t="shared" si="65"/>
        <v>Distrito Capital de Bogotá</v>
      </c>
      <c r="X360" s="197" t="s">
        <v>113</v>
      </c>
      <c r="Y360" s="187">
        <v>2427400</v>
      </c>
      <c r="Z360" s="251" t="s">
        <v>114</v>
      </c>
      <c r="AA360" s="252"/>
      <c r="AB360" s="252"/>
      <c r="AC360" s="252"/>
      <c r="AD360" s="252"/>
      <c r="AE360" s="252"/>
      <c r="AF360" s="252"/>
      <c r="AG360" s="252"/>
      <c r="AH360" s="252"/>
      <c r="AI360" s="252"/>
      <c r="AJ360" s="252"/>
      <c r="AK360" s="252"/>
      <c r="AL360" s="252"/>
      <c r="AM360" s="252"/>
      <c r="AN360" s="252"/>
      <c r="AO360" s="252"/>
      <c r="AP360" s="252"/>
      <c r="AQ360" s="252"/>
      <c r="AR360" s="252"/>
      <c r="AS360" s="252"/>
      <c r="AT360" s="252"/>
      <c r="AU360" s="195"/>
      <c r="AV360" s="195"/>
      <c r="AW360" s="195"/>
      <c r="AX360" s="195"/>
      <c r="AY360" s="195"/>
      <c r="AZ360" s="195"/>
      <c r="BA360" s="195"/>
      <c r="BB360" s="195"/>
      <c r="BC360" s="195"/>
      <c r="BD360" s="195"/>
      <c r="BE360" s="195"/>
      <c r="BF360" s="195"/>
      <c r="BG360" s="195"/>
      <c r="BH360" s="195"/>
      <c r="BI360" s="195"/>
      <c r="BJ360" s="195"/>
      <c r="BK360" s="195"/>
      <c r="BL360" s="195"/>
      <c r="BM360" s="195"/>
      <c r="BN360" s="195"/>
      <c r="BO360" s="195"/>
      <c r="BP360" s="195"/>
      <c r="BQ360" s="195"/>
      <c r="BR360" s="195"/>
      <c r="BS360" s="195"/>
      <c r="BT360" s="195"/>
      <c r="BU360" s="195"/>
      <c r="BV360" s="195"/>
      <c r="BW360" s="195"/>
      <c r="BX360" s="195"/>
      <c r="BY360" s="195"/>
      <c r="BZ360" s="195"/>
      <c r="CA360" s="195"/>
      <c r="CB360" s="195"/>
      <c r="CC360" s="195"/>
      <c r="CD360" s="195"/>
      <c r="CE360" s="195"/>
      <c r="CF360" s="195"/>
      <c r="CG360" s="195"/>
    </row>
    <row r="361" spans="1:85" s="189" customFormat="1" ht="12.75" customHeight="1" x14ac:dyDescent="0.2">
      <c r="A361" s="247" t="s">
        <v>112</v>
      </c>
      <c r="B361" s="187">
        <v>4</v>
      </c>
      <c r="C361" s="248" t="s">
        <v>115</v>
      </c>
      <c r="D361" s="197" t="s">
        <v>81</v>
      </c>
      <c r="E361" s="199"/>
      <c r="F361" s="199">
        <v>89953305</v>
      </c>
      <c r="G361" s="199"/>
      <c r="H361" s="197">
        <v>80111600</v>
      </c>
      <c r="I361" s="248" t="s">
        <v>547</v>
      </c>
      <c r="J361" s="187">
        <v>1</v>
      </c>
      <c r="K361" s="187">
        <v>1</v>
      </c>
      <c r="L361" s="187">
        <v>12</v>
      </c>
      <c r="M361" s="172">
        <f t="shared" si="58"/>
        <v>1</v>
      </c>
      <c r="N361" s="180" t="s">
        <v>216</v>
      </c>
      <c r="O361" s="181" t="str">
        <f>IF(ISBLANK(N361),"",VLOOKUP(N361,[14]Parámetros!$G$2:$H$23,2,FALSE))</f>
        <v>Contratación directa.</v>
      </c>
      <c r="P361" s="249">
        <f t="shared" si="62"/>
        <v>1</v>
      </c>
      <c r="Q361" s="183">
        <f t="shared" si="59"/>
        <v>89953305</v>
      </c>
      <c r="R361" s="183">
        <f t="shared" si="60"/>
        <v>89953305</v>
      </c>
      <c r="S361" s="250" t="s">
        <v>223</v>
      </c>
      <c r="T361" s="249">
        <f t="shared" si="63"/>
        <v>0</v>
      </c>
      <c r="U361" s="185" t="str">
        <f t="shared" si="61"/>
        <v>SUBDIRECCION DE GESTION CONTRACTUAL</v>
      </c>
      <c r="V361" s="249" t="str">
        <f t="shared" si="64"/>
        <v>CO-DC</v>
      </c>
      <c r="W361" s="249" t="str">
        <f t="shared" si="65"/>
        <v>Distrito Capital de Bogotá</v>
      </c>
      <c r="X361" s="197" t="s">
        <v>113</v>
      </c>
      <c r="Y361" s="187">
        <v>2427400</v>
      </c>
      <c r="Z361" s="251" t="s">
        <v>114</v>
      </c>
      <c r="AA361" s="252"/>
      <c r="AB361" s="252"/>
      <c r="AC361" s="252"/>
      <c r="AD361" s="252"/>
      <c r="AE361" s="252"/>
      <c r="AF361" s="252"/>
      <c r="AG361" s="252"/>
      <c r="AH361" s="252"/>
      <c r="AI361" s="252"/>
      <c r="AJ361" s="252"/>
      <c r="AK361" s="252"/>
      <c r="AL361" s="252"/>
      <c r="AM361" s="252"/>
      <c r="AN361" s="252"/>
      <c r="AO361" s="252"/>
      <c r="AP361" s="252"/>
      <c r="AQ361" s="252"/>
      <c r="AR361" s="252"/>
      <c r="AS361" s="252"/>
      <c r="AT361" s="252"/>
      <c r="AU361" s="195"/>
      <c r="AV361" s="195"/>
      <c r="AW361" s="195"/>
      <c r="AX361" s="195"/>
      <c r="AY361" s="195"/>
      <c r="AZ361" s="195"/>
      <c r="BA361" s="195"/>
      <c r="BB361" s="195"/>
      <c r="BC361" s="195"/>
      <c r="BD361" s="195"/>
      <c r="BE361" s="195"/>
      <c r="BF361" s="195"/>
      <c r="BG361" s="195"/>
      <c r="BH361" s="195"/>
      <c r="BI361" s="195"/>
      <c r="BJ361" s="195"/>
      <c r="BK361" s="195"/>
      <c r="BL361" s="195"/>
      <c r="BM361" s="195"/>
      <c r="BN361" s="195"/>
      <c r="BO361" s="195"/>
      <c r="BP361" s="195"/>
      <c r="BQ361" s="195"/>
      <c r="BR361" s="195"/>
      <c r="BS361" s="195"/>
      <c r="BT361" s="195"/>
      <c r="BU361" s="195"/>
      <c r="BV361" s="195"/>
      <c r="BW361" s="195"/>
      <c r="BX361" s="195"/>
      <c r="BY361" s="195"/>
      <c r="BZ361" s="195"/>
      <c r="CA361" s="195"/>
      <c r="CB361" s="195"/>
      <c r="CC361" s="195"/>
      <c r="CD361" s="195"/>
      <c r="CE361" s="195"/>
      <c r="CF361" s="195"/>
      <c r="CG361" s="195"/>
    </row>
    <row r="362" spans="1:85" s="189" customFormat="1" ht="12.75" customHeight="1" x14ac:dyDescent="0.2">
      <c r="A362" s="247" t="s">
        <v>112</v>
      </c>
      <c r="B362" s="187">
        <v>5</v>
      </c>
      <c r="C362" s="248" t="s">
        <v>551</v>
      </c>
      <c r="D362" s="197" t="s">
        <v>500</v>
      </c>
      <c r="E362" s="199"/>
      <c r="F362" s="199">
        <v>966381672</v>
      </c>
      <c r="G362" s="199"/>
      <c r="H362" s="197">
        <v>80111600</v>
      </c>
      <c r="I362" s="248" t="s">
        <v>547</v>
      </c>
      <c r="J362" s="187">
        <v>1</v>
      </c>
      <c r="K362" s="187">
        <v>1</v>
      </c>
      <c r="L362" s="187">
        <v>12</v>
      </c>
      <c r="M362" s="172">
        <f t="shared" si="58"/>
        <v>1</v>
      </c>
      <c r="N362" s="180" t="s">
        <v>216</v>
      </c>
      <c r="O362" s="181" t="str">
        <f>IF(ISBLANK(N362),"",VLOOKUP(N362,[14]Parámetros!$G$2:$H$23,2,FALSE))</f>
        <v>Contratación directa.</v>
      </c>
      <c r="P362" s="249">
        <f t="shared" si="62"/>
        <v>1</v>
      </c>
      <c r="Q362" s="183">
        <f t="shared" si="59"/>
        <v>966381672</v>
      </c>
      <c r="R362" s="183">
        <f t="shared" si="60"/>
        <v>966381672</v>
      </c>
      <c r="S362" s="250" t="s">
        <v>223</v>
      </c>
      <c r="T362" s="249">
        <f t="shared" si="63"/>
        <v>0</v>
      </c>
      <c r="U362" s="185" t="str">
        <f t="shared" si="61"/>
        <v>SUBDIRECCION DE GESTION CONTRACTUAL</v>
      </c>
      <c r="V362" s="249" t="str">
        <f t="shared" si="64"/>
        <v>CO-DC</v>
      </c>
      <c r="W362" s="249" t="str">
        <f t="shared" si="65"/>
        <v>Distrito Capital de Bogotá</v>
      </c>
      <c r="X362" s="197" t="s">
        <v>113</v>
      </c>
      <c r="Y362" s="187">
        <v>2427400</v>
      </c>
      <c r="Z362" s="251" t="s">
        <v>114</v>
      </c>
      <c r="AA362" s="252"/>
      <c r="AB362" s="252"/>
      <c r="AC362" s="252"/>
      <c r="AD362" s="252"/>
      <c r="AE362" s="252"/>
      <c r="AF362" s="252"/>
      <c r="AG362" s="252"/>
      <c r="AH362" s="252"/>
      <c r="AI362" s="252"/>
      <c r="AJ362" s="252"/>
      <c r="AK362" s="252"/>
      <c r="AL362" s="252"/>
      <c r="AM362" s="252"/>
      <c r="AN362" s="252"/>
      <c r="AO362" s="252"/>
      <c r="AP362" s="252"/>
      <c r="AQ362" s="252"/>
      <c r="AR362" s="252"/>
      <c r="AS362" s="252"/>
      <c r="AT362" s="252"/>
      <c r="AU362" s="195"/>
      <c r="AV362" s="195"/>
      <c r="AW362" s="195"/>
      <c r="AX362" s="195"/>
      <c r="AY362" s="195"/>
      <c r="AZ362" s="195"/>
      <c r="BA362" s="195"/>
      <c r="BB362" s="195"/>
      <c r="BC362" s="195"/>
      <c r="BD362" s="195"/>
      <c r="BE362" s="195"/>
      <c r="BF362" s="195"/>
      <c r="BG362" s="195"/>
      <c r="BH362" s="195"/>
      <c r="BI362" s="195"/>
      <c r="BJ362" s="195"/>
      <c r="BK362" s="195"/>
      <c r="BL362" s="195"/>
      <c r="BM362" s="195"/>
      <c r="BN362" s="195"/>
      <c r="BO362" s="195"/>
      <c r="BP362" s="195"/>
      <c r="BQ362" s="195"/>
      <c r="BR362" s="195"/>
      <c r="BS362" s="195"/>
      <c r="BT362" s="195"/>
      <c r="BU362" s="195"/>
      <c r="BV362" s="195"/>
      <c r="BW362" s="195"/>
      <c r="BX362" s="195"/>
      <c r="BY362" s="195"/>
      <c r="BZ362" s="195"/>
      <c r="CA362" s="195"/>
      <c r="CB362" s="195"/>
      <c r="CC362" s="195"/>
      <c r="CD362" s="195"/>
      <c r="CE362" s="195"/>
      <c r="CF362" s="195"/>
      <c r="CG362" s="195"/>
    </row>
    <row r="363" spans="1:85" s="189" customFormat="1" ht="12.75" customHeight="1" x14ac:dyDescent="0.2">
      <c r="A363" s="247" t="s">
        <v>112</v>
      </c>
      <c r="B363" s="187">
        <v>6</v>
      </c>
      <c r="C363" s="248" t="s">
        <v>552</v>
      </c>
      <c r="D363" s="197" t="s">
        <v>553</v>
      </c>
      <c r="E363" s="199"/>
      <c r="F363" s="199">
        <f>3350010673-15000000-340000000-50000000</f>
        <v>2945010673</v>
      </c>
      <c r="G363" s="199"/>
      <c r="H363" s="197">
        <v>80111600</v>
      </c>
      <c r="I363" s="248" t="s">
        <v>547</v>
      </c>
      <c r="J363" s="187">
        <v>1</v>
      </c>
      <c r="K363" s="187">
        <v>1</v>
      </c>
      <c r="L363" s="187">
        <v>12</v>
      </c>
      <c r="M363" s="172">
        <f t="shared" si="58"/>
        <v>1</v>
      </c>
      <c r="N363" s="180" t="s">
        <v>216</v>
      </c>
      <c r="O363" s="181" t="str">
        <f>IF(ISBLANK(N363),"",VLOOKUP(N363,[14]Parámetros!$G$2:$H$23,2,FALSE))</f>
        <v>Contratación directa.</v>
      </c>
      <c r="P363" s="249">
        <f t="shared" si="62"/>
        <v>1</v>
      </c>
      <c r="Q363" s="183">
        <f t="shared" si="59"/>
        <v>2945010673</v>
      </c>
      <c r="R363" s="183">
        <f t="shared" si="60"/>
        <v>2945010673</v>
      </c>
      <c r="S363" s="250" t="s">
        <v>223</v>
      </c>
      <c r="T363" s="249">
        <f t="shared" si="63"/>
        <v>0</v>
      </c>
      <c r="U363" s="185" t="str">
        <f t="shared" si="61"/>
        <v>SUBDIRECCION DE GESTION CONTRACTUAL</v>
      </c>
      <c r="V363" s="249" t="str">
        <f t="shared" si="64"/>
        <v>CO-DC</v>
      </c>
      <c r="W363" s="249" t="str">
        <f t="shared" si="65"/>
        <v>Distrito Capital de Bogotá</v>
      </c>
      <c r="X363" s="197" t="s">
        <v>113</v>
      </c>
      <c r="Y363" s="187">
        <v>2427400</v>
      </c>
      <c r="Z363" s="251" t="s">
        <v>114</v>
      </c>
      <c r="AA363" s="252"/>
      <c r="AB363" s="252"/>
      <c r="AC363" s="252"/>
      <c r="AD363" s="252"/>
      <c r="AE363" s="252"/>
      <c r="AF363" s="252"/>
      <c r="AG363" s="252"/>
      <c r="AH363" s="252"/>
      <c r="AI363" s="252"/>
      <c r="AJ363" s="252"/>
      <c r="AK363" s="252"/>
      <c r="AL363" s="252"/>
      <c r="AM363" s="252"/>
      <c r="AN363" s="252"/>
      <c r="AO363" s="252"/>
      <c r="AP363" s="252"/>
      <c r="AQ363" s="252"/>
      <c r="AR363" s="252"/>
      <c r="AS363" s="252"/>
      <c r="AT363" s="252"/>
      <c r="AU363" s="195"/>
      <c r="AV363" s="195"/>
      <c r="AW363" s="195"/>
      <c r="AX363" s="195"/>
      <c r="AY363" s="195"/>
      <c r="AZ363" s="195"/>
      <c r="BA363" s="195"/>
      <c r="BB363" s="195"/>
      <c r="BC363" s="195"/>
      <c r="BD363" s="195"/>
      <c r="BE363" s="195"/>
      <c r="BF363" s="195"/>
      <c r="BG363" s="195"/>
      <c r="BH363" s="195"/>
      <c r="BI363" s="195"/>
      <c r="BJ363" s="195"/>
      <c r="BK363" s="195"/>
      <c r="BL363" s="195"/>
      <c r="BM363" s="195"/>
      <c r="BN363" s="195"/>
      <c r="BO363" s="195"/>
      <c r="BP363" s="195"/>
      <c r="BQ363" s="195"/>
      <c r="BR363" s="195"/>
      <c r="BS363" s="195"/>
      <c r="BT363" s="195"/>
      <c r="BU363" s="195"/>
      <c r="BV363" s="195"/>
      <c r="BW363" s="195"/>
      <c r="BX363" s="195"/>
      <c r="BY363" s="195"/>
      <c r="BZ363" s="195"/>
      <c r="CA363" s="195"/>
      <c r="CB363" s="195"/>
      <c r="CC363" s="195"/>
      <c r="CD363" s="195"/>
      <c r="CE363" s="195"/>
      <c r="CF363" s="195"/>
      <c r="CG363" s="195"/>
    </row>
    <row r="364" spans="1:85" s="189" customFormat="1" ht="12.75" customHeight="1" x14ac:dyDescent="0.2">
      <c r="A364" s="247" t="s">
        <v>112</v>
      </c>
      <c r="B364" s="187">
        <v>7</v>
      </c>
      <c r="C364" s="248" t="s">
        <v>552</v>
      </c>
      <c r="D364" s="197" t="s">
        <v>553</v>
      </c>
      <c r="E364" s="199"/>
      <c r="F364" s="199">
        <v>100000000</v>
      </c>
      <c r="G364" s="199"/>
      <c r="H364" s="197" t="s">
        <v>784</v>
      </c>
      <c r="I364" s="248" t="s">
        <v>554</v>
      </c>
      <c r="J364" s="187">
        <v>3</v>
      </c>
      <c r="K364" s="187">
        <v>3</v>
      </c>
      <c r="L364" s="187">
        <v>3</v>
      </c>
      <c r="M364" s="172">
        <f t="shared" si="58"/>
        <v>1</v>
      </c>
      <c r="N364" s="180" t="s">
        <v>36</v>
      </c>
      <c r="O364" s="181" t="str">
        <f>IF(ISBLANK(N364),"",VLOOKUP(N364,[14]Parámetros!$G$2:$H$23,2,FALSE))</f>
        <v xml:space="preserve">Contratación directa (con ofertas) </v>
      </c>
      <c r="P364" s="249">
        <f t="shared" si="62"/>
        <v>1</v>
      </c>
      <c r="Q364" s="183">
        <f t="shared" si="59"/>
        <v>100000000</v>
      </c>
      <c r="R364" s="183">
        <f t="shared" si="60"/>
        <v>100000000</v>
      </c>
      <c r="S364" s="250" t="s">
        <v>223</v>
      </c>
      <c r="T364" s="249">
        <f t="shared" si="63"/>
        <v>0</v>
      </c>
      <c r="U364" s="185" t="str">
        <f t="shared" si="61"/>
        <v>SUBDIRECCION DE GESTION CONTRACTUAL</v>
      </c>
      <c r="V364" s="249" t="str">
        <f t="shared" si="64"/>
        <v>CO-DC</v>
      </c>
      <c r="W364" s="249" t="str">
        <f t="shared" si="65"/>
        <v>Distrito Capital de Bogotá</v>
      </c>
      <c r="X364" s="197" t="s">
        <v>113</v>
      </c>
      <c r="Y364" s="187">
        <v>2427400</v>
      </c>
      <c r="Z364" s="251" t="s">
        <v>114</v>
      </c>
      <c r="AA364" s="252"/>
      <c r="AB364" s="252"/>
      <c r="AC364" s="252"/>
      <c r="AD364" s="252"/>
      <c r="AE364" s="252"/>
      <c r="AF364" s="252"/>
      <c r="AG364" s="252"/>
      <c r="AH364" s="252"/>
      <c r="AI364" s="252"/>
      <c r="AJ364" s="252"/>
      <c r="AK364" s="252"/>
      <c r="AL364" s="252"/>
      <c r="AM364" s="252"/>
      <c r="AN364" s="252"/>
      <c r="AO364" s="252"/>
      <c r="AP364" s="252"/>
      <c r="AQ364" s="252"/>
      <c r="AR364" s="252"/>
      <c r="AS364" s="252"/>
      <c r="AT364" s="252"/>
      <c r="AU364" s="195"/>
      <c r="AV364" s="195"/>
      <c r="AW364" s="195"/>
      <c r="AX364" s="195"/>
      <c r="AY364" s="195"/>
      <c r="AZ364" s="195"/>
      <c r="BA364" s="195"/>
      <c r="BB364" s="195"/>
      <c r="BC364" s="195"/>
      <c r="BD364" s="195"/>
      <c r="BE364" s="195"/>
      <c r="BF364" s="195"/>
      <c r="BG364" s="195"/>
      <c r="BH364" s="195"/>
      <c r="BI364" s="195"/>
      <c r="BJ364" s="195"/>
      <c r="BK364" s="195"/>
      <c r="BL364" s="195"/>
      <c r="BM364" s="195"/>
      <c r="BN364" s="195"/>
      <c r="BO364" s="195"/>
      <c r="BP364" s="195"/>
      <c r="BQ364" s="195"/>
      <c r="BR364" s="195"/>
      <c r="BS364" s="195"/>
      <c r="BT364" s="195"/>
      <c r="BU364" s="195"/>
      <c r="BV364" s="195"/>
      <c r="BW364" s="195"/>
      <c r="BX364" s="195"/>
      <c r="BY364" s="195"/>
      <c r="BZ364" s="195"/>
      <c r="CA364" s="195"/>
      <c r="CB364" s="195"/>
      <c r="CC364" s="195"/>
      <c r="CD364" s="195"/>
      <c r="CE364" s="195"/>
      <c r="CF364" s="195"/>
      <c r="CG364" s="195"/>
    </row>
    <row r="365" spans="1:85" s="189" customFormat="1" ht="12.75" customHeight="1" x14ac:dyDescent="0.2">
      <c r="A365" s="247" t="s">
        <v>112</v>
      </c>
      <c r="B365" s="187">
        <v>8</v>
      </c>
      <c r="C365" s="248" t="s">
        <v>552</v>
      </c>
      <c r="D365" s="197" t="s">
        <v>553</v>
      </c>
      <c r="E365" s="199"/>
      <c r="F365" s="199">
        <v>49989327</v>
      </c>
      <c r="G365" s="199"/>
      <c r="H365" s="197" t="s">
        <v>788</v>
      </c>
      <c r="I365" s="248" t="s">
        <v>555</v>
      </c>
      <c r="J365" s="187">
        <v>3</v>
      </c>
      <c r="K365" s="187">
        <v>3</v>
      </c>
      <c r="L365" s="187">
        <v>3</v>
      </c>
      <c r="M365" s="172">
        <f t="shared" si="58"/>
        <v>1</v>
      </c>
      <c r="N365" s="180" t="s">
        <v>48</v>
      </c>
      <c r="O365" s="181" t="str">
        <f>IF(ISBLANK(N365),"",VLOOKUP(N365,[14]Parámetros!$G$2:$H$23,2,FALSE))</f>
        <v>Mínima cuantía</v>
      </c>
      <c r="P365" s="249">
        <f t="shared" si="62"/>
        <v>1</v>
      </c>
      <c r="Q365" s="183">
        <f t="shared" si="59"/>
        <v>49989327</v>
      </c>
      <c r="R365" s="183">
        <f t="shared" si="60"/>
        <v>49989327</v>
      </c>
      <c r="S365" s="250" t="s">
        <v>223</v>
      </c>
      <c r="T365" s="249">
        <f t="shared" si="63"/>
        <v>0</v>
      </c>
      <c r="U365" s="185" t="str">
        <f t="shared" si="61"/>
        <v>SUBDIRECCION DE GESTION CONTRACTUAL</v>
      </c>
      <c r="V365" s="249" t="str">
        <f t="shared" si="64"/>
        <v>CO-DC</v>
      </c>
      <c r="W365" s="249" t="str">
        <f t="shared" si="65"/>
        <v>Distrito Capital de Bogotá</v>
      </c>
      <c r="X365" s="197" t="s">
        <v>113</v>
      </c>
      <c r="Y365" s="187">
        <v>2427400</v>
      </c>
      <c r="Z365" s="251" t="s">
        <v>114</v>
      </c>
      <c r="AA365" s="252"/>
      <c r="AB365" s="252"/>
      <c r="AC365" s="252"/>
      <c r="AD365" s="252"/>
      <c r="AE365" s="252"/>
      <c r="AF365" s="252"/>
      <c r="AG365" s="252"/>
      <c r="AH365" s="252"/>
      <c r="AI365" s="252"/>
      <c r="AJ365" s="252"/>
      <c r="AK365" s="252"/>
      <c r="AL365" s="252"/>
      <c r="AM365" s="252"/>
      <c r="AN365" s="252"/>
      <c r="AO365" s="252"/>
      <c r="AP365" s="252"/>
      <c r="AQ365" s="252"/>
      <c r="AR365" s="252"/>
      <c r="AS365" s="252"/>
      <c r="AT365" s="252"/>
      <c r="AU365" s="195"/>
      <c r="AV365" s="195"/>
      <c r="AW365" s="195"/>
      <c r="AX365" s="195"/>
      <c r="AY365" s="195"/>
      <c r="AZ365" s="195"/>
      <c r="BA365" s="195"/>
      <c r="BB365" s="195"/>
      <c r="BC365" s="195"/>
      <c r="BD365" s="195"/>
      <c r="BE365" s="195"/>
      <c r="BF365" s="195"/>
      <c r="BG365" s="195"/>
      <c r="BH365" s="195"/>
      <c r="BI365" s="195"/>
      <c r="BJ365" s="195"/>
      <c r="BK365" s="195"/>
      <c r="BL365" s="195"/>
      <c r="BM365" s="195"/>
      <c r="BN365" s="195"/>
      <c r="BO365" s="195"/>
      <c r="BP365" s="195"/>
      <c r="BQ365" s="195"/>
      <c r="BR365" s="195"/>
      <c r="BS365" s="195"/>
      <c r="BT365" s="195"/>
      <c r="BU365" s="195"/>
      <c r="BV365" s="195"/>
      <c r="BW365" s="195"/>
      <c r="BX365" s="195"/>
      <c r="BY365" s="195"/>
      <c r="BZ365" s="195"/>
      <c r="CA365" s="195"/>
      <c r="CB365" s="195"/>
      <c r="CC365" s="195"/>
      <c r="CD365" s="195"/>
      <c r="CE365" s="195"/>
      <c r="CF365" s="195"/>
      <c r="CG365" s="195"/>
    </row>
    <row r="366" spans="1:85" s="189" customFormat="1" ht="12.75" customHeight="1" x14ac:dyDescent="0.2">
      <c r="A366" s="247" t="s">
        <v>112</v>
      </c>
      <c r="B366" s="187">
        <v>9</v>
      </c>
      <c r="C366" s="248" t="s">
        <v>552</v>
      </c>
      <c r="D366" s="197" t="s">
        <v>553</v>
      </c>
      <c r="E366" s="199"/>
      <c r="F366" s="199">
        <v>15000000</v>
      </c>
      <c r="G366" s="199"/>
      <c r="H366" s="175" t="s">
        <v>51</v>
      </c>
      <c r="I366" s="248" t="s">
        <v>556</v>
      </c>
      <c r="J366" s="177">
        <v>4</v>
      </c>
      <c r="K366" s="178">
        <v>6</v>
      </c>
      <c r="L366" s="179">
        <v>1</v>
      </c>
      <c r="M366" s="172">
        <f t="shared" si="58"/>
        <v>1</v>
      </c>
      <c r="N366" s="180" t="s">
        <v>43</v>
      </c>
      <c r="O366" s="181" t="str">
        <f>IF(ISBLANK(N366),"",VLOOKUP(N366,[14]Parámetros!$G$2:$H$23,2,FALSE))</f>
        <v>Selección abreviada subasta inversa</v>
      </c>
      <c r="P366" s="249">
        <f t="shared" si="62"/>
        <v>1</v>
      </c>
      <c r="Q366" s="183">
        <f t="shared" si="59"/>
        <v>15000000</v>
      </c>
      <c r="R366" s="183">
        <f t="shared" si="60"/>
        <v>15000000</v>
      </c>
      <c r="S366" s="250" t="s">
        <v>223</v>
      </c>
      <c r="T366" s="249">
        <f t="shared" si="63"/>
        <v>0</v>
      </c>
      <c r="U366" s="185" t="str">
        <f t="shared" si="61"/>
        <v>SUBDIRECCION DE GESTION CONTRACTUAL</v>
      </c>
      <c r="V366" s="172" t="str">
        <f t="shared" si="64"/>
        <v>CO-DC</v>
      </c>
      <c r="W366" s="185" t="str">
        <f t="shared" si="65"/>
        <v>Distrito Capital de Bogotá</v>
      </c>
      <c r="X366" s="186" t="s">
        <v>73</v>
      </c>
      <c r="Y366" s="172">
        <v>2427400</v>
      </c>
      <c r="Z366" s="186" t="s">
        <v>74</v>
      </c>
      <c r="AA366" s="252"/>
      <c r="AB366" s="252"/>
      <c r="AC366" s="252"/>
      <c r="AD366" s="252"/>
      <c r="AE366" s="252"/>
      <c r="AF366" s="252"/>
      <c r="AG366" s="252"/>
      <c r="AH366" s="252"/>
      <c r="AI366" s="252"/>
      <c r="AJ366" s="252"/>
      <c r="AK366" s="252"/>
      <c r="AL366" s="252"/>
      <c r="AM366" s="252"/>
      <c r="AN366" s="252"/>
      <c r="AO366" s="252"/>
      <c r="AP366" s="252"/>
      <c r="AQ366" s="252"/>
      <c r="AR366" s="252"/>
      <c r="AS366" s="252"/>
      <c r="AT366" s="252"/>
      <c r="AU366" s="195"/>
      <c r="AV366" s="195"/>
      <c r="AW366" s="195"/>
      <c r="AX366" s="195"/>
      <c r="AY366" s="195"/>
      <c r="AZ366" s="195"/>
      <c r="BA366" s="195"/>
      <c r="BB366" s="195"/>
      <c r="BC366" s="195"/>
      <c r="BD366" s="195"/>
      <c r="BE366" s="195"/>
      <c r="BF366" s="195"/>
      <c r="BG366" s="195"/>
      <c r="BH366" s="195"/>
      <c r="BI366" s="195"/>
      <c r="BJ366" s="195"/>
      <c r="BK366" s="195"/>
      <c r="BL366" s="195"/>
      <c r="BM366" s="195"/>
      <c r="BN366" s="195"/>
      <c r="BO366" s="195"/>
      <c r="BP366" s="195"/>
      <c r="BQ366" s="195"/>
      <c r="BR366" s="195"/>
      <c r="BS366" s="195"/>
      <c r="BT366" s="195"/>
      <c r="BU366" s="195"/>
      <c r="BV366" s="195"/>
      <c r="BW366" s="195"/>
      <c r="BX366" s="195"/>
      <c r="BY366" s="195"/>
      <c r="BZ366" s="195"/>
      <c r="CA366" s="195"/>
      <c r="CB366" s="195"/>
      <c r="CC366" s="195"/>
      <c r="CD366" s="195"/>
      <c r="CE366" s="195"/>
      <c r="CF366" s="195"/>
      <c r="CG366" s="195"/>
    </row>
    <row r="367" spans="1:85" s="189" customFormat="1" ht="12.75" customHeight="1" x14ac:dyDescent="0.2">
      <c r="A367" s="247" t="s">
        <v>112</v>
      </c>
      <c r="B367" s="187">
        <v>10</v>
      </c>
      <c r="C367" s="248" t="s">
        <v>552</v>
      </c>
      <c r="D367" s="197" t="s">
        <v>553</v>
      </c>
      <c r="E367" s="199"/>
      <c r="F367" s="199">
        <v>50000000</v>
      </c>
      <c r="G367" s="199"/>
      <c r="H367" s="175" t="s">
        <v>801</v>
      </c>
      <c r="I367" s="248" t="s">
        <v>557</v>
      </c>
      <c r="J367" s="193">
        <v>1</v>
      </c>
      <c r="K367" s="193">
        <v>2</v>
      </c>
      <c r="L367" s="193">
        <v>3</v>
      </c>
      <c r="M367" s="172">
        <f t="shared" si="58"/>
        <v>1</v>
      </c>
      <c r="N367" s="180" t="s">
        <v>36</v>
      </c>
      <c r="O367" s="181" t="str">
        <f>IF(ISBLANK(N367),"",VLOOKUP(N367,[14]Parámetros!$G$2:$H$23,2,FALSE))</f>
        <v xml:space="preserve">Contratación directa (con ofertas) </v>
      </c>
      <c r="P367" s="249">
        <f t="shared" si="62"/>
        <v>1</v>
      </c>
      <c r="Q367" s="183">
        <f t="shared" si="59"/>
        <v>50000000</v>
      </c>
      <c r="R367" s="183">
        <f t="shared" si="60"/>
        <v>50000000</v>
      </c>
      <c r="S367" s="250" t="s">
        <v>223</v>
      </c>
      <c r="T367" s="249">
        <f t="shared" si="63"/>
        <v>0</v>
      </c>
      <c r="U367" s="185" t="str">
        <f t="shared" si="61"/>
        <v>SUBDIRECCION DE GESTION CONTRACTUAL</v>
      </c>
      <c r="V367" s="249" t="str">
        <f t="shared" si="64"/>
        <v>CO-DC</v>
      </c>
      <c r="W367" s="249" t="str">
        <f t="shared" si="65"/>
        <v>Distrito Capital de Bogotá</v>
      </c>
      <c r="X367" s="197" t="s">
        <v>113</v>
      </c>
      <c r="Y367" s="187">
        <v>2427400</v>
      </c>
      <c r="Z367" s="251" t="s">
        <v>114</v>
      </c>
      <c r="AA367" s="252"/>
      <c r="AB367" s="252"/>
      <c r="AC367" s="252"/>
      <c r="AD367" s="252"/>
      <c r="AE367" s="252"/>
      <c r="AF367" s="252"/>
      <c r="AG367" s="252"/>
      <c r="AH367" s="252"/>
      <c r="AI367" s="252"/>
      <c r="AJ367" s="252"/>
      <c r="AK367" s="252"/>
      <c r="AL367" s="252"/>
      <c r="AM367" s="252"/>
      <c r="AN367" s="252"/>
      <c r="AO367" s="252"/>
      <c r="AP367" s="252"/>
      <c r="AQ367" s="252"/>
      <c r="AR367" s="252"/>
      <c r="AS367" s="252"/>
      <c r="AT367" s="252"/>
      <c r="AU367" s="195"/>
      <c r="AV367" s="195"/>
      <c r="AW367" s="195"/>
      <c r="AX367" s="195"/>
      <c r="AY367" s="195"/>
      <c r="AZ367" s="195"/>
      <c r="BA367" s="195"/>
      <c r="BB367" s="195"/>
      <c r="BC367" s="195"/>
      <c r="BD367" s="195"/>
      <c r="BE367" s="195"/>
      <c r="BF367" s="195"/>
      <c r="BG367" s="195"/>
      <c r="BH367" s="195"/>
      <c r="BI367" s="195"/>
      <c r="BJ367" s="195"/>
      <c r="BK367" s="195"/>
      <c r="BL367" s="195"/>
      <c r="BM367" s="195"/>
      <c r="BN367" s="195"/>
      <c r="BO367" s="195"/>
      <c r="BP367" s="195"/>
      <c r="BQ367" s="195"/>
      <c r="BR367" s="195"/>
      <c r="BS367" s="195"/>
      <c r="BT367" s="195"/>
      <c r="BU367" s="195"/>
      <c r="BV367" s="195"/>
      <c r="BW367" s="195"/>
      <c r="BX367" s="195"/>
      <c r="BY367" s="195"/>
      <c r="BZ367" s="195"/>
      <c r="CA367" s="195"/>
      <c r="CB367" s="195"/>
      <c r="CC367" s="195"/>
      <c r="CD367" s="195"/>
      <c r="CE367" s="195"/>
      <c r="CF367" s="195"/>
      <c r="CG367" s="195"/>
    </row>
    <row r="368" spans="1:85" s="189" customFormat="1" ht="12.75" customHeight="1" x14ac:dyDescent="0.2">
      <c r="A368" s="172" t="s">
        <v>112</v>
      </c>
      <c r="B368" s="172">
        <v>11</v>
      </c>
      <c r="C368" s="173" t="s">
        <v>552</v>
      </c>
      <c r="D368" s="173" t="s">
        <v>553</v>
      </c>
      <c r="E368" s="174"/>
      <c r="F368" s="174">
        <v>50000000</v>
      </c>
      <c r="G368" s="174"/>
      <c r="H368" s="175" t="s">
        <v>240</v>
      </c>
      <c r="I368" s="176" t="s">
        <v>558</v>
      </c>
      <c r="J368" s="193">
        <v>2</v>
      </c>
      <c r="K368" s="193">
        <v>3</v>
      </c>
      <c r="L368" s="193">
        <v>4</v>
      </c>
      <c r="M368" s="172">
        <f t="shared" si="58"/>
        <v>1</v>
      </c>
      <c r="N368" s="180" t="s">
        <v>43</v>
      </c>
      <c r="O368" s="181" t="str">
        <f>IF(ISBLANK(N368),"",VLOOKUP(N368,[14]Parámetros!$G$2:$H$23,2,FALSE))</f>
        <v>Selección abreviada subasta inversa</v>
      </c>
      <c r="P368" s="182">
        <f t="shared" si="62"/>
        <v>1</v>
      </c>
      <c r="Q368" s="183">
        <f t="shared" si="59"/>
        <v>50000000</v>
      </c>
      <c r="R368" s="183">
        <f t="shared" si="60"/>
        <v>50000000</v>
      </c>
      <c r="S368" s="184" t="s">
        <v>223</v>
      </c>
      <c r="T368" s="180">
        <f t="shared" si="63"/>
        <v>0</v>
      </c>
      <c r="U368" s="185" t="str">
        <f t="shared" si="61"/>
        <v>SUBDIRECCION DE GESTION CONTRACTUAL</v>
      </c>
      <c r="V368" s="172" t="str">
        <f t="shared" si="64"/>
        <v>CO-DC</v>
      </c>
      <c r="W368" s="185" t="str">
        <f t="shared" si="65"/>
        <v>Distrito Capital de Bogotá</v>
      </c>
      <c r="X368" s="186" t="s">
        <v>332</v>
      </c>
      <c r="Y368" s="172">
        <v>2427400</v>
      </c>
      <c r="Z368" s="186" t="s">
        <v>94</v>
      </c>
    </row>
    <row r="369" spans="1:85" s="189" customFormat="1" ht="12.75" customHeight="1" x14ac:dyDescent="0.2">
      <c r="A369" s="247" t="s">
        <v>112</v>
      </c>
      <c r="B369" s="187">
        <v>12</v>
      </c>
      <c r="C369" s="248" t="s">
        <v>552</v>
      </c>
      <c r="D369" s="197" t="s">
        <v>553</v>
      </c>
      <c r="E369" s="199"/>
      <c r="F369" s="199">
        <v>290000000</v>
      </c>
      <c r="G369" s="199"/>
      <c r="H369" s="175" t="s">
        <v>801</v>
      </c>
      <c r="I369" s="248" t="s">
        <v>557</v>
      </c>
      <c r="J369" s="177">
        <v>2</v>
      </c>
      <c r="K369" s="178">
        <v>3</v>
      </c>
      <c r="L369" s="179">
        <v>9</v>
      </c>
      <c r="M369" s="172">
        <f t="shared" si="58"/>
        <v>1</v>
      </c>
      <c r="N369" s="180" t="s">
        <v>234</v>
      </c>
      <c r="O369" s="181" t="str">
        <f>IF(ISBLANK(N369),"",VLOOKUP(N369,[14]Parámetros!$G$2:$H$23,2,FALSE))</f>
        <v>Licitación pública</v>
      </c>
      <c r="P369" s="249">
        <f t="shared" si="62"/>
        <v>1</v>
      </c>
      <c r="Q369" s="183">
        <f t="shared" si="59"/>
        <v>290000000</v>
      </c>
      <c r="R369" s="183">
        <f t="shared" si="60"/>
        <v>290000000</v>
      </c>
      <c r="S369" s="250" t="s">
        <v>223</v>
      </c>
      <c r="T369" s="249">
        <f t="shared" si="63"/>
        <v>0</v>
      </c>
      <c r="U369" s="185" t="str">
        <f t="shared" si="61"/>
        <v>SUBDIRECCION DE GESTION CONTRACTUAL</v>
      </c>
      <c r="V369" s="249" t="str">
        <f t="shared" si="64"/>
        <v>CO-DC</v>
      </c>
      <c r="W369" s="249" t="str">
        <f t="shared" si="65"/>
        <v>Distrito Capital de Bogotá</v>
      </c>
      <c r="X369" s="197" t="s">
        <v>113</v>
      </c>
      <c r="Y369" s="187">
        <v>2427400</v>
      </c>
      <c r="Z369" s="251" t="s">
        <v>114</v>
      </c>
      <c r="AA369" s="252"/>
      <c r="AB369" s="252"/>
      <c r="AC369" s="252"/>
      <c r="AD369" s="252"/>
      <c r="AE369" s="252"/>
      <c r="AF369" s="252"/>
      <c r="AG369" s="252"/>
      <c r="AH369" s="252"/>
      <c r="AI369" s="252"/>
      <c r="AJ369" s="252"/>
      <c r="AK369" s="252"/>
      <c r="AL369" s="252"/>
      <c r="AM369" s="252"/>
      <c r="AN369" s="252"/>
      <c r="AO369" s="252"/>
      <c r="AP369" s="252"/>
      <c r="AQ369" s="252"/>
      <c r="AR369" s="252"/>
      <c r="AS369" s="252"/>
      <c r="AT369" s="252"/>
      <c r="AU369" s="195"/>
      <c r="AV369" s="195"/>
      <c r="AW369" s="195"/>
      <c r="AX369" s="195"/>
      <c r="AY369" s="195"/>
      <c r="AZ369" s="195"/>
      <c r="BA369" s="195"/>
      <c r="BB369" s="195"/>
      <c r="BC369" s="195"/>
      <c r="BD369" s="195"/>
      <c r="BE369" s="195"/>
      <c r="BF369" s="195"/>
      <c r="BG369" s="195"/>
      <c r="BH369" s="195"/>
      <c r="BI369" s="195"/>
      <c r="BJ369" s="195"/>
      <c r="BK369" s="195"/>
      <c r="BL369" s="195"/>
      <c r="BM369" s="195"/>
      <c r="BN369" s="195"/>
      <c r="BO369" s="195"/>
      <c r="BP369" s="195"/>
      <c r="BQ369" s="195"/>
      <c r="BR369" s="195"/>
      <c r="BS369" s="195"/>
      <c r="BT369" s="195"/>
      <c r="BU369" s="195"/>
      <c r="BV369" s="195"/>
      <c r="BW369" s="195"/>
      <c r="BX369" s="195"/>
      <c r="BY369" s="195"/>
      <c r="BZ369" s="195"/>
      <c r="CA369" s="195"/>
      <c r="CB369" s="195"/>
      <c r="CC369" s="195"/>
      <c r="CD369" s="195"/>
      <c r="CE369" s="195"/>
      <c r="CF369" s="195"/>
      <c r="CG369" s="195"/>
    </row>
    <row r="370" spans="1:85" s="189" customFormat="1" ht="12.75" customHeight="1" x14ac:dyDescent="0.2">
      <c r="A370" s="172" t="s">
        <v>117</v>
      </c>
      <c r="B370" s="172">
        <v>1</v>
      </c>
      <c r="C370" s="173" t="s">
        <v>620</v>
      </c>
      <c r="D370" s="173" t="s">
        <v>466</v>
      </c>
      <c r="E370" s="174"/>
      <c r="F370" s="174">
        <v>1416666667</v>
      </c>
      <c r="G370" s="174"/>
      <c r="H370" s="175">
        <v>80111600</v>
      </c>
      <c r="I370" s="176" t="s">
        <v>467</v>
      </c>
      <c r="J370" s="193">
        <v>1</v>
      </c>
      <c r="K370" s="193">
        <v>1</v>
      </c>
      <c r="L370" s="193">
        <v>12</v>
      </c>
      <c r="M370" s="172">
        <f t="shared" si="58"/>
        <v>1</v>
      </c>
      <c r="N370" s="180" t="s">
        <v>216</v>
      </c>
      <c r="O370" s="181" t="str">
        <f>IF(ISBLANK(N370),"",VLOOKUP(N370,[15]Parámetros!$G$2:$H$23,2,FALSE))</f>
        <v>Contratación directa.</v>
      </c>
      <c r="P370" s="182">
        <f t="shared" si="62"/>
        <v>1</v>
      </c>
      <c r="Q370" s="183">
        <f t="shared" si="59"/>
        <v>1416666667</v>
      </c>
      <c r="R370" s="183">
        <f t="shared" si="60"/>
        <v>1416666667</v>
      </c>
      <c r="S370" s="184" t="s">
        <v>223</v>
      </c>
      <c r="T370" s="180">
        <f t="shared" si="63"/>
        <v>0</v>
      </c>
      <c r="U370" s="185" t="str">
        <f t="shared" si="61"/>
        <v>SUBDIRECCION DE GESTION CONTRACTUAL</v>
      </c>
      <c r="V370" s="172" t="str">
        <f t="shared" si="64"/>
        <v>CO-DC</v>
      </c>
      <c r="W370" s="185" t="str">
        <f t="shared" si="65"/>
        <v>Distrito Capital de Bogotá</v>
      </c>
      <c r="X370" s="186" t="s">
        <v>332</v>
      </c>
      <c r="Y370" s="172">
        <v>2427400</v>
      </c>
      <c r="Z370" s="186" t="s">
        <v>94</v>
      </c>
    </row>
    <row r="371" spans="1:85" s="189" customFormat="1" ht="12.75" customHeight="1" x14ac:dyDescent="0.2">
      <c r="A371" s="172" t="s">
        <v>117</v>
      </c>
      <c r="B371" s="172">
        <v>2</v>
      </c>
      <c r="C371" s="173" t="s">
        <v>118</v>
      </c>
      <c r="D371" s="173" t="s">
        <v>466</v>
      </c>
      <c r="E371" s="174"/>
      <c r="F371" s="174">
        <v>1375206666</v>
      </c>
      <c r="G371" s="174"/>
      <c r="H371" s="175">
        <v>80111600</v>
      </c>
      <c r="I371" s="176" t="s">
        <v>467</v>
      </c>
      <c r="J371" s="193">
        <v>1</v>
      </c>
      <c r="K371" s="193">
        <v>1</v>
      </c>
      <c r="L371" s="193">
        <v>12</v>
      </c>
      <c r="M371" s="172">
        <f t="shared" si="58"/>
        <v>1</v>
      </c>
      <c r="N371" s="180" t="s">
        <v>216</v>
      </c>
      <c r="O371" s="181" t="str">
        <f>IF(ISBLANK(N371),"",VLOOKUP(N371,[15]Parámetros!$G$2:$H$23,2,FALSE))</f>
        <v>Contratación directa.</v>
      </c>
      <c r="P371" s="182">
        <f t="shared" si="62"/>
        <v>1</v>
      </c>
      <c r="Q371" s="183">
        <f t="shared" si="59"/>
        <v>1375206666</v>
      </c>
      <c r="R371" s="183">
        <f t="shared" si="60"/>
        <v>1375206666</v>
      </c>
      <c r="S371" s="184" t="s">
        <v>223</v>
      </c>
      <c r="T371" s="180">
        <f t="shared" si="63"/>
        <v>0</v>
      </c>
      <c r="U371" s="185" t="str">
        <f t="shared" si="61"/>
        <v>SUBDIRECCION DE GESTION CONTRACTUAL</v>
      </c>
      <c r="V371" s="172" t="str">
        <f t="shared" si="64"/>
        <v>CO-DC</v>
      </c>
      <c r="W371" s="185" t="str">
        <f t="shared" si="65"/>
        <v>Distrito Capital de Bogotá</v>
      </c>
      <c r="X371" s="186" t="s">
        <v>332</v>
      </c>
      <c r="Y371" s="172">
        <v>2427400</v>
      </c>
      <c r="Z371" s="186" t="s">
        <v>94</v>
      </c>
    </row>
    <row r="372" spans="1:85" s="195" customFormat="1" ht="13.9" customHeight="1" x14ac:dyDescent="0.2">
      <c r="A372" s="172" t="s">
        <v>117</v>
      </c>
      <c r="B372" s="172">
        <v>3</v>
      </c>
      <c r="C372" s="173" t="s">
        <v>118</v>
      </c>
      <c r="D372" s="173" t="s">
        <v>466</v>
      </c>
      <c r="E372" s="174"/>
      <c r="F372" s="174">
        <v>2623583333</v>
      </c>
      <c r="G372" s="174"/>
      <c r="H372" s="175" t="s">
        <v>468</v>
      </c>
      <c r="I372" s="176" t="s">
        <v>469</v>
      </c>
      <c r="J372" s="193">
        <v>2</v>
      </c>
      <c r="K372" s="193">
        <v>4</v>
      </c>
      <c r="L372" s="193">
        <v>6</v>
      </c>
      <c r="M372" s="172">
        <f t="shared" si="58"/>
        <v>1</v>
      </c>
      <c r="N372" s="180" t="s">
        <v>234</v>
      </c>
      <c r="O372" s="181" t="str">
        <f>IF(ISBLANK(N372),"",VLOOKUP(N372,[15]Parámetros!$G$2:$H$23,2,FALSE))</f>
        <v>Licitación pública</v>
      </c>
      <c r="P372" s="182">
        <f t="shared" si="62"/>
        <v>1</v>
      </c>
      <c r="Q372" s="183">
        <f t="shared" si="59"/>
        <v>2623583333</v>
      </c>
      <c r="R372" s="183">
        <f t="shared" si="60"/>
        <v>2623583333</v>
      </c>
      <c r="S372" s="184" t="s">
        <v>223</v>
      </c>
      <c r="T372" s="180">
        <f t="shared" si="63"/>
        <v>0</v>
      </c>
      <c r="U372" s="185" t="str">
        <f t="shared" si="61"/>
        <v>SUBDIRECCION DE GESTION CONTRACTUAL</v>
      </c>
      <c r="V372" s="172" t="str">
        <f t="shared" si="64"/>
        <v>CO-DC</v>
      </c>
      <c r="W372" s="185" t="str">
        <f t="shared" si="65"/>
        <v>Distrito Capital de Bogotá</v>
      </c>
      <c r="X372" s="186" t="s">
        <v>332</v>
      </c>
      <c r="Y372" s="172">
        <v>2427400</v>
      </c>
      <c r="Z372" s="186" t="s">
        <v>94</v>
      </c>
      <c r="AA372" s="189"/>
      <c r="AB372" s="189"/>
      <c r="AC372" s="189"/>
      <c r="AD372" s="189"/>
      <c r="AE372" s="189"/>
      <c r="AF372" s="189"/>
      <c r="AG372" s="189"/>
      <c r="AH372" s="189"/>
      <c r="AI372" s="189"/>
      <c r="AJ372" s="189"/>
      <c r="AK372" s="189"/>
      <c r="AL372" s="189"/>
      <c r="AM372" s="189"/>
      <c r="AN372" s="189"/>
      <c r="AO372" s="189"/>
      <c r="AP372" s="189"/>
      <c r="AQ372" s="189"/>
      <c r="AR372" s="189"/>
      <c r="AS372" s="189"/>
      <c r="AT372" s="189"/>
      <c r="AU372" s="189"/>
      <c r="AV372" s="189"/>
      <c r="AW372" s="189"/>
      <c r="AX372" s="189"/>
      <c r="AY372" s="189"/>
      <c r="AZ372" s="189"/>
      <c r="BA372" s="189"/>
      <c r="BB372" s="189"/>
      <c r="BC372" s="189"/>
      <c r="BD372" s="189"/>
      <c r="BE372" s="189"/>
      <c r="BF372" s="189"/>
      <c r="BG372" s="189"/>
      <c r="BH372" s="189"/>
      <c r="BI372" s="189"/>
      <c r="BJ372" s="189"/>
      <c r="BK372" s="189"/>
      <c r="BL372" s="189"/>
      <c r="BM372" s="189"/>
      <c r="BN372" s="189"/>
      <c r="BO372" s="189"/>
      <c r="BP372" s="189"/>
      <c r="BQ372" s="189"/>
      <c r="BR372" s="189"/>
      <c r="BS372" s="189"/>
      <c r="BT372" s="189"/>
      <c r="BU372" s="189"/>
      <c r="BV372" s="189"/>
      <c r="BW372" s="189"/>
      <c r="BX372" s="189"/>
      <c r="BY372" s="189"/>
      <c r="BZ372" s="189"/>
      <c r="CA372" s="189"/>
      <c r="CB372" s="189"/>
      <c r="CC372" s="189"/>
      <c r="CD372" s="189"/>
      <c r="CE372" s="189"/>
      <c r="CF372" s="189"/>
      <c r="CG372" s="189"/>
    </row>
    <row r="373" spans="1:85" s="189" customFormat="1" ht="12.75" customHeight="1" x14ac:dyDescent="0.2">
      <c r="A373" s="172" t="s">
        <v>117</v>
      </c>
      <c r="B373" s="172">
        <v>4</v>
      </c>
      <c r="C373" s="173" t="s">
        <v>118</v>
      </c>
      <c r="D373" s="173" t="s">
        <v>466</v>
      </c>
      <c r="E373" s="174"/>
      <c r="F373" s="174">
        <v>225000000</v>
      </c>
      <c r="G373" s="174"/>
      <c r="H373" s="175" t="s">
        <v>119</v>
      </c>
      <c r="I373" s="176" t="s">
        <v>470</v>
      </c>
      <c r="J373" s="193">
        <v>1</v>
      </c>
      <c r="K373" s="193">
        <v>2</v>
      </c>
      <c r="L373" s="193">
        <v>2</v>
      </c>
      <c r="M373" s="172">
        <f t="shared" si="58"/>
        <v>1</v>
      </c>
      <c r="N373" s="180" t="s">
        <v>43</v>
      </c>
      <c r="O373" s="181" t="str">
        <f>IF(ISBLANK(N373),"",VLOOKUP(N373,[15]Parámetros!$G$2:$H$23,2,FALSE))</f>
        <v>Selección abreviada subasta inversa</v>
      </c>
      <c r="P373" s="182">
        <f t="shared" si="62"/>
        <v>1</v>
      </c>
      <c r="Q373" s="183">
        <f t="shared" si="59"/>
        <v>225000000</v>
      </c>
      <c r="R373" s="183">
        <f t="shared" si="60"/>
        <v>225000000</v>
      </c>
      <c r="S373" s="184" t="s">
        <v>223</v>
      </c>
      <c r="T373" s="180">
        <f t="shared" si="63"/>
        <v>0</v>
      </c>
      <c r="U373" s="185" t="str">
        <f t="shared" si="61"/>
        <v>SUBDIRECCION DE GESTION CONTRACTUAL</v>
      </c>
      <c r="V373" s="172" t="str">
        <f t="shared" si="64"/>
        <v>CO-DC</v>
      </c>
      <c r="W373" s="185" t="str">
        <f t="shared" si="65"/>
        <v>Distrito Capital de Bogotá</v>
      </c>
      <c r="X373" s="186" t="s">
        <v>332</v>
      </c>
      <c r="Y373" s="172">
        <v>2427400</v>
      </c>
      <c r="Z373" s="186" t="s">
        <v>94</v>
      </c>
    </row>
    <row r="374" spans="1:85" s="189" customFormat="1" ht="12.75" customHeight="1" x14ac:dyDescent="0.2">
      <c r="A374" s="172" t="s">
        <v>117</v>
      </c>
      <c r="B374" s="172">
        <v>5</v>
      </c>
      <c r="C374" s="173" t="s">
        <v>118</v>
      </c>
      <c r="D374" s="173" t="s">
        <v>466</v>
      </c>
      <c r="E374" s="174"/>
      <c r="F374" s="174">
        <v>250000000</v>
      </c>
      <c r="G374" s="174"/>
      <c r="H374" s="175" t="s">
        <v>471</v>
      </c>
      <c r="I374" s="176" t="s">
        <v>472</v>
      </c>
      <c r="J374" s="193">
        <v>1</v>
      </c>
      <c r="K374" s="193">
        <v>2</v>
      </c>
      <c r="L374" s="193">
        <v>2</v>
      </c>
      <c r="M374" s="172">
        <f t="shared" si="58"/>
        <v>1</v>
      </c>
      <c r="N374" s="180" t="s">
        <v>43</v>
      </c>
      <c r="O374" s="181" t="str">
        <f>IF(ISBLANK(N374),"",VLOOKUP(N374,[15]Parámetros!$G$2:$H$23,2,FALSE))</f>
        <v>Selección abreviada subasta inversa</v>
      </c>
      <c r="P374" s="182">
        <f t="shared" si="62"/>
        <v>1</v>
      </c>
      <c r="Q374" s="183">
        <f t="shared" si="59"/>
        <v>250000000</v>
      </c>
      <c r="R374" s="183">
        <f t="shared" si="60"/>
        <v>250000000</v>
      </c>
      <c r="S374" s="184" t="s">
        <v>223</v>
      </c>
      <c r="T374" s="180">
        <f t="shared" si="63"/>
        <v>0</v>
      </c>
      <c r="U374" s="185" t="str">
        <f t="shared" si="61"/>
        <v>SUBDIRECCION DE GESTION CONTRACTUAL</v>
      </c>
      <c r="V374" s="172" t="str">
        <f t="shared" si="64"/>
        <v>CO-DC</v>
      </c>
      <c r="W374" s="185" t="str">
        <f t="shared" si="65"/>
        <v>Distrito Capital de Bogotá</v>
      </c>
      <c r="X374" s="186" t="s">
        <v>332</v>
      </c>
      <c r="Y374" s="172">
        <v>2427400</v>
      </c>
      <c r="Z374" s="186" t="s">
        <v>94</v>
      </c>
    </row>
    <row r="375" spans="1:85" s="189" customFormat="1" ht="12.75" customHeight="1" x14ac:dyDescent="0.2">
      <c r="A375" s="172" t="s">
        <v>117</v>
      </c>
      <c r="B375" s="172">
        <v>6</v>
      </c>
      <c r="C375" s="173" t="s">
        <v>620</v>
      </c>
      <c r="D375" s="173" t="s">
        <v>466</v>
      </c>
      <c r="E375" s="174"/>
      <c r="F375" s="174">
        <v>1297767202</v>
      </c>
      <c r="G375" s="174"/>
      <c r="H375" s="175" t="s">
        <v>473</v>
      </c>
      <c r="I375" s="176" t="s">
        <v>474</v>
      </c>
      <c r="J375" s="193">
        <v>2</v>
      </c>
      <c r="K375" s="193">
        <v>4</v>
      </c>
      <c r="L375" s="193">
        <v>7</v>
      </c>
      <c r="M375" s="172">
        <f t="shared" si="58"/>
        <v>1</v>
      </c>
      <c r="N375" s="180" t="s">
        <v>234</v>
      </c>
      <c r="O375" s="181" t="str">
        <f>IF(ISBLANK(N375),"",VLOOKUP(N375,[15]Parámetros!$G$2:$H$23,2,FALSE))</f>
        <v>Licitación pública</v>
      </c>
      <c r="P375" s="182">
        <f t="shared" si="62"/>
        <v>1</v>
      </c>
      <c r="Q375" s="183">
        <f t="shared" si="59"/>
        <v>1297767202</v>
      </c>
      <c r="R375" s="183">
        <f t="shared" si="60"/>
        <v>1297767202</v>
      </c>
      <c r="S375" s="184" t="s">
        <v>223</v>
      </c>
      <c r="T375" s="180">
        <f t="shared" si="63"/>
        <v>0</v>
      </c>
      <c r="U375" s="185" t="str">
        <f t="shared" si="61"/>
        <v>SUBDIRECCION DE GESTION CONTRACTUAL</v>
      </c>
      <c r="V375" s="172" t="str">
        <f t="shared" si="64"/>
        <v>CO-DC</v>
      </c>
      <c r="W375" s="185" t="str">
        <f t="shared" si="65"/>
        <v>Distrito Capital de Bogotá</v>
      </c>
      <c r="X375" s="186" t="s">
        <v>332</v>
      </c>
      <c r="Y375" s="172">
        <v>2427400</v>
      </c>
      <c r="Z375" s="186" t="s">
        <v>94</v>
      </c>
    </row>
    <row r="376" spans="1:85" s="189" customFormat="1" ht="12.75" customHeight="1" x14ac:dyDescent="0.2">
      <c r="A376" s="172" t="s">
        <v>117</v>
      </c>
      <c r="B376" s="172">
        <v>7</v>
      </c>
      <c r="C376" s="173" t="s">
        <v>118</v>
      </c>
      <c r="D376" s="173" t="s">
        <v>466</v>
      </c>
      <c r="E376" s="174"/>
      <c r="F376" s="174">
        <v>80000000</v>
      </c>
      <c r="G376" s="174"/>
      <c r="H376" s="175" t="s">
        <v>121</v>
      </c>
      <c r="I376" s="176" t="s">
        <v>475</v>
      </c>
      <c r="J376" s="193">
        <v>8</v>
      </c>
      <c r="K376" s="193">
        <v>8</v>
      </c>
      <c r="L376" s="193">
        <v>2</v>
      </c>
      <c r="M376" s="172">
        <f t="shared" si="58"/>
        <v>1</v>
      </c>
      <c r="N376" s="180" t="s">
        <v>53</v>
      </c>
      <c r="O376" s="181" t="str">
        <f>IF(ISBLANK(N376),"",VLOOKUP(N376,[15]Parámetros!$G$2:$H$23,2,FALSE))</f>
        <v>Seléccion abreviada - acuerdo marco</v>
      </c>
      <c r="P376" s="182">
        <f t="shared" si="62"/>
        <v>1</v>
      </c>
      <c r="Q376" s="183">
        <f t="shared" si="59"/>
        <v>80000000</v>
      </c>
      <c r="R376" s="183">
        <f t="shared" si="60"/>
        <v>80000000</v>
      </c>
      <c r="S376" s="184" t="s">
        <v>223</v>
      </c>
      <c r="T376" s="180">
        <f t="shared" si="63"/>
        <v>0</v>
      </c>
      <c r="U376" s="185" t="str">
        <f t="shared" si="61"/>
        <v>SUBDIRECCION DE GESTION CONTRACTUAL</v>
      </c>
      <c r="V376" s="172" t="str">
        <f t="shared" si="64"/>
        <v>CO-DC</v>
      </c>
      <c r="W376" s="185" t="str">
        <f t="shared" si="65"/>
        <v>Distrito Capital de Bogotá</v>
      </c>
      <c r="X376" s="186" t="s">
        <v>332</v>
      </c>
      <c r="Y376" s="172">
        <v>2427400</v>
      </c>
      <c r="Z376" s="186" t="s">
        <v>94</v>
      </c>
    </row>
    <row r="377" spans="1:85" s="189" customFormat="1" ht="12.75" customHeight="1" x14ac:dyDescent="0.2">
      <c r="A377" s="172" t="s">
        <v>117</v>
      </c>
      <c r="B377" s="172">
        <v>8</v>
      </c>
      <c r="C377" s="173" t="s">
        <v>118</v>
      </c>
      <c r="D377" s="173" t="s">
        <v>466</v>
      </c>
      <c r="E377" s="174"/>
      <c r="F377" s="174">
        <v>350000000</v>
      </c>
      <c r="G377" s="174"/>
      <c r="H377" s="175" t="s">
        <v>476</v>
      </c>
      <c r="I377" s="176" t="s">
        <v>477</v>
      </c>
      <c r="J377" s="193">
        <v>3</v>
      </c>
      <c r="K377" s="193">
        <v>4</v>
      </c>
      <c r="L377" s="193">
        <v>2</v>
      </c>
      <c r="M377" s="172">
        <f t="shared" si="58"/>
        <v>1</v>
      </c>
      <c r="N377" s="180" t="s">
        <v>43</v>
      </c>
      <c r="O377" s="181" t="str">
        <f>IF(ISBLANK(N377),"",VLOOKUP(N377,[15]Parámetros!$G$2:$H$23,2,FALSE))</f>
        <v>Selección abreviada subasta inversa</v>
      </c>
      <c r="P377" s="182">
        <f t="shared" si="62"/>
        <v>1</v>
      </c>
      <c r="Q377" s="183">
        <f t="shared" si="59"/>
        <v>350000000</v>
      </c>
      <c r="R377" s="183">
        <f t="shared" si="60"/>
        <v>350000000</v>
      </c>
      <c r="S377" s="184" t="s">
        <v>223</v>
      </c>
      <c r="T377" s="180">
        <f t="shared" si="63"/>
        <v>0</v>
      </c>
      <c r="U377" s="185" t="str">
        <f t="shared" si="61"/>
        <v>SUBDIRECCION DE GESTION CONTRACTUAL</v>
      </c>
      <c r="V377" s="172" t="str">
        <f t="shared" si="64"/>
        <v>CO-DC</v>
      </c>
      <c r="W377" s="185" t="str">
        <f t="shared" si="65"/>
        <v>Distrito Capital de Bogotá</v>
      </c>
      <c r="X377" s="186" t="s">
        <v>332</v>
      </c>
      <c r="Y377" s="172">
        <v>2427400</v>
      </c>
      <c r="Z377" s="186" t="s">
        <v>94</v>
      </c>
    </row>
    <row r="378" spans="1:85" s="189" customFormat="1" ht="12.75" customHeight="1" x14ac:dyDescent="0.2">
      <c r="A378" s="172" t="s">
        <v>117</v>
      </c>
      <c r="B378" s="172">
        <v>9</v>
      </c>
      <c r="C378" s="173" t="s">
        <v>118</v>
      </c>
      <c r="D378" s="173" t="s">
        <v>466</v>
      </c>
      <c r="E378" s="174"/>
      <c r="F378" s="174">
        <v>1600000000</v>
      </c>
      <c r="G378" s="174"/>
      <c r="H378" s="175" t="s">
        <v>250</v>
      </c>
      <c r="I378" s="176" t="s">
        <v>478</v>
      </c>
      <c r="J378" s="193">
        <v>3</v>
      </c>
      <c r="K378" s="193">
        <v>4</v>
      </c>
      <c r="L378" s="193">
        <v>8</v>
      </c>
      <c r="M378" s="172">
        <f t="shared" si="58"/>
        <v>1</v>
      </c>
      <c r="N378" s="180" t="s">
        <v>53</v>
      </c>
      <c r="O378" s="181" t="str">
        <f>IF(ISBLANK(N378),"",VLOOKUP(N378,[15]Parámetros!$G$2:$H$23,2,FALSE))</f>
        <v>Seléccion abreviada - acuerdo marco</v>
      </c>
      <c r="P378" s="182">
        <f t="shared" si="62"/>
        <v>1</v>
      </c>
      <c r="Q378" s="183">
        <f t="shared" si="59"/>
        <v>1600000000</v>
      </c>
      <c r="R378" s="183">
        <f t="shared" si="60"/>
        <v>1600000000</v>
      </c>
      <c r="S378" s="184" t="s">
        <v>223</v>
      </c>
      <c r="T378" s="180">
        <f t="shared" si="63"/>
        <v>0</v>
      </c>
      <c r="U378" s="185" t="str">
        <f t="shared" si="61"/>
        <v>SUBDIRECCION DE GESTION CONTRACTUAL</v>
      </c>
      <c r="V378" s="172" t="str">
        <f t="shared" si="64"/>
        <v>CO-DC</v>
      </c>
      <c r="W378" s="185" t="str">
        <f t="shared" si="65"/>
        <v>Distrito Capital de Bogotá</v>
      </c>
      <c r="X378" s="186" t="s">
        <v>332</v>
      </c>
      <c r="Y378" s="172">
        <v>2427400</v>
      </c>
      <c r="Z378" s="186" t="s">
        <v>94</v>
      </c>
    </row>
    <row r="379" spans="1:85" s="195" customFormat="1" ht="13.9" customHeight="1" x14ac:dyDescent="0.2">
      <c r="A379" s="172" t="s">
        <v>117</v>
      </c>
      <c r="B379" s="172">
        <v>10</v>
      </c>
      <c r="C379" s="173" t="s">
        <v>118</v>
      </c>
      <c r="D379" s="173" t="s">
        <v>466</v>
      </c>
      <c r="E379" s="174"/>
      <c r="F379" s="174">
        <v>700000000</v>
      </c>
      <c r="G379" s="174"/>
      <c r="H379" s="175" t="s">
        <v>479</v>
      </c>
      <c r="I379" s="176" t="s">
        <v>480</v>
      </c>
      <c r="J379" s="193">
        <v>2</v>
      </c>
      <c r="K379" s="193">
        <v>4</v>
      </c>
      <c r="L379" s="193">
        <v>7</v>
      </c>
      <c r="M379" s="172">
        <f t="shared" si="58"/>
        <v>1</v>
      </c>
      <c r="N379" s="180" t="s">
        <v>481</v>
      </c>
      <c r="O379" s="181" t="str">
        <f>IF(ISBLANK(N379),"",VLOOKUP(N379,[15]Parámetros!$G$2:$H$23,2,FALSE))</f>
        <v>Concurso de méritos abierto</v>
      </c>
      <c r="P379" s="182">
        <f t="shared" ref="P379:P410" si="66">IF(ISBLANK(N379),"",1)</f>
        <v>1</v>
      </c>
      <c r="Q379" s="183">
        <f t="shared" si="59"/>
        <v>700000000</v>
      </c>
      <c r="R379" s="183">
        <f t="shared" si="60"/>
        <v>700000000</v>
      </c>
      <c r="S379" s="184" t="s">
        <v>223</v>
      </c>
      <c r="T379" s="180">
        <f t="shared" ref="T379:T410" si="67">IF(ISBLANK(S379),"",IF(VALUE(S379)=0,0,IF(VALUE(S379)=1,3,"")))</f>
        <v>0</v>
      </c>
      <c r="U379" s="185" t="str">
        <f t="shared" si="61"/>
        <v>SUBDIRECCION DE GESTION CONTRACTUAL</v>
      </c>
      <c r="V379" s="172" t="str">
        <f t="shared" si="64"/>
        <v>CO-DC</v>
      </c>
      <c r="W379" s="185" t="str">
        <f t="shared" si="65"/>
        <v>Distrito Capital de Bogotá</v>
      </c>
      <c r="X379" s="186" t="s">
        <v>332</v>
      </c>
      <c r="Y379" s="172">
        <v>2427400</v>
      </c>
      <c r="Z379" s="186" t="s">
        <v>94</v>
      </c>
      <c r="AA379" s="189"/>
      <c r="AB379" s="189"/>
      <c r="AC379" s="189"/>
      <c r="AD379" s="189"/>
      <c r="AE379" s="189"/>
      <c r="AF379" s="189"/>
      <c r="AG379" s="189"/>
      <c r="AH379" s="189"/>
      <c r="AI379" s="189"/>
      <c r="AJ379" s="189"/>
      <c r="AK379" s="189"/>
      <c r="AL379" s="189"/>
      <c r="AM379" s="189"/>
      <c r="AN379" s="189"/>
      <c r="AO379" s="189"/>
      <c r="AP379" s="189"/>
      <c r="AQ379" s="189"/>
      <c r="AR379" s="189"/>
      <c r="AS379" s="189"/>
      <c r="AT379" s="189"/>
      <c r="AU379" s="189"/>
      <c r="AV379" s="189"/>
      <c r="AW379" s="189"/>
      <c r="AX379" s="189"/>
      <c r="AY379" s="189"/>
      <c r="AZ379" s="189"/>
      <c r="BA379" s="189"/>
      <c r="BB379" s="189"/>
      <c r="BC379" s="189"/>
      <c r="BD379" s="189"/>
      <c r="BE379" s="189"/>
      <c r="BF379" s="189"/>
      <c r="BG379" s="189"/>
      <c r="BH379" s="189"/>
      <c r="BI379" s="189"/>
      <c r="BJ379" s="189"/>
      <c r="BK379" s="189"/>
      <c r="BL379" s="189"/>
      <c r="BM379" s="189"/>
      <c r="BN379" s="189"/>
      <c r="BO379" s="189"/>
      <c r="BP379" s="189"/>
      <c r="BQ379" s="189"/>
      <c r="BR379" s="189"/>
      <c r="BS379" s="189"/>
      <c r="BT379" s="189"/>
      <c r="BU379" s="189"/>
      <c r="BV379" s="189"/>
      <c r="BW379" s="189"/>
      <c r="BX379" s="189"/>
      <c r="BY379" s="189"/>
      <c r="BZ379" s="189"/>
      <c r="CA379" s="189"/>
      <c r="CB379" s="189"/>
      <c r="CC379" s="189"/>
      <c r="CD379" s="189"/>
      <c r="CE379" s="189"/>
      <c r="CF379" s="189"/>
      <c r="CG379" s="189"/>
    </row>
    <row r="380" spans="1:85" s="195" customFormat="1" ht="13.9" customHeight="1" x14ac:dyDescent="0.2">
      <c r="A380" s="172" t="s">
        <v>117</v>
      </c>
      <c r="B380" s="172">
        <v>11</v>
      </c>
      <c r="C380" s="173" t="s">
        <v>118</v>
      </c>
      <c r="D380" s="173" t="s">
        <v>466</v>
      </c>
      <c r="E380" s="174"/>
      <c r="F380" s="174">
        <v>150000000</v>
      </c>
      <c r="G380" s="174"/>
      <c r="H380" s="175" t="s">
        <v>670</v>
      </c>
      <c r="I380" s="176" t="s">
        <v>482</v>
      </c>
      <c r="J380" s="193">
        <v>2</v>
      </c>
      <c r="K380" s="193">
        <v>4</v>
      </c>
      <c r="L380" s="193">
        <v>4</v>
      </c>
      <c r="M380" s="172">
        <f t="shared" si="58"/>
        <v>1</v>
      </c>
      <c r="N380" s="180" t="s">
        <v>481</v>
      </c>
      <c r="O380" s="181" t="str">
        <f>IF(ISBLANK(N380),"",VLOOKUP(N380,[15]Parámetros!$G$2:$H$23,2,FALSE))</f>
        <v>Concurso de méritos abierto</v>
      </c>
      <c r="P380" s="182">
        <f t="shared" si="66"/>
        <v>1</v>
      </c>
      <c r="Q380" s="183">
        <f t="shared" si="59"/>
        <v>150000000</v>
      </c>
      <c r="R380" s="183">
        <f t="shared" si="60"/>
        <v>150000000</v>
      </c>
      <c r="S380" s="184" t="s">
        <v>223</v>
      </c>
      <c r="T380" s="180">
        <f t="shared" si="67"/>
        <v>0</v>
      </c>
      <c r="U380" s="185" t="str">
        <f t="shared" si="61"/>
        <v>SUBDIRECCION DE GESTION CONTRACTUAL</v>
      </c>
      <c r="V380" s="172" t="str">
        <f t="shared" si="64"/>
        <v>CO-DC</v>
      </c>
      <c r="W380" s="185" t="str">
        <f t="shared" si="65"/>
        <v>Distrito Capital de Bogotá</v>
      </c>
      <c r="X380" s="186" t="s">
        <v>332</v>
      </c>
      <c r="Y380" s="172">
        <v>2427400</v>
      </c>
      <c r="Z380" s="186" t="s">
        <v>94</v>
      </c>
      <c r="AA380" s="189"/>
      <c r="AB380" s="189"/>
      <c r="AC380" s="189"/>
      <c r="AD380" s="189"/>
      <c r="AE380" s="189"/>
      <c r="AF380" s="189"/>
      <c r="AG380" s="189"/>
      <c r="AH380" s="189"/>
      <c r="AI380" s="189"/>
      <c r="AJ380" s="189"/>
      <c r="AK380" s="189"/>
      <c r="AL380" s="189"/>
      <c r="AM380" s="189"/>
      <c r="AN380" s="189"/>
      <c r="AO380" s="189"/>
      <c r="AP380" s="189"/>
      <c r="AQ380" s="189"/>
      <c r="AR380" s="189"/>
      <c r="AS380" s="189"/>
      <c r="AT380" s="189"/>
      <c r="AU380" s="189"/>
      <c r="AV380" s="189"/>
      <c r="AW380" s="189"/>
      <c r="AX380" s="189"/>
      <c r="AY380" s="189"/>
      <c r="AZ380" s="189"/>
      <c r="BA380" s="189"/>
      <c r="BB380" s="189"/>
      <c r="BC380" s="189"/>
      <c r="BD380" s="189"/>
      <c r="BE380" s="189"/>
      <c r="BF380" s="189"/>
      <c r="BG380" s="189"/>
      <c r="BH380" s="189"/>
      <c r="BI380" s="189"/>
      <c r="BJ380" s="189"/>
      <c r="BK380" s="189"/>
      <c r="BL380" s="189"/>
      <c r="BM380" s="189"/>
      <c r="BN380" s="189"/>
      <c r="BO380" s="189"/>
      <c r="BP380" s="189"/>
      <c r="BQ380" s="189"/>
      <c r="BR380" s="189"/>
      <c r="BS380" s="189"/>
      <c r="BT380" s="189"/>
      <c r="BU380" s="189"/>
      <c r="BV380" s="189"/>
      <c r="BW380" s="189"/>
      <c r="BX380" s="189"/>
      <c r="BY380" s="189"/>
      <c r="BZ380" s="189"/>
      <c r="CA380" s="189"/>
      <c r="CB380" s="189"/>
      <c r="CC380" s="189"/>
      <c r="CD380" s="189"/>
      <c r="CE380" s="189"/>
      <c r="CF380" s="189"/>
      <c r="CG380" s="189"/>
    </row>
    <row r="381" spans="1:85" s="195" customFormat="1" ht="13.9" customHeight="1" x14ac:dyDescent="0.2">
      <c r="A381" s="172" t="s">
        <v>117</v>
      </c>
      <c r="B381" s="172">
        <v>12</v>
      </c>
      <c r="C381" s="173" t="s">
        <v>483</v>
      </c>
      <c r="D381" s="173" t="s">
        <v>484</v>
      </c>
      <c r="E381" s="174"/>
      <c r="F381" s="174">
        <v>1748500000</v>
      </c>
      <c r="G381" s="174"/>
      <c r="H381" s="175">
        <v>80111600</v>
      </c>
      <c r="I381" s="176" t="s">
        <v>485</v>
      </c>
      <c r="J381" s="193">
        <v>1</v>
      </c>
      <c r="K381" s="193">
        <v>1</v>
      </c>
      <c r="L381" s="193">
        <v>12</v>
      </c>
      <c r="M381" s="172">
        <f t="shared" si="58"/>
        <v>1</v>
      </c>
      <c r="N381" s="180" t="s">
        <v>216</v>
      </c>
      <c r="O381" s="181" t="str">
        <f>IF(ISBLANK(N381),"",VLOOKUP(N381,[15]Parámetros!$G$2:$H$23,2,FALSE))</f>
        <v>Contratación directa.</v>
      </c>
      <c r="P381" s="182">
        <f t="shared" si="66"/>
        <v>1</v>
      </c>
      <c r="Q381" s="183">
        <f t="shared" si="59"/>
        <v>1748500000</v>
      </c>
      <c r="R381" s="183">
        <f t="shared" si="60"/>
        <v>1748500000</v>
      </c>
      <c r="S381" s="184" t="s">
        <v>223</v>
      </c>
      <c r="T381" s="180">
        <f t="shared" si="67"/>
        <v>0</v>
      </c>
      <c r="U381" s="185" t="str">
        <f t="shared" si="61"/>
        <v>SUBDIRECCION DE GESTION CONTRACTUAL</v>
      </c>
      <c r="V381" s="172" t="str">
        <f t="shared" si="64"/>
        <v>CO-DC</v>
      </c>
      <c r="W381" s="185" t="str">
        <f t="shared" si="65"/>
        <v>Distrito Capital de Bogotá</v>
      </c>
      <c r="X381" s="186" t="s">
        <v>332</v>
      </c>
      <c r="Y381" s="172">
        <v>2427400</v>
      </c>
      <c r="Z381" s="186" t="s">
        <v>94</v>
      </c>
      <c r="AA381" s="189"/>
      <c r="AB381" s="189"/>
      <c r="AC381" s="189"/>
      <c r="AD381" s="189"/>
      <c r="AE381" s="189"/>
      <c r="AF381" s="189"/>
      <c r="AG381" s="189"/>
      <c r="AH381" s="189"/>
      <c r="AI381" s="189"/>
      <c r="AJ381" s="189"/>
      <c r="AK381" s="189"/>
      <c r="AL381" s="189"/>
      <c r="AM381" s="189"/>
      <c r="AN381" s="189"/>
      <c r="AO381" s="189"/>
      <c r="AP381" s="189"/>
      <c r="AQ381" s="189"/>
      <c r="AR381" s="189"/>
      <c r="AS381" s="189"/>
      <c r="AT381" s="189"/>
      <c r="AU381" s="189"/>
      <c r="AV381" s="189"/>
      <c r="AW381" s="189"/>
      <c r="AX381" s="189"/>
      <c r="AY381" s="189"/>
      <c r="AZ381" s="189"/>
      <c r="BA381" s="189"/>
      <c r="BB381" s="189"/>
      <c r="BC381" s="189"/>
      <c r="BD381" s="189"/>
      <c r="BE381" s="189"/>
      <c r="BF381" s="189"/>
      <c r="BG381" s="189"/>
      <c r="BH381" s="189"/>
      <c r="BI381" s="189"/>
      <c r="BJ381" s="189"/>
      <c r="BK381" s="189"/>
      <c r="BL381" s="189"/>
      <c r="BM381" s="189"/>
      <c r="BN381" s="189"/>
      <c r="BO381" s="189"/>
      <c r="BP381" s="189"/>
      <c r="BQ381" s="189"/>
      <c r="BR381" s="189"/>
      <c r="BS381" s="189"/>
      <c r="BT381" s="189"/>
      <c r="BU381" s="189"/>
      <c r="BV381" s="189"/>
      <c r="BW381" s="189"/>
      <c r="BX381" s="189"/>
      <c r="BY381" s="189"/>
      <c r="BZ381" s="189"/>
      <c r="CA381" s="189"/>
      <c r="CB381" s="189"/>
      <c r="CC381" s="189"/>
      <c r="CD381" s="189"/>
      <c r="CE381" s="189"/>
      <c r="CF381" s="189"/>
      <c r="CG381" s="189"/>
    </row>
    <row r="382" spans="1:85" s="195" customFormat="1" ht="13.9" customHeight="1" x14ac:dyDescent="0.2">
      <c r="A382" s="172" t="s">
        <v>117</v>
      </c>
      <c r="B382" s="172">
        <v>13</v>
      </c>
      <c r="C382" s="173" t="s">
        <v>483</v>
      </c>
      <c r="D382" s="173" t="s">
        <v>484</v>
      </c>
      <c r="E382" s="174"/>
      <c r="F382" s="174">
        <v>196000000</v>
      </c>
      <c r="G382" s="174"/>
      <c r="H382" s="175" t="s">
        <v>486</v>
      </c>
      <c r="I382" s="176" t="s">
        <v>469</v>
      </c>
      <c r="J382" s="193">
        <v>6</v>
      </c>
      <c r="K382" s="193">
        <v>7</v>
      </c>
      <c r="L382" s="193">
        <v>4</v>
      </c>
      <c r="M382" s="172">
        <f t="shared" si="58"/>
        <v>1</v>
      </c>
      <c r="N382" s="180" t="s">
        <v>53</v>
      </c>
      <c r="O382" s="181" t="str">
        <f>IF(ISBLANK(N382),"",VLOOKUP(N382,[15]Parámetros!$G$2:$H$23,2,FALSE))</f>
        <v>Seléccion abreviada - acuerdo marco</v>
      </c>
      <c r="P382" s="182">
        <f t="shared" si="66"/>
        <v>1</v>
      </c>
      <c r="Q382" s="183">
        <f t="shared" si="59"/>
        <v>196000000</v>
      </c>
      <c r="R382" s="183">
        <f t="shared" si="60"/>
        <v>196000000</v>
      </c>
      <c r="S382" s="184" t="s">
        <v>223</v>
      </c>
      <c r="T382" s="180">
        <f t="shared" si="67"/>
        <v>0</v>
      </c>
      <c r="U382" s="185" t="str">
        <f t="shared" si="61"/>
        <v>SUBDIRECCION DE GESTION CONTRACTUAL</v>
      </c>
      <c r="V382" s="172" t="str">
        <f t="shared" si="64"/>
        <v>CO-DC</v>
      </c>
      <c r="W382" s="185" t="str">
        <f t="shared" si="65"/>
        <v>Distrito Capital de Bogotá</v>
      </c>
      <c r="X382" s="186" t="s">
        <v>332</v>
      </c>
      <c r="Y382" s="172">
        <v>2427400</v>
      </c>
      <c r="Z382" s="186" t="s">
        <v>94</v>
      </c>
      <c r="AA382" s="189"/>
      <c r="AB382" s="189"/>
      <c r="AC382" s="189"/>
      <c r="AD382" s="189"/>
      <c r="AE382" s="189"/>
      <c r="AF382" s="189"/>
      <c r="AG382" s="189"/>
      <c r="AH382" s="189"/>
      <c r="AI382" s="189"/>
      <c r="AJ382" s="189"/>
      <c r="AK382" s="189"/>
      <c r="AL382" s="189"/>
      <c r="AM382" s="189"/>
      <c r="AN382" s="189"/>
      <c r="AO382" s="189"/>
      <c r="AP382" s="189"/>
      <c r="AQ382" s="189"/>
      <c r="AR382" s="189"/>
      <c r="AS382" s="189"/>
      <c r="AT382" s="189"/>
      <c r="AU382" s="189"/>
      <c r="AV382" s="189"/>
      <c r="AW382" s="189"/>
      <c r="AX382" s="189"/>
      <c r="AY382" s="189"/>
      <c r="AZ382" s="189"/>
      <c r="BA382" s="189"/>
      <c r="BB382" s="189"/>
      <c r="BC382" s="189"/>
      <c r="BD382" s="189"/>
      <c r="BE382" s="189"/>
      <c r="BF382" s="189"/>
      <c r="BG382" s="189"/>
      <c r="BH382" s="189"/>
      <c r="BI382" s="189"/>
      <c r="BJ382" s="189"/>
      <c r="BK382" s="189"/>
      <c r="BL382" s="189"/>
      <c r="BM382" s="189"/>
      <c r="BN382" s="189"/>
      <c r="BO382" s="189"/>
      <c r="BP382" s="189"/>
      <c r="BQ382" s="189"/>
      <c r="BR382" s="189"/>
      <c r="BS382" s="189"/>
      <c r="BT382" s="189"/>
      <c r="BU382" s="189"/>
      <c r="BV382" s="189"/>
      <c r="BW382" s="189"/>
      <c r="BX382" s="189"/>
      <c r="BY382" s="189"/>
      <c r="BZ382" s="189"/>
      <c r="CA382" s="189"/>
      <c r="CB382" s="189"/>
      <c r="CC382" s="189"/>
      <c r="CD382" s="189"/>
      <c r="CE382" s="189"/>
      <c r="CF382" s="189"/>
      <c r="CG382" s="189"/>
    </row>
    <row r="383" spans="1:85" s="195" customFormat="1" ht="13.9" customHeight="1" x14ac:dyDescent="0.2">
      <c r="A383" s="172" t="s">
        <v>117</v>
      </c>
      <c r="B383" s="172">
        <v>14</v>
      </c>
      <c r="C383" s="173" t="s">
        <v>483</v>
      </c>
      <c r="D383" s="173" t="s">
        <v>484</v>
      </c>
      <c r="E383" s="174"/>
      <c r="F383" s="174">
        <v>55500000</v>
      </c>
      <c r="G383" s="174"/>
      <c r="H383" s="175" t="s">
        <v>124</v>
      </c>
      <c r="I383" s="176" t="s">
        <v>487</v>
      </c>
      <c r="J383" s="193">
        <v>2</v>
      </c>
      <c r="K383" s="193">
        <v>3</v>
      </c>
      <c r="L383" s="193">
        <v>11</v>
      </c>
      <c r="M383" s="172">
        <f t="shared" si="58"/>
        <v>1</v>
      </c>
      <c r="N383" s="180" t="s">
        <v>329</v>
      </c>
      <c r="O383" s="181" t="str">
        <f>IF(ISBLANK(N383),"",VLOOKUP(N383,[15]Parámetros!$G$2:$H$23,2,FALSE))</f>
        <v>Selección abreviada menor cuantía</v>
      </c>
      <c r="P383" s="182">
        <f t="shared" si="66"/>
        <v>1</v>
      </c>
      <c r="Q383" s="183">
        <f t="shared" si="59"/>
        <v>55500000</v>
      </c>
      <c r="R383" s="183">
        <f t="shared" si="60"/>
        <v>55500000</v>
      </c>
      <c r="S383" s="184" t="s">
        <v>223</v>
      </c>
      <c r="T383" s="180">
        <f t="shared" si="67"/>
        <v>0</v>
      </c>
      <c r="U383" s="185" t="str">
        <f t="shared" si="61"/>
        <v>SUBDIRECCION DE GESTION CONTRACTUAL</v>
      </c>
      <c r="V383" s="172" t="str">
        <f t="shared" si="64"/>
        <v>CO-DC</v>
      </c>
      <c r="W383" s="185" t="str">
        <f t="shared" si="65"/>
        <v>Distrito Capital de Bogotá</v>
      </c>
      <c r="X383" s="186" t="s">
        <v>332</v>
      </c>
      <c r="Y383" s="172">
        <v>2427400</v>
      </c>
      <c r="Z383" s="186" t="s">
        <v>94</v>
      </c>
      <c r="AA383" s="189"/>
      <c r="AB383" s="189"/>
      <c r="AC383" s="189"/>
      <c r="AD383" s="189"/>
      <c r="AE383" s="189"/>
      <c r="AF383" s="189"/>
      <c r="AG383" s="189"/>
      <c r="AH383" s="189"/>
      <c r="AI383" s="189"/>
      <c r="AJ383" s="189"/>
      <c r="AK383" s="189"/>
      <c r="AL383" s="189"/>
      <c r="AM383" s="189"/>
      <c r="AN383" s="189"/>
      <c r="AO383" s="189"/>
      <c r="AP383" s="189"/>
      <c r="AQ383" s="189"/>
      <c r="AR383" s="189"/>
      <c r="AS383" s="189"/>
      <c r="AT383" s="189"/>
      <c r="AU383" s="189"/>
      <c r="AV383" s="189"/>
      <c r="AW383" s="189"/>
      <c r="AX383" s="189"/>
      <c r="AY383" s="189"/>
      <c r="AZ383" s="189"/>
      <c r="BA383" s="189"/>
      <c r="BB383" s="189"/>
      <c r="BC383" s="189"/>
      <c r="BD383" s="189"/>
      <c r="BE383" s="189"/>
      <c r="BF383" s="189"/>
      <c r="BG383" s="189"/>
      <c r="BH383" s="189"/>
      <c r="BI383" s="189"/>
      <c r="BJ383" s="189"/>
      <c r="BK383" s="189"/>
      <c r="BL383" s="189"/>
      <c r="BM383" s="189"/>
      <c r="BN383" s="189"/>
      <c r="BO383" s="189"/>
      <c r="BP383" s="189"/>
      <c r="BQ383" s="189"/>
      <c r="BR383" s="189"/>
      <c r="BS383" s="189"/>
      <c r="BT383" s="189"/>
      <c r="BU383" s="189"/>
      <c r="BV383" s="189"/>
      <c r="BW383" s="189"/>
      <c r="BX383" s="189"/>
      <c r="BY383" s="189"/>
      <c r="BZ383" s="189"/>
      <c r="CA383" s="189"/>
      <c r="CB383" s="189"/>
      <c r="CC383" s="189"/>
      <c r="CD383" s="189"/>
      <c r="CE383" s="189"/>
      <c r="CF383" s="189"/>
      <c r="CG383" s="189"/>
    </row>
    <row r="384" spans="1:85" s="254" customFormat="1" ht="13.9" customHeight="1" x14ac:dyDescent="0.2">
      <c r="A384" s="171" t="s">
        <v>117</v>
      </c>
      <c r="B384" s="172">
        <v>15</v>
      </c>
      <c r="C384" s="173" t="s">
        <v>488</v>
      </c>
      <c r="D384" s="173" t="s">
        <v>489</v>
      </c>
      <c r="E384" s="174"/>
      <c r="F384" s="174">
        <v>828166666</v>
      </c>
      <c r="G384" s="174"/>
      <c r="H384" s="175">
        <v>80111600</v>
      </c>
      <c r="I384" s="176" t="s">
        <v>490</v>
      </c>
      <c r="J384" s="193">
        <v>1</v>
      </c>
      <c r="K384" s="193">
        <v>1</v>
      </c>
      <c r="L384" s="193">
        <v>12</v>
      </c>
      <c r="M384" s="172">
        <f t="shared" si="58"/>
        <v>1</v>
      </c>
      <c r="N384" s="180" t="s">
        <v>216</v>
      </c>
      <c r="O384" s="181" t="str">
        <f>IF(ISBLANK(N384),"",VLOOKUP(N384,[15]Parámetros!$G$2:$H$23,2,FALSE))</f>
        <v>Contratación directa.</v>
      </c>
      <c r="P384" s="182">
        <f t="shared" si="66"/>
        <v>1</v>
      </c>
      <c r="Q384" s="183">
        <f t="shared" si="59"/>
        <v>828166666</v>
      </c>
      <c r="R384" s="183">
        <f t="shared" si="60"/>
        <v>828166666</v>
      </c>
      <c r="S384" s="184" t="s">
        <v>223</v>
      </c>
      <c r="T384" s="180">
        <f t="shared" si="67"/>
        <v>0</v>
      </c>
      <c r="U384" s="185" t="str">
        <f t="shared" si="61"/>
        <v>SUBDIRECCION DE GESTION CONTRACTUAL</v>
      </c>
      <c r="V384" s="172" t="str">
        <f t="shared" si="64"/>
        <v>CO-DC</v>
      </c>
      <c r="W384" s="185" t="str">
        <f t="shared" si="65"/>
        <v>Distrito Capital de Bogotá</v>
      </c>
      <c r="X384" s="186" t="s">
        <v>332</v>
      </c>
      <c r="Y384" s="172">
        <v>2427400</v>
      </c>
      <c r="Z384" s="188" t="s">
        <v>94</v>
      </c>
      <c r="AA384" s="189"/>
      <c r="AB384" s="189"/>
      <c r="AC384" s="189"/>
      <c r="AD384" s="189"/>
      <c r="AE384" s="189"/>
      <c r="AF384" s="189"/>
      <c r="AG384" s="189"/>
      <c r="AH384" s="189"/>
      <c r="AI384" s="189"/>
      <c r="AJ384" s="189"/>
      <c r="AK384" s="189"/>
      <c r="AL384" s="189"/>
      <c r="AM384" s="189"/>
      <c r="AN384" s="189"/>
      <c r="AO384" s="189"/>
      <c r="AP384" s="189"/>
      <c r="AQ384" s="189"/>
      <c r="AR384" s="189"/>
      <c r="AS384" s="189"/>
      <c r="AT384" s="189"/>
      <c r="AU384" s="189"/>
      <c r="AV384" s="189"/>
      <c r="AW384" s="189"/>
      <c r="AX384" s="189"/>
      <c r="AY384" s="189"/>
      <c r="AZ384" s="189"/>
      <c r="BA384" s="189"/>
      <c r="BB384" s="189"/>
      <c r="BC384" s="189"/>
      <c r="BD384" s="189"/>
      <c r="BE384" s="189"/>
      <c r="BF384" s="189"/>
      <c r="BG384" s="189"/>
      <c r="BH384" s="189"/>
      <c r="BI384" s="189"/>
      <c r="BJ384" s="189"/>
      <c r="BK384" s="189"/>
      <c r="BL384" s="189"/>
      <c r="BM384" s="189"/>
      <c r="BN384" s="189"/>
      <c r="BO384" s="189"/>
      <c r="BP384" s="189"/>
      <c r="BQ384" s="189"/>
      <c r="BR384" s="189"/>
      <c r="BS384" s="189"/>
      <c r="BT384" s="189"/>
      <c r="BU384" s="189"/>
      <c r="BV384" s="189"/>
      <c r="BW384" s="189"/>
      <c r="BX384" s="189"/>
      <c r="BY384" s="189"/>
      <c r="BZ384" s="189"/>
      <c r="CA384" s="189"/>
      <c r="CB384" s="189"/>
      <c r="CC384" s="189"/>
      <c r="CD384" s="189"/>
      <c r="CE384" s="189"/>
      <c r="CF384" s="189"/>
      <c r="CG384" s="253"/>
    </row>
    <row r="385" spans="1:85" s="254" customFormat="1" ht="13.9" customHeight="1" x14ac:dyDescent="0.2">
      <c r="A385" s="171" t="s">
        <v>117</v>
      </c>
      <c r="B385" s="172">
        <v>16</v>
      </c>
      <c r="C385" s="173" t="s">
        <v>488</v>
      </c>
      <c r="D385" s="173" t="s">
        <v>489</v>
      </c>
      <c r="E385" s="174"/>
      <c r="F385" s="174">
        <v>80000000</v>
      </c>
      <c r="G385" s="174"/>
      <c r="H385" s="175" t="s">
        <v>801</v>
      </c>
      <c r="I385" s="176" t="s">
        <v>671</v>
      </c>
      <c r="J385" s="193">
        <v>2</v>
      </c>
      <c r="K385" s="193">
        <v>3</v>
      </c>
      <c r="L385" s="193">
        <v>9</v>
      </c>
      <c r="M385" s="172">
        <f t="shared" si="58"/>
        <v>1</v>
      </c>
      <c r="N385" s="180" t="s">
        <v>234</v>
      </c>
      <c r="O385" s="181" t="str">
        <f>IF(ISBLANK(N385),"",VLOOKUP(N385,[15]Parámetros!$G$2:$H$23,2,FALSE))</f>
        <v>Licitación pública</v>
      </c>
      <c r="P385" s="182">
        <f t="shared" si="66"/>
        <v>1</v>
      </c>
      <c r="Q385" s="183">
        <f t="shared" si="59"/>
        <v>80000000</v>
      </c>
      <c r="R385" s="183">
        <f t="shared" si="60"/>
        <v>80000000</v>
      </c>
      <c r="S385" s="184" t="s">
        <v>223</v>
      </c>
      <c r="T385" s="180">
        <f t="shared" si="67"/>
        <v>0</v>
      </c>
      <c r="U385" s="185" t="str">
        <f t="shared" si="61"/>
        <v>SUBDIRECCION DE GESTION CONTRACTUAL</v>
      </c>
      <c r="V385" s="172" t="str">
        <f t="shared" si="64"/>
        <v>CO-DC</v>
      </c>
      <c r="W385" s="185" t="str">
        <f t="shared" si="65"/>
        <v>Distrito Capital de Bogotá</v>
      </c>
      <c r="X385" s="186" t="s">
        <v>332</v>
      </c>
      <c r="Y385" s="172">
        <v>2427400</v>
      </c>
      <c r="Z385" s="188" t="s">
        <v>94</v>
      </c>
      <c r="AA385" s="189"/>
      <c r="AB385" s="189"/>
      <c r="AC385" s="189"/>
      <c r="AD385" s="189"/>
      <c r="AE385" s="189"/>
      <c r="AF385" s="189"/>
      <c r="AG385" s="189"/>
      <c r="AH385" s="189"/>
      <c r="AI385" s="189"/>
      <c r="AJ385" s="189"/>
      <c r="AK385" s="189"/>
      <c r="AL385" s="189"/>
      <c r="AM385" s="189"/>
      <c r="AN385" s="189"/>
      <c r="AO385" s="189"/>
      <c r="AP385" s="189"/>
      <c r="AQ385" s="189"/>
      <c r="AR385" s="189"/>
      <c r="AS385" s="189"/>
      <c r="AT385" s="189"/>
      <c r="AU385" s="189"/>
      <c r="AV385" s="189"/>
      <c r="AW385" s="189"/>
      <c r="AX385" s="189"/>
      <c r="AY385" s="189"/>
      <c r="AZ385" s="189"/>
      <c r="BA385" s="189"/>
      <c r="BB385" s="189"/>
      <c r="BC385" s="189"/>
      <c r="BD385" s="189"/>
      <c r="BE385" s="189"/>
      <c r="BF385" s="189"/>
      <c r="BG385" s="189"/>
      <c r="BH385" s="189"/>
      <c r="BI385" s="189"/>
      <c r="BJ385" s="189"/>
      <c r="BK385" s="189"/>
      <c r="BL385" s="189"/>
      <c r="BM385" s="189"/>
      <c r="BN385" s="189"/>
      <c r="BO385" s="189"/>
      <c r="BP385" s="189"/>
      <c r="BQ385" s="189"/>
      <c r="BR385" s="189"/>
      <c r="BS385" s="189"/>
      <c r="BT385" s="189"/>
      <c r="BU385" s="189"/>
      <c r="BV385" s="189"/>
      <c r="BW385" s="189"/>
      <c r="BX385" s="189"/>
      <c r="BY385" s="189"/>
      <c r="BZ385" s="189"/>
      <c r="CA385" s="189"/>
      <c r="CB385" s="189"/>
      <c r="CC385" s="189"/>
      <c r="CD385" s="189"/>
      <c r="CE385" s="189"/>
      <c r="CF385" s="189"/>
      <c r="CG385" s="253"/>
    </row>
    <row r="386" spans="1:85" s="254" customFormat="1" ht="13.9" customHeight="1" x14ac:dyDescent="0.2">
      <c r="A386" s="171" t="s">
        <v>117</v>
      </c>
      <c r="B386" s="172">
        <v>17</v>
      </c>
      <c r="C386" s="173" t="s">
        <v>488</v>
      </c>
      <c r="D386" s="173" t="s">
        <v>489</v>
      </c>
      <c r="E386" s="174"/>
      <c r="F386" s="174">
        <v>20000000</v>
      </c>
      <c r="G386" s="174"/>
      <c r="H386" s="175" t="s">
        <v>120</v>
      </c>
      <c r="I386" s="176" t="s">
        <v>491</v>
      </c>
      <c r="J386" s="193">
        <v>2</v>
      </c>
      <c r="K386" s="193">
        <v>3</v>
      </c>
      <c r="L386" s="193">
        <v>9</v>
      </c>
      <c r="M386" s="172">
        <f t="shared" si="58"/>
        <v>1</v>
      </c>
      <c r="N386" s="180" t="s">
        <v>36</v>
      </c>
      <c r="O386" s="181" t="str">
        <f>IF(ISBLANK(N386),"",VLOOKUP(N386,[15]Parámetros!$G$2:$H$23,2,FALSE))</f>
        <v xml:space="preserve">Contratación directa (con ofertas) </v>
      </c>
      <c r="P386" s="182">
        <f t="shared" si="66"/>
        <v>1</v>
      </c>
      <c r="Q386" s="183">
        <f t="shared" si="59"/>
        <v>20000000</v>
      </c>
      <c r="R386" s="183">
        <f t="shared" si="60"/>
        <v>20000000</v>
      </c>
      <c r="S386" s="184" t="s">
        <v>223</v>
      </c>
      <c r="T386" s="180">
        <f t="shared" si="67"/>
        <v>0</v>
      </c>
      <c r="U386" s="185" t="str">
        <f t="shared" si="61"/>
        <v>SUBDIRECCION DE GESTION CONTRACTUAL</v>
      </c>
      <c r="V386" s="172" t="str">
        <f t="shared" si="64"/>
        <v>CO-DC</v>
      </c>
      <c r="W386" s="185" t="str">
        <f t="shared" si="65"/>
        <v>Distrito Capital de Bogotá</v>
      </c>
      <c r="X386" s="186" t="s">
        <v>332</v>
      </c>
      <c r="Y386" s="172">
        <v>2427400</v>
      </c>
      <c r="Z386" s="188" t="s">
        <v>94</v>
      </c>
      <c r="AA386" s="189"/>
      <c r="AB386" s="189"/>
      <c r="AC386" s="189"/>
      <c r="AD386" s="189"/>
      <c r="AE386" s="189"/>
      <c r="AF386" s="189"/>
      <c r="AG386" s="189"/>
      <c r="AH386" s="189"/>
      <c r="AI386" s="189"/>
      <c r="AJ386" s="189"/>
      <c r="AK386" s="189"/>
      <c r="AL386" s="189"/>
      <c r="AM386" s="189"/>
      <c r="AN386" s="189"/>
      <c r="AO386" s="189"/>
      <c r="AP386" s="189"/>
      <c r="AQ386" s="189"/>
      <c r="AR386" s="189"/>
      <c r="AS386" s="189"/>
      <c r="AT386" s="189"/>
      <c r="AU386" s="189"/>
      <c r="AV386" s="189"/>
      <c r="AW386" s="189"/>
      <c r="AX386" s="189"/>
      <c r="AY386" s="189"/>
      <c r="AZ386" s="189"/>
      <c r="BA386" s="189"/>
      <c r="BB386" s="189"/>
      <c r="BC386" s="189"/>
      <c r="BD386" s="189"/>
      <c r="BE386" s="189"/>
      <c r="BF386" s="189"/>
      <c r="BG386" s="189"/>
      <c r="BH386" s="189"/>
      <c r="BI386" s="189"/>
      <c r="BJ386" s="189"/>
      <c r="BK386" s="189"/>
      <c r="BL386" s="189"/>
      <c r="BM386" s="189"/>
      <c r="BN386" s="189"/>
      <c r="BO386" s="189"/>
      <c r="BP386" s="189"/>
      <c r="BQ386" s="189"/>
      <c r="BR386" s="189"/>
      <c r="BS386" s="189"/>
      <c r="BT386" s="189"/>
      <c r="BU386" s="189"/>
      <c r="BV386" s="189"/>
      <c r="BW386" s="189"/>
      <c r="BX386" s="189"/>
      <c r="BY386" s="189"/>
      <c r="BZ386" s="189"/>
      <c r="CA386" s="189"/>
      <c r="CB386" s="189"/>
      <c r="CC386" s="189"/>
      <c r="CD386" s="189"/>
      <c r="CE386" s="189"/>
      <c r="CF386" s="189"/>
      <c r="CG386" s="253"/>
    </row>
    <row r="387" spans="1:85" s="254" customFormat="1" ht="13.9" customHeight="1" x14ac:dyDescent="0.2">
      <c r="A387" s="171" t="s">
        <v>117</v>
      </c>
      <c r="B387" s="172">
        <v>18</v>
      </c>
      <c r="C387" s="173" t="s">
        <v>118</v>
      </c>
      <c r="D387" s="173" t="s">
        <v>125</v>
      </c>
      <c r="E387" s="174"/>
      <c r="F387" s="174">
        <v>8000000</v>
      </c>
      <c r="G387" s="174"/>
      <c r="H387" s="175">
        <v>81112200</v>
      </c>
      <c r="I387" s="176" t="s">
        <v>492</v>
      </c>
      <c r="J387" s="193">
        <v>5</v>
      </c>
      <c r="K387" s="193">
        <v>5</v>
      </c>
      <c r="L387" s="193">
        <v>2</v>
      </c>
      <c r="M387" s="172">
        <f t="shared" si="58"/>
        <v>1</v>
      </c>
      <c r="N387" s="180" t="s">
        <v>53</v>
      </c>
      <c r="O387" s="181" t="str">
        <f>IF(ISBLANK(N387),"",VLOOKUP(N387,[15]Parámetros!$G$2:$H$23,2,FALSE))</f>
        <v>Seléccion abreviada - acuerdo marco</v>
      </c>
      <c r="P387" s="182">
        <f t="shared" si="66"/>
        <v>1</v>
      </c>
      <c r="Q387" s="183">
        <f t="shared" si="59"/>
        <v>8000000</v>
      </c>
      <c r="R387" s="183">
        <f t="shared" si="60"/>
        <v>8000000</v>
      </c>
      <c r="S387" s="184" t="s">
        <v>223</v>
      </c>
      <c r="T387" s="180">
        <f t="shared" si="67"/>
        <v>0</v>
      </c>
      <c r="U387" s="185" t="str">
        <f t="shared" si="61"/>
        <v>SUBDIRECCION DE GESTION CONTRACTUAL</v>
      </c>
      <c r="V387" s="172" t="str">
        <f t="shared" si="64"/>
        <v>CO-DC</v>
      </c>
      <c r="W387" s="185" t="str">
        <f t="shared" si="65"/>
        <v>Distrito Capital de Bogotá</v>
      </c>
      <c r="X387" s="186" t="s">
        <v>332</v>
      </c>
      <c r="Y387" s="172">
        <v>2427400</v>
      </c>
      <c r="Z387" s="188" t="s">
        <v>94</v>
      </c>
      <c r="AA387" s="189"/>
      <c r="AB387" s="189"/>
      <c r="AC387" s="189"/>
      <c r="AD387" s="189"/>
      <c r="AE387" s="189"/>
      <c r="AF387" s="189"/>
      <c r="AG387" s="189"/>
      <c r="AH387" s="189"/>
      <c r="AI387" s="189"/>
      <c r="AJ387" s="189"/>
      <c r="AK387" s="189"/>
      <c r="AL387" s="189"/>
      <c r="AM387" s="189"/>
      <c r="AN387" s="189"/>
      <c r="AO387" s="189"/>
      <c r="AP387" s="189"/>
      <c r="AQ387" s="189"/>
      <c r="AR387" s="189"/>
      <c r="AS387" s="189"/>
      <c r="AT387" s="189"/>
      <c r="AU387" s="189"/>
      <c r="AV387" s="189"/>
      <c r="AW387" s="189"/>
      <c r="AX387" s="189"/>
      <c r="AY387" s="189"/>
      <c r="AZ387" s="189"/>
      <c r="BA387" s="189"/>
      <c r="BB387" s="189"/>
      <c r="BC387" s="189"/>
      <c r="BD387" s="189"/>
      <c r="BE387" s="189"/>
      <c r="BF387" s="189"/>
      <c r="BG387" s="189"/>
      <c r="BH387" s="189"/>
      <c r="BI387" s="189"/>
      <c r="BJ387" s="189"/>
      <c r="BK387" s="189"/>
      <c r="BL387" s="189"/>
      <c r="BM387" s="189"/>
      <c r="BN387" s="189"/>
      <c r="BO387" s="189"/>
      <c r="BP387" s="189"/>
      <c r="BQ387" s="189"/>
      <c r="BR387" s="189"/>
      <c r="BS387" s="189"/>
      <c r="BT387" s="189"/>
      <c r="BU387" s="189"/>
      <c r="BV387" s="189"/>
      <c r="BW387" s="189"/>
      <c r="BX387" s="189"/>
      <c r="BY387" s="189"/>
      <c r="BZ387" s="189"/>
      <c r="CA387" s="189"/>
      <c r="CB387" s="189"/>
      <c r="CC387" s="189"/>
      <c r="CD387" s="189"/>
      <c r="CE387" s="189"/>
      <c r="CF387" s="189"/>
      <c r="CG387" s="253"/>
    </row>
    <row r="388" spans="1:85" s="254" customFormat="1" ht="13.9" customHeight="1" x14ac:dyDescent="0.2">
      <c r="A388" s="171" t="s">
        <v>117</v>
      </c>
      <c r="B388" s="172">
        <v>19</v>
      </c>
      <c r="C388" s="173" t="s">
        <v>118</v>
      </c>
      <c r="D388" s="173" t="s">
        <v>59</v>
      </c>
      <c r="E388" s="174"/>
      <c r="F388" s="174">
        <v>35000000</v>
      </c>
      <c r="G388" s="174"/>
      <c r="H388" s="175" t="s">
        <v>122</v>
      </c>
      <c r="I388" s="176" t="s">
        <v>469</v>
      </c>
      <c r="J388" s="193">
        <v>3</v>
      </c>
      <c r="K388" s="193">
        <v>3</v>
      </c>
      <c r="L388" s="193">
        <v>7</v>
      </c>
      <c r="M388" s="172">
        <f t="shared" si="58"/>
        <v>1</v>
      </c>
      <c r="N388" s="180" t="s">
        <v>53</v>
      </c>
      <c r="O388" s="181" t="str">
        <f>IF(ISBLANK(N388),"",VLOOKUP(N388,[15]Parámetros!$G$2:$H$23,2,FALSE))</f>
        <v>Seléccion abreviada - acuerdo marco</v>
      </c>
      <c r="P388" s="182">
        <f t="shared" si="66"/>
        <v>1</v>
      </c>
      <c r="Q388" s="183">
        <f t="shared" si="59"/>
        <v>35000000</v>
      </c>
      <c r="R388" s="183">
        <f t="shared" si="60"/>
        <v>35000000</v>
      </c>
      <c r="S388" s="184" t="s">
        <v>226</v>
      </c>
      <c r="T388" s="180">
        <f t="shared" si="67"/>
        <v>3</v>
      </c>
      <c r="U388" s="185" t="str">
        <f t="shared" si="61"/>
        <v>SUBDIRECCION DE GESTION CONTRACTUAL</v>
      </c>
      <c r="V388" s="172" t="str">
        <f t="shared" si="64"/>
        <v>CO-DC</v>
      </c>
      <c r="W388" s="185" t="str">
        <f t="shared" si="65"/>
        <v>Distrito Capital de Bogotá</v>
      </c>
      <c r="X388" s="186" t="s">
        <v>332</v>
      </c>
      <c r="Y388" s="172">
        <v>2427400</v>
      </c>
      <c r="Z388" s="188" t="s">
        <v>94</v>
      </c>
      <c r="AA388" s="189"/>
      <c r="AB388" s="189"/>
      <c r="AC388" s="189"/>
      <c r="AD388" s="189"/>
      <c r="AE388" s="189"/>
      <c r="AF388" s="189"/>
      <c r="AG388" s="189"/>
      <c r="AH388" s="189"/>
      <c r="AI388" s="189"/>
      <c r="AJ388" s="189"/>
      <c r="AK388" s="189"/>
      <c r="AL388" s="189"/>
      <c r="AM388" s="189"/>
      <c r="AN388" s="189"/>
      <c r="AO388" s="189"/>
      <c r="AP388" s="189"/>
      <c r="AQ388" s="189"/>
      <c r="AR388" s="189"/>
      <c r="AS388" s="189"/>
      <c r="AT388" s="189"/>
      <c r="AU388" s="189"/>
      <c r="AV388" s="189"/>
      <c r="AW388" s="189"/>
      <c r="AX388" s="189"/>
      <c r="AY388" s="189"/>
      <c r="AZ388" s="189"/>
      <c r="BA388" s="189"/>
      <c r="BB388" s="189"/>
      <c r="BC388" s="189"/>
      <c r="BD388" s="189"/>
      <c r="BE388" s="189"/>
      <c r="BF388" s="189"/>
      <c r="BG388" s="189"/>
      <c r="BH388" s="189"/>
      <c r="BI388" s="189"/>
      <c r="BJ388" s="189"/>
      <c r="BK388" s="189"/>
      <c r="BL388" s="189"/>
      <c r="BM388" s="189"/>
      <c r="BN388" s="189"/>
      <c r="BO388" s="189"/>
      <c r="BP388" s="189"/>
      <c r="BQ388" s="189"/>
      <c r="BR388" s="189"/>
      <c r="BS388" s="189"/>
      <c r="BT388" s="189"/>
      <c r="BU388" s="189"/>
      <c r="BV388" s="189"/>
      <c r="BW388" s="189"/>
      <c r="BX388" s="189"/>
      <c r="BY388" s="189"/>
      <c r="BZ388" s="189"/>
      <c r="CA388" s="189"/>
      <c r="CB388" s="189"/>
      <c r="CC388" s="189"/>
      <c r="CD388" s="189"/>
      <c r="CE388" s="189"/>
      <c r="CF388" s="189"/>
      <c r="CG388" s="253"/>
    </row>
    <row r="389" spans="1:85" s="254" customFormat="1" ht="13.9" customHeight="1" x14ac:dyDescent="0.2">
      <c r="A389" s="171" t="s">
        <v>117</v>
      </c>
      <c r="B389" s="172">
        <v>20</v>
      </c>
      <c r="C389" s="173" t="s">
        <v>118</v>
      </c>
      <c r="D389" s="173" t="s">
        <v>57</v>
      </c>
      <c r="E389" s="174"/>
      <c r="F389" s="174">
        <v>70000000</v>
      </c>
      <c r="G389" s="174"/>
      <c r="H389" s="175" t="s">
        <v>122</v>
      </c>
      <c r="I389" s="176" t="s">
        <v>469</v>
      </c>
      <c r="J389" s="193">
        <v>3</v>
      </c>
      <c r="K389" s="193">
        <v>3</v>
      </c>
      <c r="L389" s="193">
        <v>7</v>
      </c>
      <c r="M389" s="172">
        <f t="shared" si="58"/>
        <v>1</v>
      </c>
      <c r="N389" s="180" t="s">
        <v>53</v>
      </c>
      <c r="O389" s="181" t="str">
        <f>IF(ISBLANK(N389),"",VLOOKUP(N389,[15]Parámetros!$G$2:$H$23,2,FALSE))</f>
        <v>Seléccion abreviada - acuerdo marco</v>
      </c>
      <c r="P389" s="182">
        <f t="shared" si="66"/>
        <v>1</v>
      </c>
      <c r="Q389" s="183">
        <f t="shared" si="59"/>
        <v>70000000</v>
      </c>
      <c r="R389" s="183">
        <f t="shared" si="60"/>
        <v>70000000</v>
      </c>
      <c r="S389" s="184" t="s">
        <v>226</v>
      </c>
      <c r="T389" s="180">
        <f t="shared" si="67"/>
        <v>3</v>
      </c>
      <c r="U389" s="185" t="str">
        <f t="shared" si="61"/>
        <v>SUBDIRECCION DE GESTION CONTRACTUAL</v>
      </c>
      <c r="V389" s="172" t="str">
        <f t="shared" si="64"/>
        <v>CO-DC</v>
      </c>
      <c r="W389" s="185" t="str">
        <f t="shared" si="65"/>
        <v>Distrito Capital de Bogotá</v>
      </c>
      <c r="X389" s="186" t="s">
        <v>332</v>
      </c>
      <c r="Y389" s="172">
        <v>2427400</v>
      </c>
      <c r="Z389" s="188" t="s">
        <v>94</v>
      </c>
      <c r="AA389" s="189"/>
      <c r="AB389" s="189"/>
      <c r="AC389" s="189"/>
      <c r="AD389" s="189"/>
      <c r="AE389" s="189"/>
      <c r="AF389" s="189"/>
      <c r="AG389" s="189"/>
      <c r="AH389" s="189"/>
      <c r="AI389" s="189"/>
      <c r="AJ389" s="189"/>
      <c r="AK389" s="189"/>
      <c r="AL389" s="189"/>
      <c r="AM389" s="189"/>
      <c r="AN389" s="189"/>
      <c r="AO389" s="189"/>
      <c r="AP389" s="189"/>
      <c r="AQ389" s="189"/>
      <c r="AR389" s="189"/>
      <c r="AS389" s="189"/>
      <c r="AT389" s="189"/>
      <c r="AU389" s="189"/>
      <c r="AV389" s="189"/>
      <c r="AW389" s="189"/>
      <c r="AX389" s="189"/>
      <c r="AY389" s="189"/>
      <c r="AZ389" s="189"/>
      <c r="BA389" s="189"/>
      <c r="BB389" s="189"/>
      <c r="BC389" s="189"/>
      <c r="BD389" s="189"/>
      <c r="BE389" s="189"/>
      <c r="BF389" s="189"/>
      <c r="BG389" s="189"/>
      <c r="BH389" s="189"/>
      <c r="BI389" s="189"/>
      <c r="BJ389" s="189"/>
      <c r="BK389" s="189"/>
      <c r="BL389" s="189"/>
      <c r="BM389" s="189"/>
      <c r="BN389" s="189"/>
      <c r="BO389" s="189"/>
      <c r="BP389" s="189"/>
      <c r="BQ389" s="189"/>
      <c r="BR389" s="189"/>
      <c r="BS389" s="189"/>
      <c r="BT389" s="189"/>
      <c r="BU389" s="189"/>
      <c r="BV389" s="189"/>
      <c r="BW389" s="189"/>
      <c r="BX389" s="189"/>
      <c r="BY389" s="189"/>
      <c r="BZ389" s="189"/>
      <c r="CA389" s="189"/>
      <c r="CB389" s="189"/>
      <c r="CC389" s="189"/>
      <c r="CD389" s="189"/>
      <c r="CE389" s="189"/>
      <c r="CF389" s="189"/>
      <c r="CG389" s="253"/>
    </row>
    <row r="390" spans="1:85" s="185" customFormat="1" ht="12.75" customHeight="1" x14ac:dyDescent="0.2">
      <c r="A390" s="171" t="s">
        <v>117</v>
      </c>
      <c r="B390" s="172">
        <v>21</v>
      </c>
      <c r="C390" s="173" t="s">
        <v>118</v>
      </c>
      <c r="D390" s="173" t="s">
        <v>125</v>
      </c>
      <c r="E390" s="174"/>
      <c r="F390" s="174">
        <v>104381910</v>
      </c>
      <c r="G390" s="174"/>
      <c r="H390" s="175" t="s">
        <v>62</v>
      </c>
      <c r="I390" s="176" t="s">
        <v>646</v>
      </c>
      <c r="J390" s="193">
        <v>1</v>
      </c>
      <c r="K390" s="193">
        <v>1</v>
      </c>
      <c r="L390" s="193">
        <v>10</v>
      </c>
      <c r="M390" s="172">
        <f t="shared" si="58"/>
        <v>1</v>
      </c>
      <c r="N390" s="180" t="s">
        <v>36</v>
      </c>
      <c r="O390" s="181" t="str">
        <f>IF(ISBLANK(N390),"",VLOOKUP(N390,[15]Parámetros!$G$2:$H$23,2,FALSE))</f>
        <v xml:space="preserve">Contratación directa (con ofertas) </v>
      </c>
      <c r="P390" s="182">
        <f t="shared" si="66"/>
        <v>1</v>
      </c>
      <c r="Q390" s="183">
        <f t="shared" si="59"/>
        <v>104381910</v>
      </c>
      <c r="R390" s="183">
        <f t="shared" si="60"/>
        <v>104381910</v>
      </c>
      <c r="S390" s="184" t="s">
        <v>223</v>
      </c>
      <c r="T390" s="180">
        <f t="shared" si="67"/>
        <v>0</v>
      </c>
      <c r="U390" s="185" t="str">
        <f t="shared" si="61"/>
        <v>SUBDIRECCION DE GESTION CONTRACTUAL</v>
      </c>
      <c r="V390" s="172" t="str">
        <f t="shared" si="64"/>
        <v>CO-DC</v>
      </c>
      <c r="W390" s="185" t="str">
        <f t="shared" si="65"/>
        <v>Distrito Capital de Bogotá</v>
      </c>
      <c r="X390" s="186" t="s">
        <v>332</v>
      </c>
      <c r="Y390" s="172">
        <v>2427400</v>
      </c>
      <c r="Z390" s="188" t="s">
        <v>94</v>
      </c>
      <c r="AA390" s="189"/>
      <c r="AB390" s="189"/>
      <c r="AC390" s="189"/>
      <c r="AD390" s="189"/>
      <c r="AE390" s="189"/>
      <c r="AF390" s="189"/>
      <c r="AG390" s="189"/>
      <c r="AH390" s="189"/>
      <c r="AI390" s="189"/>
      <c r="AJ390" s="189"/>
      <c r="AK390" s="189"/>
      <c r="AL390" s="189"/>
      <c r="AM390" s="189"/>
      <c r="AN390" s="189"/>
      <c r="AO390" s="189"/>
      <c r="AP390" s="189"/>
      <c r="AQ390" s="189"/>
      <c r="AR390" s="189"/>
      <c r="AS390" s="189"/>
      <c r="AT390" s="189"/>
      <c r="AU390" s="189"/>
      <c r="AV390" s="189"/>
      <c r="AW390" s="189"/>
      <c r="AX390" s="189"/>
      <c r="AY390" s="189"/>
      <c r="AZ390" s="189"/>
      <c r="BA390" s="189"/>
      <c r="BB390" s="189"/>
      <c r="BC390" s="189"/>
      <c r="BD390" s="189"/>
      <c r="BE390" s="189"/>
      <c r="BF390" s="189"/>
      <c r="BG390" s="189"/>
      <c r="BH390" s="189"/>
      <c r="BI390" s="189"/>
      <c r="BJ390" s="189"/>
      <c r="BK390" s="189"/>
      <c r="BL390" s="189"/>
      <c r="BM390" s="189"/>
      <c r="BN390" s="189"/>
      <c r="BO390" s="189"/>
      <c r="BP390" s="189"/>
      <c r="BQ390" s="189"/>
      <c r="BR390" s="189"/>
      <c r="BS390" s="189"/>
      <c r="BT390" s="189"/>
      <c r="BU390" s="189"/>
      <c r="BV390" s="189"/>
      <c r="BW390" s="189"/>
      <c r="BX390" s="189"/>
      <c r="BY390" s="189"/>
      <c r="BZ390" s="189"/>
      <c r="CA390" s="189"/>
      <c r="CB390" s="189"/>
      <c r="CC390" s="189"/>
      <c r="CD390" s="189"/>
      <c r="CE390" s="189"/>
      <c r="CF390" s="189"/>
      <c r="CG390" s="253"/>
    </row>
    <row r="391" spans="1:85" s="254" customFormat="1" ht="13.9" customHeight="1" x14ac:dyDescent="0.2">
      <c r="A391" s="171" t="s">
        <v>117</v>
      </c>
      <c r="B391" s="172">
        <v>22</v>
      </c>
      <c r="C391" s="173" t="s">
        <v>118</v>
      </c>
      <c r="D391" s="173" t="s">
        <v>125</v>
      </c>
      <c r="E391" s="174"/>
      <c r="F391" s="174">
        <v>25000000</v>
      </c>
      <c r="G391" s="174"/>
      <c r="H391" s="175">
        <v>81111805</v>
      </c>
      <c r="I391" s="176" t="s">
        <v>493</v>
      </c>
      <c r="J391" s="193">
        <v>1</v>
      </c>
      <c r="K391" s="193">
        <v>1</v>
      </c>
      <c r="L391" s="193">
        <v>10</v>
      </c>
      <c r="M391" s="172">
        <f t="shared" si="58"/>
        <v>1</v>
      </c>
      <c r="N391" s="180" t="s">
        <v>36</v>
      </c>
      <c r="O391" s="181" t="str">
        <f>IF(ISBLANK(N391),"",VLOOKUP(N391,[15]Parámetros!$G$2:$H$23,2,FALSE))</f>
        <v xml:space="preserve">Contratación directa (con ofertas) </v>
      </c>
      <c r="P391" s="182">
        <f t="shared" si="66"/>
        <v>1</v>
      </c>
      <c r="Q391" s="183">
        <f t="shared" si="59"/>
        <v>25000000</v>
      </c>
      <c r="R391" s="183">
        <f t="shared" si="60"/>
        <v>25000000</v>
      </c>
      <c r="S391" s="184" t="s">
        <v>223</v>
      </c>
      <c r="T391" s="180">
        <f t="shared" si="67"/>
        <v>0</v>
      </c>
      <c r="U391" s="185" t="str">
        <f t="shared" si="61"/>
        <v>SUBDIRECCION DE GESTION CONTRACTUAL</v>
      </c>
      <c r="V391" s="172" t="str">
        <f t="shared" si="64"/>
        <v>CO-DC</v>
      </c>
      <c r="W391" s="185" t="str">
        <f t="shared" si="65"/>
        <v>Distrito Capital de Bogotá</v>
      </c>
      <c r="X391" s="186" t="s">
        <v>332</v>
      </c>
      <c r="Y391" s="172">
        <v>2427400</v>
      </c>
      <c r="Z391" s="188" t="s">
        <v>94</v>
      </c>
      <c r="AA391" s="189"/>
      <c r="AB391" s="189"/>
      <c r="AC391" s="189"/>
      <c r="AD391" s="189"/>
      <c r="AE391" s="189"/>
      <c r="AF391" s="189"/>
      <c r="AG391" s="189"/>
      <c r="AH391" s="189"/>
      <c r="AI391" s="189"/>
      <c r="AJ391" s="189"/>
      <c r="AK391" s="189"/>
      <c r="AL391" s="189"/>
      <c r="AM391" s="189"/>
      <c r="AN391" s="189"/>
      <c r="AO391" s="189"/>
      <c r="AP391" s="189"/>
      <c r="AQ391" s="189"/>
      <c r="AR391" s="189"/>
      <c r="AS391" s="189"/>
      <c r="AT391" s="189"/>
      <c r="AU391" s="189"/>
      <c r="AV391" s="189"/>
      <c r="AW391" s="189"/>
      <c r="AX391" s="189"/>
      <c r="AY391" s="189"/>
      <c r="AZ391" s="189"/>
      <c r="BA391" s="189"/>
      <c r="BB391" s="189"/>
      <c r="BC391" s="189"/>
      <c r="BD391" s="189"/>
      <c r="BE391" s="189"/>
      <c r="BF391" s="189"/>
      <c r="BG391" s="189"/>
      <c r="BH391" s="189"/>
      <c r="BI391" s="189"/>
      <c r="BJ391" s="189"/>
      <c r="BK391" s="189"/>
      <c r="BL391" s="189"/>
      <c r="BM391" s="189"/>
      <c r="BN391" s="189"/>
      <c r="BO391" s="189"/>
      <c r="BP391" s="189"/>
      <c r="BQ391" s="189"/>
      <c r="BR391" s="189"/>
      <c r="BS391" s="189"/>
      <c r="BT391" s="189"/>
      <c r="BU391" s="189"/>
      <c r="BV391" s="189"/>
      <c r="BW391" s="189"/>
      <c r="BX391" s="189"/>
      <c r="BY391" s="189"/>
      <c r="BZ391" s="189"/>
      <c r="CA391" s="189"/>
      <c r="CB391" s="189"/>
      <c r="CC391" s="189"/>
      <c r="CD391" s="189"/>
      <c r="CE391" s="189"/>
      <c r="CF391" s="189"/>
      <c r="CG391" s="253"/>
    </row>
    <row r="392" spans="1:85" s="254" customFormat="1" ht="13.9" customHeight="1" x14ac:dyDescent="0.2">
      <c r="A392" s="171" t="s">
        <v>117</v>
      </c>
      <c r="B392" s="172">
        <v>23</v>
      </c>
      <c r="C392" s="173" t="s">
        <v>118</v>
      </c>
      <c r="D392" s="173" t="s">
        <v>59</v>
      </c>
      <c r="E392" s="174"/>
      <c r="F392" s="174">
        <v>86393971</v>
      </c>
      <c r="G392" s="174"/>
      <c r="H392" s="175" t="s">
        <v>122</v>
      </c>
      <c r="I392" s="176" t="s">
        <v>494</v>
      </c>
      <c r="J392" s="193">
        <v>1</v>
      </c>
      <c r="K392" s="193">
        <v>1</v>
      </c>
      <c r="L392" s="193">
        <v>11</v>
      </c>
      <c r="M392" s="172">
        <f t="shared" si="58"/>
        <v>1</v>
      </c>
      <c r="N392" s="180" t="s">
        <v>53</v>
      </c>
      <c r="O392" s="181" t="str">
        <f>IF(ISBLANK(N392),"",VLOOKUP(N392,[15]Parámetros!$G$2:$H$23,2,FALSE))</f>
        <v>Seléccion abreviada - acuerdo marco</v>
      </c>
      <c r="P392" s="182">
        <f t="shared" si="66"/>
        <v>1</v>
      </c>
      <c r="Q392" s="183">
        <f t="shared" si="59"/>
        <v>86393971</v>
      </c>
      <c r="R392" s="183">
        <f t="shared" si="60"/>
        <v>86393971</v>
      </c>
      <c r="S392" s="184" t="s">
        <v>223</v>
      </c>
      <c r="T392" s="180">
        <f t="shared" si="67"/>
        <v>0</v>
      </c>
      <c r="U392" s="185" t="str">
        <f t="shared" si="61"/>
        <v>SUBDIRECCION DE GESTION CONTRACTUAL</v>
      </c>
      <c r="V392" s="172" t="str">
        <f t="shared" si="64"/>
        <v>CO-DC</v>
      </c>
      <c r="W392" s="185" t="str">
        <f t="shared" si="65"/>
        <v>Distrito Capital de Bogotá</v>
      </c>
      <c r="X392" s="186" t="s">
        <v>332</v>
      </c>
      <c r="Y392" s="172">
        <v>2427400</v>
      </c>
      <c r="Z392" s="188" t="s">
        <v>94</v>
      </c>
      <c r="AA392" s="189"/>
      <c r="AB392" s="189"/>
      <c r="AC392" s="189"/>
      <c r="AD392" s="189"/>
      <c r="AE392" s="189"/>
      <c r="AF392" s="189"/>
      <c r="AG392" s="189"/>
      <c r="AH392" s="189"/>
      <c r="AI392" s="189"/>
      <c r="AJ392" s="189"/>
      <c r="AK392" s="189"/>
      <c r="AL392" s="189"/>
      <c r="AM392" s="189"/>
      <c r="AN392" s="189"/>
      <c r="AO392" s="189"/>
      <c r="AP392" s="189"/>
      <c r="AQ392" s="189"/>
      <c r="AR392" s="189"/>
      <c r="AS392" s="189"/>
      <c r="AT392" s="189"/>
      <c r="AU392" s="189"/>
      <c r="AV392" s="189"/>
      <c r="AW392" s="189"/>
      <c r="AX392" s="189"/>
      <c r="AY392" s="189"/>
      <c r="AZ392" s="189"/>
      <c r="BA392" s="189"/>
      <c r="BB392" s="189"/>
      <c r="BC392" s="189"/>
      <c r="BD392" s="189"/>
      <c r="BE392" s="189"/>
      <c r="BF392" s="189"/>
      <c r="BG392" s="189"/>
      <c r="BH392" s="189"/>
      <c r="BI392" s="189"/>
      <c r="BJ392" s="189"/>
      <c r="BK392" s="189"/>
      <c r="BL392" s="189"/>
      <c r="BM392" s="189"/>
      <c r="BN392" s="189"/>
      <c r="BO392" s="189"/>
      <c r="BP392" s="189"/>
      <c r="BQ392" s="189"/>
      <c r="BR392" s="189"/>
      <c r="BS392" s="189"/>
      <c r="BT392" s="189"/>
      <c r="BU392" s="189"/>
      <c r="BV392" s="189"/>
      <c r="BW392" s="189"/>
      <c r="BX392" s="189"/>
      <c r="BY392" s="189"/>
      <c r="BZ392" s="189"/>
      <c r="CA392" s="189"/>
      <c r="CB392" s="189"/>
      <c r="CC392" s="189"/>
      <c r="CD392" s="189"/>
      <c r="CE392" s="189"/>
      <c r="CF392" s="189"/>
      <c r="CG392" s="253"/>
    </row>
    <row r="393" spans="1:85" s="254" customFormat="1" ht="13.9" customHeight="1" x14ac:dyDescent="0.2">
      <c r="A393" s="171" t="s">
        <v>117</v>
      </c>
      <c r="B393" s="172">
        <v>24</v>
      </c>
      <c r="C393" s="173" t="s">
        <v>118</v>
      </c>
      <c r="D393" s="173" t="s">
        <v>57</v>
      </c>
      <c r="E393" s="174"/>
      <c r="F393" s="174">
        <v>52127289</v>
      </c>
      <c r="G393" s="174"/>
      <c r="H393" s="175" t="s">
        <v>122</v>
      </c>
      <c r="I393" s="176" t="s">
        <v>495</v>
      </c>
      <c r="J393" s="193">
        <v>1</v>
      </c>
      <c r="K393" s="193">
        <v>1</v>
      </c>
      <c r="L393" s="193">
        <v>11</v>
      </c>
      <c r="M393" s="172">
        <f t="shared" si="58"/>
        <v>1</v>
      </c>
      <c r="N393" s="180" t="s">
        <v>53</v>
      </c>
      <c r="O393" s="181" t="str">
        <f>IF(ISBLANK(N393),"",VLOOKUP(N393,[15]Parámetros!$G$2:$H$23,2,FALSE))</f>
        <v>Seléccion abreviada - acuerdo marco</v>
      </c>
      <c r="P393" s="182">
        <f t="shared" si="66"/>
        <v>1</v>
      </c>
      <c r="Q393" s="183">
        <f t="shared" si="59"/>
        <v>52127289</v>
      </c>
      <c r="R393" s="183">
        <f t="shared" si="60"/>
        <v>52127289</v>
      </c>
      <c r="S393" s="184" t="s">
        <v>223</v>
      </c>
      <c r="T393" s="180">
        <f t="shared" si="67"/>
        <v>0</v>
      </c>
      <c r="U393" s="185" t="str">
        <f t="shared" si="61"/>
        <v>SUBDIRECCION DE GESTION CONTRACTUAL</v>
      </c>
      <c r="V393" s="172" t="str">
        <f t="shared" si="64"/>
        <v>CO-DC</v>
      </c>
      <c r="W393" s="185" t="str">
        <f t="shared" si="65"/>
        <v>Distrito Capital de Bogotá</v>
      </c>
      <c r="X393" s="186" t="s">
        <v>332</v>
      </c>
      <c r="Y393" s="172">
        <v>2427400</v>
      </c>
      <c r="Z393" s="188" t="s">
        <v>94</v>
      </c>
      <c r="AA393" s="189"/>
      <c r="AB393" s="189"/>
      <c r="AC393" s="189"/>
      <c r="AD393" s="189"/>
      <c r="AE393" s="189"/>
      <c r="AF393" s="189"/>
      <c r="AG393" s="189"/>
      <c r="AH393" s="189"/>
      <c r="AI393" s="189"/>
      <c r="AJ393" s="189"/>
      <c r="AK393" s="189"/>
      <c r="AL393" s="189"/>
      <c r="AM393" s="189"/>
      <c r="AN393" s="189"/>
      <c r="AO393" s="189"/>
      <c r="AP393" s="189"/>
      <c r="AQ393" s="189"/>
      <c r="AR393" s="189"/>
      <c r="AS393" s="189"/>
      <c r="AT393" s="189"/>
      <c r="AU393" s="189"/>
      <c r="AV393" s="189"/>
      <c r="AW393" s="189"/>
      <c r="AX393" s="189"/>
      <c r="AY393" s="189"/>
      <c r="AZ393" s="189"/>
      <c r="BA393" s="189"/>
      <c r="BB393" s="189"/>
      <c r="BC393" s="189"/>
      <c r="BD393" s="189"/>
      <c r="BE393" s="189"/>
      <c r="BF393" s="189"/>
      <c r="BG393" s="189"/>
      <c r="BH393" s="189"/>
      <c r="BI393" s="189"/>
      <c r="BJ393" s="189"/>
      <c r="BK393" s="189"/>
      <c r="BL393" s="189"/>
      <c r="BM393" s="189"/>
      <c r="BN393" s="189"/>
      <c r="BO393" s="189"/>
      <c r="BP393" s="189"/>
      <c r="BQ393" s="189"/>
      <c r="BR393" s="189"/>
      <c r="BS393" s="189"/>
      <c r="BT393" s="189"/>
      <c r="BU393" s="189"/>
      <c r="BV393" s="189"/>
      <c r="BW393" s="189"/>
      <c r="BX393" s="189"/>
      <c r="BY393" s="189"/>
      <c r="BZ393" s="189"/>
      <c r="CA393" s="189"/>
      <c r="CB393" s="189"/>
      <c r="CC393" s="189"/>
      <c r="CD393" s="189"/>
      <c r="CE393" s="189"/>
      <c r="CF393" s="189"/>
      <c r="CG393" s="253"/>
    </row>
    <row r="394" spans="1:85" s="254" customFormat="1" ht="13.9" customHeight="1" x14ac:dyDescent="0.2">
      <c r="A394" s="171" t="s">
        <v>117</v>
      </c>
      <c r="B394" s="172">
        <v>25</v>
      </c>
      <c r="C394" s="173" t="s">
        <v>118</v>
      </c>
      <c r="D394" s="173" t="s">
        <v>63</v>
      </c>
      <c r="E394" s="174"/>
      <c r="F394" s="174">
        <v>70000000</v>
      </c>
      <c r="G394" s="174"/>
      <c r="H394" s="175">
        <v>73152108</v>
      </c>
      <c r="I394" s="176" t="s">
        <v>469</v>
      </c>
      <c r="J394" s="193">
        <v>4</v>
      </c>
      <c r="K394" s="193">
        <v>5</v>
      </c>
      <c r="L394" s="193">
        <v>10</v>
      </c>
      <c r="M394" s="172">
        <f t="shared" si="58"/>
        <v>1</v>
      </c>
      <c r="N394" s="180" t="s">
        <v>329</v>
      </c>
      <c r="O394" s="181" t="str">
        <f>IF(ISBLANK(N394),"",VLOOKUP(N394,[15]Parámetros!$G$2:$H$23,2,FALSE))</f>
        <v>Selección abreviada menor cuantía</v>
      </c>
      <c r="P394" s="182">
        <f t="shared" si="66"/>
        <v>1</v>
      </c>
      <c r="Q394" s="183">
        <f t="shared" si="59"/>
        <v>70000000</v>
      </c>
      <c r="R394" s="183">
        <f t="shared" si="60"/>
        <v>70000000</v>
      </c>
      <c r="S394" s="184" t="s">
        <v>223</v>
      </c>
      <c r="T394" s="180">
        <f t="shared" si="67"/>
        <v>0</v>
      </c>
      <c r="U394" s="185" t="str">
        <f t="shared" si="61"/>
        <v>SUBDIRECCION DE GESTION CONTRACTUAL</v>
      </c>
      <c r="V394" s="172" t="str">
        <f t="shared" si="64"/>
        <v>CO-DC</v>
      </c>
      <c r="W394" s="185" t="str">
        <f t="shared" si="65"/>
        <v>Distrito Capital de Bogotá</v>
      </c>
      <c r="X394" s="186" t="s">
        <v>332</v>
      </c>
      <c r="Y394" s="172">
        <v>2427400</v>
      </c>
      <c r="Z394" s="188" t="s">
        <v>94</v>
      </c>
      <c r="AA394" s="189"/>
      <c r="AB394" s="189"/>
      <c r="AC394" s="189"/>
      <c r="AD394" s="189"/>
      <c r="AE394" s="189"/>
      <c r="AF394" s="189"/>
      <c r="AG394" s="189"/>
      <c r="AH394" s="189"/>
      <c r="AI394" s="189"/>
      <c r="AJ394" s="189"/>
      <c r="AK394" s="189"/>
      <c r="AL394" s="189"/>
      <c r="AM394" s="189"/>
      <c r="AN394" s="189"/>
      <c r="AO394" s="189"/>
      <c r="AP394" s="189"/>
      <c r="AQ394" s="189"/>
      <c r="AR394" s="189"/>
      <c r="AS394" s="189"/>
      <c r="AT394" s="189"/>
      <c r="AU394" s="189"/>
      <c r="AV394" s="189"/>
      <c r="AW394" s="189"/>
      <c r="AX394" s="189"/>
      <c r="AY394" s="189"/>
      <c r="AZ394" s="189"/>
      <c r="BA394" s="189"/>
      <c r="BB394" s="189"/>
      <c r="BC394" s="189"/>
      <c r="BD394" s="189"/>
      <c r="BE394" s="189"/>
      <c r="BF394" s="189"/>
      <c r="BG394" s="189"/>
      <c r="BH394" s="189"/>
      <c r="BI394" s="189"/>
      <c r="BJ394" s="189"/>
      <c r="BK394" s="189"/>
      <c r="BL394" s="189"/>
      <c r="BM394" s="189"/>
      <c r="BN394" s="189"/>
      <c r="BO394" s="189"/>
      <c r="BP394" s="189"/>
      <c r="BQ394" s="189"/>
      <c r="BR394" s="189"/>
      <c r="BS394" s="189"/>
      <c r="BT394" s="189"/>
      <c r="BU394" s="189"/>
      <c r="BV394" s="189"/>
      <c r="BW394" s="189"/>
      <c r="BX394" s="189"/>
      <c r="BY394" s="189"/>
      <c r="BZ394" s="189"/>
      <c r="CA394" s="189"/>
      <c r="CB394" s="189"/>
      <c r="CC394" s="189"/>
      <c r="CD394" s="189"/>
      <c r="CE394" s="189"/>
      <c r="CF394" s="189"/>
      <c r="CG394" s="253"/>
    </row>
    <row r="395" spans="1:85" s="254" customFormat="1" ht="13.9" customHeight="1" x14ac:dyDescent="0.2">
      <c r="A395" s="171" t="s">
        <v>117</v>
      </c>
      <c r="B395" s="172">
        <v>26</v>
      </c>
      <c r="C395" s="173" t="s">
        <v>483</v>
      </c>
      <c r="D395" s="173" t="s">
        <v>65</v>
      </c>
      <c r="E395" s="174"/>
      <c r="F395" s="174">
        <v>70669974.170000002</v>
      </c>
      <c r="G395" s="174"/>
      <c r="H395" s="175" t="s">
        <v>42</v>
      </c>
      <c r="I395" s="176" t="s">
        <v>629</v>
      </c>
      <c r="J395" s="177">
        <v>3</v>
      </c>
      <c r="K395" s="178">
        <v>4</v>
      </c>
      <c r="L395" s="179">
        <v>9</v>
      </c>
      <c r="M395" s="172">
        <f t="shared" si="58"/>
        <v>1</v>
      </c>
      <c r="N395" s="180" t="s">
        <v>61</v>
      </c>
      <c r="O395" s="181" t="str">
        <f>IF(ISBLANK(N395),"",VLOOKUP(N395,[9]Parámetros!$G$2:$H$23,2,FALSE))</f>
        <v>Contratación régimen especial - Selección de comisionista</v>
      </c>
      <c r="P395" s="182">
        <f t="shared" si="66"/>
        <v>1</v>
      </c>
      <c r="Q395" s="183">
        <f t="shared" si="59"/>
        <v>70669974.170000002</v>
      </c>
      <c r="R395" s="183">
        <f t="shared" si="60"/>
        <v>70669974.170000002</v>
      </c>
      <c r="S395" s="184" t="s">
        <v>223</v>
      </c>
      <c r="T395" s="180">
        <f t="shared" si="67"/>
        <v>0</v>
      </c>
      <c r="U395" s="185" t="str">
        <f t="shared" si="61"/>
        <v>SUBDIRECCION DE GESTION CONTRACTUAL</v>
      </c>
      <c r="V395" s="172" t="str">
        <f t="shared" si="64"/>
        <v>CO-DC</v>
      </c>
      <c r="W395" s="185" t="str">
        <f t="shared" si="65"/>
        <v>Distrito Capital de Bogotá</v>
      </c>
      <c r="X395" s="186" t="s">
        <v>332</v>
      </c>
      <c r="Y395" s="172">
        <v>2427400</v>
      </c>
      <c r="Z395" s="188" t="s">
        <v>94</v>
      </c>
      <c r="AA395" s="189"/>
      <c r="AB395" s="189"/>
      <c r="AC395" s="189"/>
      <c r="AD395" s="189"/>
      <c r="AE395" s="189"/>
      <c r="AF395" s="189"/>
      <c r="AG395" s="189"/>
      <c r="AH395" s="189"/>
      <c r="AI395" s="189"/>
      <c r="AJ395" s="189"/>
      <c r="AK395" s="189"/>
      <c r="AL395" s="189"/>
      <c r="AM395" s="189"/>
      <c r="AN395" s="189"/>
      <c r="AO395" s="189"/>
      <c r="AP395" s="189"/>
      <c r="AQ395" s="189"/>
      <c r="AR395" s="189"/>
      <c r="AS395" s="189"/>
      <c r="AT395" s="189"/>
      <c r="AU395" s="189"/>
      <c r="AV395" s="189"/>
      <c r="AW395" s="189"/>
      <c r="AX395" s="189"/>
      <c r="AY395" s="189"/>
      <c r="AZ395" s="189"/>
      <c r="BA395" s="189"/>
      <c r="BB395" s="189"/>
      <c r="BC395" s="189"/>
      <c r="BD395" s="189"/>
      <c r="BE395" s="189"/>
      <c r="BF395" s="189"/>
      <c r="BG395" s="189"/>
      <c r="BH395" s="189"/>
      <c r="BI395" s="189"/>
      <c r="BJ395" s="189"/>
      <c r="BK395" s="189"/>
      <c r="BL395" s="189"/>
      <c r="BM395" s="189"/>
      <c r="BN395" s="189"/>
      <c r="BO395" s="189"/>
      <c r="BP395" s="189"/>
      <c r="BQ395" s="189"/>
      <c r="BR395" s="189"/>
      <c r="BS395" s="189"/>
      <c r="BT395" s="189"/>
      <c r="BU395" s="189"/>
      <c r="BV395" s="189"/>
      <c r="BW395" s="189"/>
      <c r="BX395" s="189"/>
      <c r="BY395" s="189"/>
      <c r="BZ395" s="189"/>
      <c r="CA395" s="189"/>
      <c r="CB395" s="189"/>
      <c r="CC395" s="189"/>
      <c r="CD395" s="189"/>
      <c r="CE395" s="189"/>
      <c r="CF395" s="189"/>
      <c r="CG395" s="253"/>
    </row>
    <row r="396" spans="1:85" s="185" customFormat="1" ht="12.75" customHeight="1" x14ac:dyDescent="0.2">
      <c r="A396" s="255" t="s">
        <v>126</v>
      </c>
      <c r="B396" s="187">
        <v>1</v>
      </c>
      <c r="C396" s="248" t="s">
        <v>619</v>
      </c>
      <c r="D396" s="197" t="s">
        <v>127</v>
      </c>
      <c r="E396" s="199"/>
      <c r="F396" s="199">
        <v>577843847</v>
      </c>
      <c r="G396" s="199"/>
      <c r="H396" s="197">
        <v>80111600</v>
      </c>
      <c r="I396" s="248" t="s">
        <v>496</v>
      </c>
      <c r="J396" s="187">
        <v>1</v>
      </c>
      <c r="K396" s="187">
        <v>1</v>
      </c>
      <c r="L396" s="187">
        <v>12</v>
      </c>
      <c r="M396" s="172">
        <f t="shared" si="58"/>
        <v>1</v>
      </c>
      <c r="N396" s="180" t="s">
        <v>216</v>
      </c>
      <c r="O396" s="181" t="str">
        <f>IF(ISBLANK(N396),"",VLOOKUP(N396,[2]Parámetros!$G$2:$H$23,2,FALSE))</f>
        <v>Contratación directa.</v>
      </c>
      <c r="P396" s="249">
        <f t="shared" si="66"/>
        <v>1</v>
      </c>
      <c r="Q396" s="183">
        <f t="shared" si="59"/>
        <v>577843847</v>
      </c>
      <c r="R396" s="183">
        <f t="shared" si="60"/>
        <v>577843847</v>
      </c>
      <c r="S396" s="250" t="s">
        <v>223</v>
      </c>
      <c r="T396" s="249">
        <f t="shared" si="67"/>
        <v>0</v>
      </c>
      <c r="U396" s="185" t="str">
        <f t="shared" si="61"/>
        <v>SUBDIRECCION DE GESTION CONTRACTUAL</v>
      </c>
      <c r="V396" s="249" t="str">
        <f t="shared" si="64"/>
        <v>CO-DC</v>
      </c>
      <c r="W396" s="249" t="str">
        <f t="shared" si="65"/>
        <v>Distrito Capital de Bogotá</v>
      </c>
      <c r="X396" s="197" t="s">
        <v>497</v>
      </c>
      <c r="Y396" s="187">
        <v>2427400</v>
      </c>
      <c r="Z396" s="201" t="s">
        <v>128</v>
      </c>
      <c r="AA396" s="252"/>
      <c r="AB396" s="252"/>
      <c r="AC396" s="252"/>
      <c r="AD396" s="252"/>
      <c r="AE396" s="252"/>
      <c r="AF396" s="252"/>
      <c r="AG396" s="252"/>
      <c r="AH396" s="252"/>
      <c r="AI396" s="252"/>
      <c r="AJ396" s="252"/>
      <c r="AK396" s="252"/>
      <c r="AL396" s="252"/>
      <c r="AM396" s="252"/>
      <c r="AN396" s="252"/>
      <c r="AO396" s="252"/>
      <c r="AP396" s="252"/>
      <c r="AQ396" s="252"/>
      <c r="AR396" s="252"/>
      <c r="AS396" s="252"/>
      <c r="AT396" s="252"/>
      <c r="AU396" s="195"/>
      <c r="AV396" s="195"/>
      <c r="AW396" s="195"/>
      <c r="AX396" s="195"/>
      <c r="AY396" s="195"/>
      <c r="AZ396" s="195"/>
      <c r="BA396" s="195"/>
      <c r="BB396" s="195"/>
      <c r="BC396" s="195"/>
      <c r="BD396" s="195"/>
      <c r="BE396" s="195"/>
      <c r="BF396" s="195"/>
      <c r="BG396" s="195"/>
      <c r="BH396" s="195"/>
      <c r="BI396" s="195"/>
      <c r="BJ396" s="195"/>
      <c r="BK396" s="195"/>
      <c r="BL396" s="195"/>
      <c r="BM396" s="195"/>
      <c r="BN396" s="195"/>
      <c r="BO396" s="195"/>
      <c r="BP396" s="195"/>
      <c r="BQ396" s="195"/>
      <c r="BR396" s="195"/>
      <c r="BS396" s="195"/>
      <c r="BT396" s="195"/>
      <c r="BU396" s="195"/>
      <c r="BV396" s="195"/>
      <c r="BW396" s="195"/>
      <c r="BX396" s="195"/>
      <c r="BY396" s="195"/>
      <c r="BZ396" s="195"/>
      <c r="CA396" s="195"/>
      <c r="CB396" s="195"/>
      <c r="CC396" s="195"/>
      <c r="CD396" s="195"/>
      <c r="CE396" s="195"/>
      <c r="CF396" s="195"/>
      <c r="CG396" s="256"/>
    </row>
    <row r="397" spans="1:85" s="254" customFormat="1" ht="13.9" customHeight="1" x14ac:dyDescent="0.2">
      <c r="A397" s="255" t="s">
        <v>126</v>
      </c>
      <c r="B397" s="187">
        <v>2</v>
      </c>
      <c r="C397" s="248" t="s">
        <v>619</v>
      </c>
      <c r="D397" s="197" t="s">
        <v>127</v>
      </c>
      <c r="E397" s="199"/>
      <c r="F397" s="199">
        <v>425000000</v>
      </c>
      <c r="G397" s="199"/>
      <c r="H397" s="197" t="s">
        <v>790</v>
      </c>
      <c r="I397" s="248" t="s">
        <v>498</v>
      </c>
      <c r="J397" s="187">
        <v>3</v>
      </c>
      <c r="K397" s="187">
        <v>5</v>
      </c>
      <c r="L397" s="187">
        <v>2</v>
      </c>
      <c r="M397" s="172">
        <f t="shared" si="58"/>
        <v>1</v>
      </c>
      <c r="N397" s="180" t="s">
        <v>329</v>
      </c>
      <c r="O397" s="181" t="str">
        <f>IF(ISBLANK(N397),"",VLOOKUP(N397,[2]Parámetros!$G$2:$H$23,2,FALSE))</f>
        <v>Selección abreviada menor cuantía</v>
      </c>
      <c r="P397" s="249">
        <f t="shared" si="66"/>
        <v>1</v>
      </c>
      <c r="Q397" s="183">
        <f t="shared" si="59"/>
        <v>425000000</v>
      </c>
      <c r="R397" s="183">
        <f t="shared" si="60"/>
        <v>425000000</v>
      </c>
      <c r="S397" s="250" t="s">
        <v>223</v>
      </c>
      <c r="T397" s="249">
        <f t="shared" si="67"/>
        <v>0</v>
      </c>
      <c r="U397" s="185" t="str">
        <f t="shared" si="61"/>
        <v>SUBDIRECCION DE GESTION CONTRACTUAL</v>
      </c>
      <c r="V397" s="249" t="str">
        <f t="shared" si="64"/>
        <v>CO-DC</v>
      </c>
      <c r="W397" s="249" t="str">
        <f t="shared" si="65"/>
        <v>Distrito Capital de Bogotá</v>
      </c>
      <c r="X397" s="197" t="s">
        <v>497</v>
      </c>
      <c r="Y397" s="187">
        <v>2427400</v>
      </c>
      <c r="Z397" s="201" t="s">
        <v>128</v>
      </c>
      <c r="AA397" s="252"/>
      <c r="AB397" s="252"/>
      <c r="AC397" s="252"/>
      <c r="AD397" s="252"/>
      <c r="AE397" s="252"/>
      <c r="AF397" s="252"/>
      <c r="AG397" s="252"/>
      <c r="AH397" s="252"/>
      <c r="AI397" s="252"/>
      <c r="AJ397" s="252"/>
      <c r="AK397" s="252"/>
      <c r="AL397" s="252"/>
      <c r="AM397" s="252"/>
      <c r="AN397" s="252"/>
      <c r="AO397" s="252"/>
      <c r="AP397" s="252"/>
      <c r="AQ397" s="252"/>
      <c r="AR397" s="252"/>
      <c r="AS397" s="252"/>
      <c r="AT397" s="252"/>
      <c r="AU397" s="195"/>
      <c r="AV397" s="195"/>
      <c r="AW397" s="195"/>
      <c r="AX397" s="195"/>
      <c r="AY397" s="195"/>
      <c r="AZ397" s="195"/>
      <c r="BA397" s="195"/>
      <c r="BB397" s="195"/>
      <c r="BC397" s="195"/>
      <c r="BD397" s="195"/>
      <c r="BE397" s="195"/>
      <c r="BF397" s="195"/>
      <c r="BG397" s="195"/>
      <c r="BH397" s="195"/>
      <c r="BI397" s="195"/>
      <c r="BJ397" s="195"/>
      <c r="BK397" s="195"/>
      <c r="BL397" s="195"/>
      <c r="BM397" s="195"/>
      <c r="BN397" s="195"/>
      <c r="BO397" s="195"/>
      <c r="BP397" s="195"/>
      <c r="BQ397" s="195"/>
      <c r="BR397" s="195"/>
      <c r="BS397" s="195"/>
      <c r="BT397" s="195"/>
      <c r="BU397" s="195"/>
      <c r="BV397" s="195"/>
      <c r="BW397" s="195"/>
      <c r="BX397" s="195"/>
      <c r="BY397" s="195"/>
      <c r="BZ397" s="195"/>
      <c r="CA397" s="195"/>
      <c r="CB397" s="195"/>
      <c r="CC397" s="195"/>
      <c r="CD397" s="195"/>
      <c r="CE397" s="195"/>
      <c r="CF397" s="195"/>
      <c r="CG397" s="256"/>
    </row>
    <row r="398" spans="1:85" s="254" customFormat="1" ht="13.9" customHeight="1" x14ac:dyDescent="0.2">
      <c r="A398" s="255" t="s">
        <v>126</v>
      </c>
      <c r="B398" s="187">
        <v>3</v>
      </c>
      <c r="C398" s="248" t="s">
        <v>619</v>
      </c>
      <c r="D398" s="197" t="s">
        <v>127</v>
      </c>
      <c r="E398" s="199"/>
      <c r="F398" s="199">
        <v>700000000</v>
      </c>
      <c r="G398" s="199"/>
      <c r="H398" s="197">
        <v>43233001</v>
      </c>
      <c r="I398" s="248" t="s">
        <v>499</v>
      </c>
      <c r="J398" s="187">
        <v>2</v>
      </c>
      <c r="K398" s="187">
        <v>3</v>
      </c>
      <c r="L398" s="187">
        <v>10</v>
      </c>
      <c r="M398" s="172">
        <f t="shared" si="58"/>
        <v>1</v>
      </c>
      <c r="N398" s="180" t="s">
        <v>36</v>
      </c>
      <c r="O398" s="181" t="str">
        <f>IF(ISBLANK(N398),"",VLOOKUP(N398,[2]Parámetros!$G$2:$H$23,2,FALSE))</f>
        <v xml:space="preserve">Contratación directa (con ofertas) </v>
      </c>
      <c r="P398" s="249">
        <f t="shared" si="66"/>
        <v>1</v>
      </c>
      <c r="Q398" s="183">
        <f t="shared" si="59"/>
        <v>700000000</v>
      </c>
      <c r="R398" s="183">
        <f t="shared" si="60"/>
        <v>700000000</v>
      </c>
      <c r="S398" s="250" t="s">
        <v>223</v>
      </c>
      <c r="T398" s="249">
        <f t="shared" si="67"/>
        <v>0</v>
      </c>
      <c r="U398" s="185" t="str">
        <f t="shared" si="61"/>
        <v>SUBDIRECCION DE GESTION CONTRACTUAL</v>
      </c>
      <c r="V398" s="249" t="str">
        <f t="shared" si="64"/>
        <v>CO-DC</v>
      </c>
      <c r="W398" s="249" t="str">
        <f t="shared" si="65"/>
        <v>Distrito Capital de Bogotá</v>
      </c>
      <c r="X398" s="197" t="s">
        <v>497</v>
      </c>
      <c r="Y398" s="187">
        <v>2427400</v>
      </c>
      <c r="Z398" s="201" t="s">
        <v>128</v>
      </c>
      <c r="AA398" s="252"/>
      <c r="AB398" s="252"/>
      <c r="AC398" s="252"/>
      <c r="AD398" s="252"/>
      <c r="AE398" s="252"/>
      <c r="AF398" s="252"/>
      <c r="AG398" s="252"/>
      <c r="AH398" s="252"/>
      <c r="AI398" s="252"/>
      <c r="AJ398" s="252"/>
      <c r="AK398" s="252"/>
      <c r="AL398" s="252"/>
      <c r="AM398" s="252"/>
      <c r="AN398" s="252"/>
      <c r="AO398" s="252"/>
      <c r="AP398" s="252"/>
      <c r="AQ398" s="252"/>
      <c r="AR398" s="252"/>
      <c r="AS398" s="252"/>
      <c r="AT398" s="252"/>
      <c r="AU398" s="195"/>
      <c r="AV398" s="195"/>
      <c r="AW398" s="195"/>
      <c r="AX398" s="195"/>
      <c r="AY398" s="195"/>
      <c r="AZ398" s="195"/>
      <c r="BA398" s="195"/>
      <c r="BB398" s="195"/>
      <c r="BC398" s="195"/>
      <c r="BD398" s="195"/>
      <c r="BE398" s="195"/>
      <c r="BF398" s="195"/>
      <c r="BG398" s="195"/>
      <c r="BH398" s="195"/>
      <c r="BI398" s="195"/>
      <c r="BJ398" s="195"/>
      <c r="BK398" s="195"/>
      <c r="BL398" s="195"/>
      <c r="BM398" s="195"/>
      <c r="BN398" s="195"/>
      <c r="BO398" s="195"/>
      <c r="BP398" s="195"/>
      <c r="BQ398" s="195"/>
      <c r="BR398" s="195"/>
      <c r="BS398" s="195"/>
      <c r="BT398" s="195"/>
      <c r="BU398" s="195"/>
      <c r="BV398" s="195"/>
      <c r="BW398" s="195"/>
      <c r="BX398" s="195"/>
      <c r="BY398" s="195"/>
      <c r="BZ398" s="195"/>
      <c r="CA398" s="195"/>
      <c r="CB398" s="195"/>
      <c r="CC398" s="195"/>
      <c r="CD398" s="195"/>
      <c r="CE398" s="195"/>
      <c r="CF398" s="195"/>
      <c r="CG398" s="256"/>
    </row>
    <row r="399" spans="1:85" s="254" customFormat="1" ht="13.9" customHeight="1" x14ac:dyDescent="0.2">
      <c r="A399" s="255" t="s">
        <v>126</v>
      </c>
      <c r="B399" s="187">
        <v>4</v>
      </c>
      <c r="C399" s="248" t="s">
        <v>619</v>
      </c>
      <c r="D399" s="197" t="s">
        <v>127</v>
      </c>
      <c r="E399" s="199"/>
      <c r="F399" s="199">
        <v>100000000</v>
      </c>
      <c r="G399" s="199"/>
      <c r="H399" s="197" t="s">
        <v>785</v>
      </c>
      <c r="I399" s="248" t="s">
        <v>501</v>
      </c>
      <c r="J399" s="187">
        <v>2</v>
      </c>
      <c r="K399" s="187">
        <v>3</v>
      </c>
      <c r="L399" s="187">
        <v>3</v>
      </c>
      <c r="M399" s="172">
        <f t="shared" ref="M399:M462" si="68">IF(ISBLANK(J399),"",1)</f>
        <v>1</v>
      </c>
      <c r="N399" s="180" t="s">
        <v>329</v>
      </c>
      <c r="O399" s="181" t="str">
        <f>IF(ISBLANK(N399),"",VLOOKUP(N399,[2]Parámetros!$G$2:$H$23,2,FALSE))</f>
        <v>Selección abreviada menor cuantía</v>
      </c>
      <c r="P399" s="249">
        <f t="shared" si="66"/>
        <v>1</v>
      </c>
      <c r="Q399" s="183">
        <f t="shared" ref="Q399:Q462" si="69">+E399+F399+G399</f>
        <v>100000000</v>
      </c>
      <c r="R399" s="183">
        <f t="shared" ref="R399:R462" si="70">+F399</f>
        <v>100000000</v>
      </c>
      <c r="S399" s="250" t="s">
        <v>223</v>
      </c>
      <c r="T399" s="249">
        <f t="shared" si="67"/>
        <v>0</v>
      </c>
      <c r="U399" s="185" t="str">
        <f t="shared" ref="U399:U462" si="71">IF(ISBLANK(N399),"","SUBDIRECCION DE GESTION CONTRACTUAL")</f>
        <v>SUBDIRECCION DE GESTION CONTRACTUAL</v>
      </c>
      <c r="V399" s="249" t="str">
        <f t="shared" si="64"/>
        <v>CO-DC</v>
      </c>
      <c r="W399" s="249" t="str">
        <f t="shared" si="65"/>
        <v>Distrito Capital de Bogotá</v>
      </c>
      <c r="X399" s="197" t="s">
        <v>497</v>
      </c>
      <c r="Y399" s="187">
        <v>2427400</v>
      </c>
      <c r="Z399" s="201" t="s">
        <v>128</v>
      </c>
      <c r="AA399" s="252"/>
      <c r="AB399" s="252"/>
      <c r="AC399" s="252"/>
      <c r="AD399" s="252"/>
      <c r="AE399" s="252"/>
      <c r="AF399" s="252"/>
      <c r="AG399" s="252"/>
      <c r="AH399" s="252"/>
      <c r="AI399" s="252"/>
      <c r="AJ399" s="252"/>
      <c r="AK399" s="252"/>
      <c r="AL399" s="252"/>
      <c r="AM399" s="252"/>
      <c r="AN399" s="252"/>
      <c r="AO399" s="252"/>
      <c r="AP399" s="252"/>
      <c r="AQ399" s="252"/>
      <c r="AR399" s="252"/>
      <c r="AS399" s="252"/>
      <c r="AT399" s="252"/>
      <c r="AU399" s="195"/>
      <c r="AV399" s="195"/>
      <c r="AW399" s="195"/>
      <c r="AX399" s="195"/>
      <c r="AY399" s="195"/>
      <c r="AZ399" s="195"/>
      <c r="BA399" s="195"/>
      <c r="BB399" s="195"/>
      <c r="BC399" s="195"/>
      <c r="BD399" s="195"/>
      <c r="BE399" s="195"/>
      <c r="BF399" s="195"/>
      <c r="BG399" s="195"/>
      <c r="BH399" s="195"/>
      <c r="BI399" s="195"/>
      <c r="BJ399" s="195"/>
      <c r="BK399" s="195"/>
      <c r="BL399" s="195"/>
      <c r="BM399" s="195"/>
      <c r="BN399" s="195"/>
      <c r="BO399" s="195"/>
      <c r="BP399" s="195"/>
      <c r="BQ399" s="195"/>
      <c r="BR399" s="195"/>
      <c r="BS399" s="195"/>
      <c r="BT399" s="195"/>
      <c r="BU399" s="195"/>
      <c r="BV399" s="195"/>
      <c r="BW399" s="195"/>
      <c r="BX399" s="195"/>
      <c r="BY399" s="195"/>
      <c r="BZ399" s="195"/>
      <c r="CA399" s="195"/>
      <c r="CB399" s="195"/>
      <c r="CC399" s="195"/>
      <c r="CD399" s="195"/>
      <c r="CE399" s="195"/>
      <c r="CF399" s="195"/>
      <c r="CG399" s="256"/>
    </row>
    <row r="400" spans="1:85" s="254" customFormat="1" ht="13.9" customHeight="1" x14ac:dyDescent="0.2">
      <c r="A400" s="255" t="s">
        <v>126</v>
      </c>
      <c r="B400" s="187">
        <v>5</v>
      </c>
      <c r="C400" s="248" t="s">
        <v>619</v>
      </c>
      <c r="D400" s="197" t="s">
        <v>127</v>
      </c>
      <c r="E400" s="199"/>
      <c r="F400" s="199">
        <v>4459914231</v>
      </c>
      <c r="G400" s="199"/>
      <c r="H400" s="197" t="s">
        <v>793</v>
      </c>
      <c r="I400" s="248" t="s">
        <v>502</v>
      </c>
      <c r="J400" s="187">
        <v>2</v>
      </c>
      <c r="K400" s="187">
        <v>3</v>
      </c>
      <c r="L400" s="187">
        <v>9</v>
      </c>
      <c r="M400" s="172">
        <f t="shared" si="68"/>
        <v>1</v>
      </c>
      <c r="N400" s="180" t="s">
        <v>36</v>
      </c>
      <c r="O400" s="181" t="str">
        <f>IF(ISBLANK(N400),"",VLOOKUP(N400,[2]Parámetros!$G$2:$H$23,2,FALSE))</f>
        <v xml:space="preserve">Contratación directa (con ofertas) </v>
      </c>
      <c r="P400" s="249">
        <f t="shared" si="66"/>
        <v>1</v>
      </c>
      <c r="Q400" s="183">
        <f t="shared" si="69"/>
        <v>4459914231</v>
      </c>
      <c r="R400" s="183">
        <f t="shared" si="70"/>
        <v>4459914231</v>
      </c>
      <c r="S400" s="250" t="s">
        <v>223</v>
      </c>
      <c r="T400" s="249">
        <f t="shared" si="67"/>
        <v>0</v>
      </c>
      <c r="U400" s="185" t="str">
        <f t="shared" si="71"/>
        <v>SUBDIRECCION DE GESTION CONTRACTUAL</v>
      </c>
      <c r="V400" s="249" t="str">
        <f t="shared" si="64"/>
        <v>CO-DC</v>
      </c>
      <c r="W400" s="249" t="str">
        <f t="shared" si="65"/>
        <v>Distrito Capital de Bogotá</v>
      </c>
      <c r="X400" s="197" t="s">
        <v>497</v>
      </c>
      <c r="Y400" s="187">
        <v>2427400</v>
      </c>
      <c r="Z400" s="201" t="s">
        <v>128</v>
      </c>
      <c r="AA400" s="252"/>
      <c r="AB400" s="252"/>
      <c r="AC400" s="252"/>
      <c r="AD400" s="252"/>
      <c r="AE400" s="252"/>
      <c r="AF400" s="252"/>
      <c r="AG400" s="252"/>
      <c r="AH400" s="252"/>
      <c r="AI400" s="252"/>
      <c r="AJ400" s="252"/>
      <c r="AK400" s="252"/>
      <c r="AL400" s="252"/>
      <c r="AM400" s="252"/>
      <c r="AN400" s="252"/>
      <c r="AO400" s="252"/>
      <c r="AP400" s="252"/>
      <c r="AQ400" s="252"/>
      <c r="AR400" s="252"/>
      <c r="AS400" s="252"/>
      <c r="AT400" s="252"/>
      <c r="AU400" s="195"/>
      <c r="AV400" s="195"/>
      <c r="AW400" s="195"/>
      <c r="AX400" s="195"/>
      <c r="AY400" s="195"/>
      <c r="AZ400" s="195"/>
      <c r="BA400" s="195"/>
      <c r="BB400" s="195"/>
      <c r="BC400" s="195"/>
      <c r="BD400" s="195"/>
      <c r="BE400" s="195"/>
      <c r="BF400" s="195"/>
      <c r="BG400" s="195"/>
      <c r="BH400" s="195"/>
      <c r="BI400" s="195"/>
      <c r="BJ400" s="195"/>
      <c r="BK400" s="195"/>
      <c r="BL400" s="195"/>
      <c r="BM400" s="195"/>
      <c r="BN400" s="195"/>
      <c r="BO400" s="195"/>
      <c r="BP400" s="195"/>
      <c r="BQ400" s="195"/>
      <c r="BR400" s="195"/>
      <c r="BS400" s="195"/>
      <c r="BT400" s="195"/>
      <c r="BU400" s="195"/>
      <c r="BV400" s="195"/>
      <c r="BW400" s="195"/>
      <c r="BX400" s="195"/>
      <c r="BY400" s="195"/>
      <c r="BZ400" s="195"/>
      <c r="CA400" s="195"/>
      <c r="CB400" s="195"/>
      <c r="CC400" s="195"/>
      <c r="CD400" s="195"/>
      <c r="CE400" s="195"/>
      <c r="CF400" s="195"/>
      <c r="CG400" s="256"/>
    </row>
    <row r="401" spans="1:85" s="254" customFormat="1" ht="13.9" customHeight="1" x14ac:dyDescent="0.2">
      <c r="A401" s="255" t="s">
        <v>126</v>
      </c>
      <c r="B401" s="187">
        <v>6</v>
      </c>
      <c r="C401" s="248" t="s">
        <v>619</v>
      </c>
      <c r="D401" s="197" t="s">
        <v>127</v>
      </c>
      <c r="E401" s="199"/>
      <c r="F401" s="199">
        <v>100000000</v>
      </c>
      <c r="G401" s="199"/>
      <c r="H401" s="197" t="s">
        <v>137</v>
      </c>
      <c r="I401" s="248" t="s">
        <v>503</v>
      </c>
      <c r="J401" s="187">
        <v>2</v>
      </c>
      <c r="K401" s="187">
        <v>3</v>
      </c>
      <c r="L401" s="187">
        <v>9</v>
      </c>
      <c r="M401" s="172">
        <f t="shared" si="68"/>
        <v>1</v>
      </c>
      <c r="N401" s="180" t="s">
        <v>53</v>
      </c>
      <c r="O401" s="181" t="str">
        <f>IF(ISBLANK(N401),"",VLOOKUP(N401,[2]Parámetros!$G$2:$H$23,2,FALSE))</f>
        <v>Seléccion abreviada - acuerdo marco</v>
      </c>
      <c r="P401" s="249">
        <f t="shared" si="66"/>
        <v>1</v>
      </c>
      <c r="Q401" s="183">
        <f t="shared" si="69"/>
        <v>100000000</v>
      </c>
      <c r="R401" s="183">
        <f t="shared" si="70"/>
        <v>100000000</v>
      </c>
      <c r="S401" s="250" t="s">
        <v>223</v>
      </c>
      <c r="T401" s="249">
        <f t="shared" si="67"/>
        <v>0</v>
      </c>
      <c r="U401" s="185" t="str">
        <f t="shared" si="71"/>
        <v>SUBDIRECCION DE GESTION CONTRACTUAL</v>
      </c>
      <c r="V401" s="249" t="str">
        <f t="shared" si="64"/>
        <v>CO-DC</v>
      </c>
      <c r="W401" s="249" t="str">
        <f t="shared" si="65"/>
        <v>Distrito Capital de Bogotá</v>
      </c>
      <c r="X401" s="197" t="s">
        <v>497</v>
      </c>
      <c r="Y401" s="187">
        <v>2427400</v>
      </c>
      <c r="Z401" s="201" t="s">
        <v>128</v>
      </c>
      <c r="AA401" s="252"/>
      <c r="AB401" s="252"/>
      <c r="AC401" s="252"/>
      <c r="AD401" s="252"/>
      <c r="AE401" s="252"/>
      <c r="AF401" s="252"/>
      <c r="AG401" s="252"/>
      <c r="AH401" s="252"/>
      <c r="AI401" s="252"/>
      <c r="AJ401" s="252"/>
      <c r="AK401" s="252"/>
      <c r="AL401" s="252"/>
      <c r="AM401" s="252"/>
      <c r="AN401" s="252"/>
      <c r="AO401" s="252"/>
      <c r="AP401" s="252"/>
      <c r="AQ401" s="252"/>
      <c r="AR401" s="252"/>
      <c r="AS401" s="252"/>
      <c r="AT401" s="252"/>
      <c r="AU401" s="195"/>
      <c r="AV401" s="195"/>
      <c r="AW401" s="195"/>
      <c r="AX401" s="195"/>
      <c r="AY401" s="195"/>
      <c r="AZ401" s="195"/>
      <c r="BA401" s="195"/>
      <c r="BB401" s="195"/>
      <c r="BC401" s="195"/>
      <c r="BD401" s="195"/>
      <c r="BE401" s="195"/>
      <c r="BF401" s="195"/>
      <c r="BG401" s="195"/>
      <c r="BH401" s="195"/>
      <c r="BI401" s="195"/>
      <c r="BJ401" s="195"/>
      <c r="BK401" s="195"/>
      <c r="BL401" s="195"/>
      <c r="BM401" s="195"/>
      <c r="BN401" s="195"/>
      <c r="BO401" s="195"/>
      <c r="BP401" s="195"/>
      <c r="BQ401" s="195"/>
      <c r="BR401" s="195"/>
      <c r="BS401" s="195"/>
      <c r="BT401" s="195"/>
      <c r="BU401" s="195"/>
      <c r="BV401" s="195"/>
      <c r="BW401" s="195"/>
      <c r="BX401" s="195"/>
      <c r="BY401" s="195"/>
      <c r="BZ401" s="195"/>
      <c r="CA401" s="195"/>
      <c r="CB401" s="195"/>
      <c r="CC401" s="195"/>
      <c r="CD401" s="195"/>
      <c r="CE401" s="195"/>
      <c r="CF401" s="195"/>
      <c r="CG401" s="256"/>
    </row>
    <row r="402" spans="1:85" s="185" customFormat="1" ht="12.75" customHeight="1" x14ac:dyDescent="0.2">
      <c r="A402" s="255" t="s">
        <v>126</v>
      </c>
      <c r="B402" s="187">
        <v>7</v>
      </c>
      <c r="C402" s="248" t="s">
        <v>129</v>
      </c>
      <c r="D402" s="197" t="s">
        <v>136</v>
      </c>
      <c r="E402" s="199"/>
      <c r="F402" s="199">
        <v>436360</v>
      </c>
      <c r="G402" s="199"/>
      <c r="H402" s="197" t="s">
        <v>137</v>
      </c>
      <c r="I402" s="248" t="s">
        <v>503</v>
      </c>
      <c r="J402" s="187">
        <v>2</v>
      </c>
      <c r="K402" s="187">
        <v>3</v>
      </c>
      <c r="L402" s="187">
        <v>9</v>
      </c>
      <c r="M402" s="172">
        <f t="shared" si="68"/>
        <v>1</v>
      </c>
      <c r="N402" s="180" t="s">
        <v>53</v>
      </c>
      <c r="O402" s="181" t="str">
        <f>IF(ISBLANK(N402),"",VLOOKUP(N402,[2]Parámetros!$G$2:$H$23,2,FALSE))</f>
        <v>Seléccion abreviada - acuerdo marco</v>
      </c>
      <c r="P402" s="249">
        <f t="shared" si="66"/>
        <v>1</v>
      </c>
      <c r="Q402" s="183">
        <f t="shared" si="69"/>
        <v>436360</v>
      </c>
      <c r="R402" s="183">
        <f t="shared" si="70"/>
        <v>436360</v>
      </c>
      <c r="S402" s="250" t="s">
        <v>223</v>
      </c>
      <c r="T402" s="249">
        <f t="shared" si="67"/>
        <v>0</v>
      </c>
      <c r="U402" s="185" t="str">
        <f t="shared" si="71"/>
        <v>SUBDIRECCION DE GESTION CONTRACTUAL</v>
      </c>
      <c r="V402" s="249" t="str">
        <f t="shared" si="64"/>
        <v>CO-DC</v>
      </c>
      <c r="W402" s="249" t="str">
        <f t="shared" si="65"/>
        <v>Distrito Capital de Bogotá</v>
      </c>
      <c r="X402" s="197" t="s">
        <v>504</v>
      </c>
      <c r="Y402" s="187">
        <v>2427400</v>
      </c>
      <c r="Z402" s="201" t="s">
        <v>131</v>
      </c>
      <c r="AA402" s="252"/>
      <c r="AB402" s="252"/>
      <c r="AC402" s="252"/>
      <c r="AD402" s="252"/>
      <c r="AE402" s="252"/>
      <c r="AF402" s="252"/>
      <c r="AG402" s="252"/>
      <c r="AH402" s="252"/>
      <c r="AI402" s="252"/>
      <c r="AJ402" s="252"/>
      <c r="AK402" s="252"/>
      <c r="AL402" s="252"/>
      <c r="AM402" s="252"/>
      <c r="AN402" s="252"/>
      <c r="AO402" s="252"/>
      <c r="AP402" s="252"/>
      <c r="AQ402" s="252"/>
      <c r="AR402" s="252"/>
      <c r="AS402" s="252"/>
      <c r="AT402" s="252"/>
      <c r="AU402" s="195"/>
      <c r="AV402" s="195"/>
      <c r="AW402" s="195"/>
      <c r="AX402" s="195"/>
      <c r="AY402" s="195"/>
      <c r="AZ402" s="195"/>
      <c r="BA402" s="195"/>
      <c r="BB402" s="195"/>
      <c r="BC402" s="195"/>
      <c r="BD402" s="195"/>
      <c r="BE402" s="195"/>
      <c r="BF402" s="195"/>
      <c r="BG402" s="195"/>
      <c r="BH402" s="195"/>
      <c r="BI402" s="195"/>
      <c r="BJ402" s="195"/>
      <c r="BK402" s="195"/>
      <c r="BL402" s="195"/>
      <c r="BM402" s="195"/>
      <c r="BN402" s="195"/>
      <c r="BO402" s="195"/>
      <c r="BP402" s="195"/>
      <c r="BQ402" s="195"/>
      <c r="BR402" s="195"/>
      <c r="BS402" s="195"/>
      <c r="BT402" s="195"/>
      <c r="BU402" s="195"/>
      <c r="BV402" s="195"/>
      <c r="BW402" s="195"/>
      <c r="BX402" s="195"/>
      <c r="BY402" s="195"/>
      <c r="BZ402" s="195"/>
      <c r="CA402" s="195"/>
      <c r="CB402" s="195"/>
      <c r="CC402" s="195"/>
      <c r="CD402" s="195"/>
      <c r="CE402" s="195"/>
      <c r="CF402" s="195"/>
      <c r="CG402" s="256"/>
    </row>
    <row r="403" spans="1:85" s="254" customFormat="1" ht="13.9" customHeight="1" x14ac:dyDescent="0.2">
      <c r="A403" s="255" t="s">
        <v>126</v>
      </c>
      <c r="B403" s="187">
        <v>8</v>
      </c>
      <c r="C403" s="248" t="s">
        <v>129</v>
      </c>
      <c r="D403" s="197" t="s">
        <v>133</v>
      </c>
      <c r="E403" s="199"/>
      <c r="F403" s="199">
        <v>39548424</v>
      </c>
      <c r="G403" s="199"/>
      <c r="H403" s="197" t="s">
        <v>137</v>
      </c>
      <c r="I403" s="248" t="s">
        <v>503</v>
      </c>
      <c r="J403" s="187">
        <v>2</v>
      </c>
      <c r="K403" s="187">
        <v>3</v>
      </c>
      <c r="L403" s="187">
        <v>9</v>
      </c>
      <c r="M403" s="172">
        <f t="shared" si="68"/>
        <v>1</v>
      </c>
      <c r="N403" s="180" t="s">
        <v>53</v>
      </c>
      <c r="O403" s="181" t="str">
        <f>IF(ISBLANK(N403),"",VLOOKUP(N403,[2]Parámetros!$G$2:$H$23,2,FALSE))</f>
        <v>Seléccion abreviada - acuerdo marco</v>
      </c>
      <c r="P403" s="249">
        <f t="shared" si="66"/>
        <v>1</v>
      </c>
      <c r="Q403" s="183">
        <f t="shared" si="69"/>
        <v>39548424</v>
      </c>
      <c r="R403" s="183">
        <f t="shared" si="70"/>
        <v>39548424</v>
      </c>
      <c r="S403" s="250" t="s">
        <v>223</v>
      </c>
      <c r="T403" s="249">
        <f t="shared" si="67"/>
        <v>0</v>
      </c>
      <c r="U403" s="185" t="str">
        <f t="shared" si="71"/>
        <v>SUBDIRECCION DE GESTION CONTRACTUAL</v>
      </c>
      <c r="V403" s="249" t="str">
        <f t="shared" si="64"/>
        <v>CO-DC</v>
      </c>
      <c r="W403" s="249" t="str">
        <f t="shared" si="65"/>
        <v>Distrito Capital de Bogotá</v>
      </c>
      <c r="X403" s="197" t="s">
        <v>504</v>
      </c>
      <c r="Y403" s="187">
        <v>2427400</v>
      </c>
      <c r="Z403" s="201" t="s">
        <v>131</v>
      </c>
      <c r="AA403" s="252"/>
      <c r="AB403" s="252"/>
      <c r="AC403" s="252"/>
      <c r="AD403" s="252"/>
      <c r="AE403" s="252"/>
      <c r="AF403" s="252"/>
      <c r="AG403" s="252"/>
      <c r="AH403" s="252"/>
      <c r="AI403" s="252"/>
      <c r="AJ403" s="252"/>
      <c r="AK403" s="252"/>
      <c r="AL403" s="252"/>
      <c r="AM403" s="252"/>
      <c r="AN403" s="252"/>
      <c r="AO403" s="252"/>
      <c r="AP403" s="252"/>
      <c r="AQ403" s="252"/>
      <c r="AR403" s="252"/>
      <c r="AS403" s="252"/>
      <c r="AT403" s="252"/>
      <c r="AU403" s="195"/>
      <c r="AV403" s="195"/>
      <c r="AW403" s="195"/>
      <c r="AX403" s="195"/>
      <c r="AY403" s="195"/>
      <c r="AZ403" s="195"/>
      <c r="BA403" s="195"/>
      <c r="BB403" s="195"/>
      <c r="BC403" s="195"/>
      <c r="BD403" s="195"/>
      <c r="BE403" s="195"/>
      <c r="BF403" s="195"/>
      <c r="BG403" s="195"/>
      <c r="BH403" s="195"/>
      <c r="BI403" s="195"/>
      <c r="BJ403" s="195"/>
      <c r="BK403" s="195"/>
      <c r="BL403" s="195"/>
      <c r="BM403" s="195"/>
      <c r="BN403" s="195"/>
      <c r="BO403" s="195"/>
      <c r="BP403" s="195"/>
      <c r="BQ403" s="195"/>
      <c r="BR403" s="195"/>
      <c r="BS403" s="195"/>
      <c r="BT403" s="195"/>
      <c r="BU403" s="195"/>
      <c r="BV403" s="195"/>
      <c r="BW403" s="195"/>
      <c r="BX403" s="195"/>
      <c r="BY403" s="195"/>
      <c r="BZ403" s="195"/>
      <c r="CA403" s="195"/>
      <c r="CB403" s="195"/>
      <c r="CC403" s="195"/>
      <c r="CD403" s="195"/>
      <c r="CE403" s="195"/>
      <c r="CF403" s="195"/>
      <c r="CG403" s="256"/>
    </row>
    <row r="404" spans="1:85" s="254" customFormat="1" ht="13.9" customHeight="1" x14ac:dyDescent="0.2">
      <c r="A404" s="255" t="s">
        <v>126</v>
      </c>
      <c r="B404" s="187">
        <v>9</v>
      </c>
      <c r="C404" s="248" t="s">
        <v>129</v>
      </c>
      <c r="D404" s="197" t="s">
        <v>138</v>
      </c>
      <c r="E404" s="199"/>
      <c r="F404" s="199">
        <v>16760190</v>
      </c>
      <c r="G404" s="199"/>
      <c r="H404" s="197" t="s">
        <v>137</v>
      </c>
      <c r="I404" s="248" t="s">
        <v>503</v>
      </c>
      <c r="J404" s="187">
        <v>2</v>
      </c>
      <c r="K404" s="187">
        <v>3</v>
      </c>
      <c r="L404" s="187">
        <v>9</v>
      </c>
      <c r="M404" s="172">
        <f t="shared" si="68"/>
        <v>1</v>
      </c>
      <c r="N404" s="180" t="s">
        <v>53</v>
      </c>
      <c r="O404" s="181" t="str">
        <f>IF(ISBLANK(N404),"",VLOOKUP(N404,[2]Parámetros!$G$2:$H$23,2,FALSE))</f>
        <v>Seléccion abreviada - acuerdo marco</v>
      </c>
      <c r="P404" s="249">
        <f t="shared" si="66"/>
        <v>1</v>
      </c>
      <c r="Q404" s="183">
        <f t="shared" si="69"/>
        <v>16760190</v>
      </c>
      <c r="R404" s="183">
        <f t="shared" si="70"/>
        <v>16760190</v>
      </c>
      <c r="S404" s="250" t="s">
        <v>223</v>
      </c>
      <c r="T404" s="249">
        <f t="shared" si="67"/>
        <v>0</v>
      </c>
      <c r="U404" s="185" t="str">
        <f t="shared" si="71"/>
        <v>SUBDIRECCION DE GESTION CONTRACTUAL</v>
      </c>
      <c r="V404" s="249" t="str">
        <f t="shared" si="64"/>
        <v>CO-DC</v>
      </c>
      <c r="W404" s="249" t="str">
        <f t="shared" si="65"/>
        <v>Distrito Capital de Bogotá</v>
      </c>
      <c r="X404" s="197" t="s">
        <v>504</v>
      </c>
      <c r="Y404" s="187">
        <v>2427400</v>
      </c>
      <c r="Z404" s="201" t="s">
        <v>131</v>
      </c>
      <c r="AA404" s="252"/>
      <c r="AB404" s="252"/>
      <c r="AC404" s="252"/>
      <c r="AD404" s="252"/>
      <c r="AE404" s="252"/>
      <c r="AF404" s="252"/>
      <c r="AG404" s="252"/>
      <c r="AH404" s="252"/>
      <c r="AI404" s="252"/>
      <c r="AJ404" s="252"/>
      <c r="AK404" s="252"/>
      <c r="AL404" s="252"/>
      <c r="AM404" s="252"/>
      <c r="AN404" s="252"/>
      <c r="AO404" s="252"/>
      <c r="AP404" s="252"/>
      <c r="AQ404" s="252"/>
      <c r="AR404" s="252"/>
      <c r="AS404" s="252"/>
      <c r="AT404" s="252"/>
      <c r="AU404" s="195"/>
      <c r="AV404" s="195"/>
      <c r="AW404" s="195"/>
      <c r="AX404" s="195"/>
      <c r="AY404" s="195"/>
      <c r="AZ404" s="195"/>
      <c r="BA404" s="195"/>
      <c r="BB404" s="195"/>
      <c r="BC404" s="195"/>
      <c r="BD404" s="195"/>
      <c r="BE404" s="195"/>
      <c r="BF404" s="195"/>
      <c r="BG404" s="195"/>
      <c r="BH404" s="195"/>
      <c r="BI404" s="195"/>
      <c r="BJ404" s="195"/>
      <c r="BK404" s="195"/>
      <c r="BL404" s="195"/>
      <c r="BM404" s="195"/>
      <c r="BN404" s="195"/>
      <c r="BO404" s="195"/>
      <c r="BP404" s="195"/>
      <c r="BQ404" s="195"/>
      <c r="BR404" s="195"/>
      <c r="BS404" s="195"/>
      <c r="BT404" s="195"/>
      <c r="BU404" s="195"/>
      <c r="BV404" s="195"/>
      <c r="BW404" s="195"/>
      <c r="BX404" s="195"/>
      <c r="BY404" s="195"/>
      <c r="BZ404" s="195"/>
      <c r="CA404" s="195"/>
      <c r="CB404" s="195"/>
      <c r="CC404" s="195"/>
      <c r="CD404" s="195"/>
      <c r="CE404" s="195"/>
      <c r="CF404" s="195"/>
      <c r="CG404" s="256"/>
    </row>
    <row r="405" spans="1:85" s="254" customFormat="1" ht="13.9" customHeight="1" x14ac:dyDescent="0.2">
      <c r="A405" s="255" t="s">
        <v>126</v>
      </c>
      <c r="B405" s="187">
        <v>10</v>
      </c>
      <c r="C405" s="248" t="s">
        <v>129</v>
      </c>
      <c r="D405" s="197" t="s">
        <v>139</v>
      </c>
      <c r="E405" s="199"/>
      <c r="F405" s="199">
        <v>15925909</v>
      </c>
      <c r="G405" s="199"/>
      <c r="H405" s="197" t="s">
        <v>137</v>
      </c>
      <c r="I405" s="248" t="s">
        <v>503</v>
      </c>
      <c r="J405" s="187">
        <v>2</v>
      </c>
      <c r="K405" s="187">
        <v>3</v>
      </c>
      <c r="L405" s="187">
        <v>9</v>
      </c>
      <c r="M405" s="172">
        <f t="shared" si="68"/>
        <v>1</v>
      </c>
      <c r="N405" s="180" t="s">
        <v>53</v>
      </c>
      <c r="O405" s="181" t="str">
        <f>IF(ISBLANK(N405),"",VLOOKUP(N405,[2]Parámetros!$G$2:$H$23,2,FALSE))</f>
        <v>Seléccion abreviada - acuerdo marco</v>
      </c>
      <c r="P405" s="249">
        <f t="shared" si="66"/>
        <v>1</v>
      </c>
      <c r="Q405" s="183">
        <f t="shared" si="69"/>
        <v>15925909</v>
      </c>
      <c r="R405" s="183">
        <f t="shared" si="70"/>
        <v>15925909</v>
      </c>
      <c r="S405" s="250" t="s">
        <v>223</v>
      </c>
      <c r="T405" s="249">
        <f t="shared" si="67"/>
        <v>0</v>
      </c>
      <c r="U405" s="185" t="str">
        <f t="shared" si="71"/>
        <v>SUBDIRECCION DE GESTION CONTRACTUAL</v>
      </c>
      <c r="V405" s="249" t="str">
        <f t="shared" si="64"/>
        <v>CO-DC</v>
      </c>
      <c r="W405" s="249" t="str">
        <f t="shared" si="65"/>
        <v>Distrito Capital de Bogotá</v>
      </c>
      <c r="X405" s="197" t="s">
        <v>504</v>
      </c>
      <c r="Y405" s="187">
        <v>2427400</v>
      </c>
      <c r="Z405" s="201" t="s">
        <v>131</v>
      </c>
      <c r="AA405" s="252"/>
      <c r="AB405" s="252"/>
      <c r="AC405" s="252"/>
      <c r="AD405" s="252"/>
      <c r="AE405" s="252"/>
      <c r="AF405" s="252"/>
      <c r="AG405" s="252"/>
      <c r="AH405" s="252"/>
      <c r="AI405" s="252"/>
      <c r="AJ405" s="252"/>
      <c r="AK405" s="252"/>
      <c r="AL405" s="252"/>
      <c r="AM405" s="252"/>
      <c r="AN405" s="252"/>
      <c r="AO405" s="252"/>
      <c r="AP405" s="252"/>
      <c r="AQ405" s="252"/>
      <c r="AR405" s="252"/>
      <c r="AS405" s="252"/>
      <c r="AT405" s="252"/>
      <c r="AU405" s="195"/>
      <c r="AV405" s="195"/>
      <c r="AW405" s="195"/>
      <c r="AX405" s="195"/>
      <c r="AY405" s="195"/>
      <c r="AZ405" s="195"/>
      <c r="BA405" s="195"/>
      <c r="BB405" s="195"/>
      <c r="BC405" s="195"/>
      <c r="BD405" s="195"/>
      <c r="BE405" s="195"/>
      <c r="BF405" s="195"/>
      <c r="BG405" s="195"/>
      <c r="BH405" s="195"/>
      <c r="BI405" s="195"/>
      <c r="BJ405" s="195"/>
      <c r="BK405" s="195"/>
      <c r="BL405" s="195"/>
      <c r="BM405" s="195"/>
      <c r="BN405" s="195"/>
      <c r="BO405" s="195"/>
      <c r="BP405" s="195"/>
      <c r="BQ405" s="195"/>
      <c r="BR405" s="195"/>
      <c r="BS405" s="195"/>
      <c r="BT405" s="195"/>
      <c r="BU405" s="195"/>
      <c r="BV405" s="195"/>
      <c r="BW405" s="195"/>
      <c r="BX405" s="195"/>
      <c r="BY405" s="195"/>
      <c r="BZ405" s="195"/>
      <c r="CA405" s="195"/>
      <c r="CB405" s="195"/>
      <c r="CC405" s="195"/>
      <c r="CD405" s="195"/>
      <c r="CE405" s="195"/>
      <c r="CF405" s="195"/>
      <c r="CG405" s="256"/>
    </row>
    <row r="406" spans="1:85" s="254" customFormat="1" ht="13.9" customHeight="1" x14ac:dyDescent="0.2">
      <c r="A406" s="255" t="s">
        <v>126</v>
      </c>
      <c r="B406" s="187">
        <v>11</v>
      </c>
      <c r="C406" s="248" t="s">
        <v>129</v>
      </c>
      <c r="D406" s="197" t="s">
        <v>140</v>
      </c>
      <c r="E406" s="199"/>
      <c r="F406" s="199">
        <v>25099427</v>
      </c>
      <c r="G406" s="199"/>
      <c r="H406" s="197" t="s">
        <v>137</v>
      </c>
      <c r="I406" s="248" t="s">
        <v>503</v>
      </c>
      <c r="J406" s="187">
        <v>2</v>
      </c>
      <c r="K406" s="187">
        <v>3</v>
      </c>
      <c r="L406" s="187">
        <v>9</v>
      </c>
      <c r="M406" s="172">
        <f t="shared" si="68"/>
        <v>1</v>
      </c>
      <c r="N406" s="180" t="s">
        <v>53</v>
      </c>
      <c r="O406" s="181" t="str">
        <f>IF(ISBLANK(N406),"",VLOOKUP(N406,[2]Parámetros!$G$2:$H$23,2,FALSE))</f>
        <v>Seléccion abreviada - acuerdo marco</v>
      </c>
      <c r="P406" s="249">
        <f t="shared" si="66"/>
        <v>1</v>
      </c>
      <c r="Q406" s="183">
        <f t="shared" si="69"/>
        <v>25099427</v>
      </c>
      <c r="R406" s="183">
        <f t="shared" si="70"/>
        <v>25099427</v>
      </c>
      <c r="S406" s="250" t="s">
        <v>223</v>
      </c>
      <c r="T406" s="249">
        <f t="shared" si="67"/>
        <v>0</v>
      </c>
      <c r="U406" s="185" t="str">
        <f t="shared" si="71"/>
        <v>SUBDIRECCION DE GESTION CONTRACTUAL</v>
      </c>
      <c r="V406" s="249" t="str">
        <f t="shared" si="64"/>
        <v>CO-DC</v>
      </c>
      <c r="W406" s="249" t="str">
        <f t="shared" si="65"/>
        <v>Distrito Capital de Bogotá</v>
      </c>
      <c r="X406" s="197" t="s">
        <v>504</v>
      </c>
      <c r="Y406" s="187">
        <v>2427400</v>
      </c>
      <c r="Z406" s="201" t="s">
        <v>131</v>
      </c>
      <c r="AA406" s="252"/>
      <c r="AB406" s="252"/>
      <c r="AC406" s="252"/>
      <c r="AD406" s="252"/>
      <c r="AE406" s="252"/>
      <c r="AF406" s="252"/>
      <c r="AG406" s="252"/>
      <c r="AH406" s="252"/>
      <c r="AI406" s="252"/>
      <c r="AJ406" s="252"/>
      <c r="AK406" s="252"/>
      <c r="AL406" s="252"/>
      <c r="AM406" s="252"/>
      <c r="AN406" s="252"/>
      <c r="AO406" s="252"/>
      <c r="AP406" s="252"/>
      <c r="AQ406" s="252"/>
      <c r="AR406" s="252"/>
      <c r="AS406" s="252"/>
      <c r="AT406" s="252"/>
      <c r="AU406" s="195"/>
      <c r="AV406" s="195"/>
      <c r="AW406" s="195"/>
      <c r="AX406" s="195"/>
      <c r="AY406" s="195"/>
      <c r="AZ406" s="195"/>
      <c r="BA406" s="195"/>
      <c r="BB406" s="195"/>
      <c r="BC406" s="195"/>
      <c r="BD406" s="195"/>
      <c r="BE406" s="195"/>
      <c r="BF406" s="195"/>
      <c r="BG406" s="195"/>
      <c r="BH406" s="195"/>
      <c r="BI406" s="195"/>
      <c r="BJ406" s="195"/>
      <c r="BK406" s="195"/>
      <c r="BL406" s="195"/>
      <c r="BM406" s="195"/>
      <c r="BN406" s="195"/>
      <c r="BO406" s="195"/>
      <c r="BP406" s="195"/>
      <c r="BQ406" s="195"/>
      <c r="BR406" s="195"/>
      <c r="BS406" s="195"/>
      <c r="BT406" s="195"/>
      <c r="BU406" s="195"/>
      <c r="BV406" s="195"/>
      <c r="BW406" s="195"/>
      <c r="BX406" s="195"/>
      <c r="BY406" s="195"/>
      <c r="BZ406" s="195"/>
      <c r="CA406" s="195"/>
      <c r="CB406" s="195"/>
      <c r="CC406" s="195"/>
      <c r="CD406" s="195"/>
      <c r="CE406" s="195"/>
      <c r="CF406" s="195"/>
      <c r="CG406" s="256"/>
    </row>
    <row r="407" spans="1:85" s="254" customFormat="1" ht="13.9" customHeight="1" x14ac:dyDescent="0.2">
      <c r="A407" s="255" t="s">
        <v>126</v>
      </c>
      <c r="B407" s="187">
        <v>12</v>
      </c>
      <c r="C407" s="248" t="s">
        <v>129</v>
      </c>
      <c r="D407" s="197" t="s">
        <v>141</v>
      </c>
      <c r="E407" s="199"/>
      <c r="F407" s="199">
        <v>37659348</v>
      </c>
      <c r="G407" s="199"/>
      <c r="H407" s="197" t="s">
        <v>137</v>
      </c>
      <c r="I407" s="248" t="s">
        <v>503</v>
      </c>
      <c r="J407" s="187">
        <v>2</v>
      </c>
      <c r="K407" s="187">
        <v>3</v>
      </c>
      <c r="L407" s="187">
        <v>9</v>
      </c>
      <c r="M407" s="172">
        <f t="shared" si="68"/>
        <v>1</v>
      </c>
      <c r="N407" s="180" t="s">
        <v>53</v>
      </c>
      <c r="O407" s="181" t="str">
        <f>IF(ISBLANK(N407),"",VLOOKUP(N407,[2]Parámetros!$G$2:$H$23,2,FALSE))</f>
        <v>Seléccion abreviada - acuerdo marco</v>
      </c>
      <c r="P407" s="249">
        <f t="shared" si="66"/>
        <v>1</v>
      </c>
      <c r="Q407" s="183">
        <f t="shared" si="69"/>
        <v>37659348</v>
      </c>
      <c r="R407" s="183">
        <f t="shared" si="70"/>
        <v>37659348</v>
      </c>
      <c r="S407" s="250" t="s">
        <v>223</v>
      </c>
      <c r="T407" s="249">
        <f t="shared" si="67"/>
        <v>0</v>
      </c>
      <c r="U407" s="185" t="str">
        <f t="shared" si="71"/>
        <v>SUBDIRECCION DE GESTION CONTRACTUAL</v>
      </c>
      <c r="V407" s="249" t="str">
        <f t="shared" si="64"/>
        <v>CO-DC</v>
      </c>
      <c r="W407" s="249" t="str">
        <f t="shared" si="65"/>
        <v>Distrito Capital de Bogotá</v>
      </c>
      <c r="X407" s="197" t="s">
        <v>504</v>
      </c>
      <c r="Y407" s="187">
        <v>2427400</v>
      </c>
      <c r="Z407" s="201" t="s">
        <v>131</v>
      </c>
      <c r="AA407" s="252"/>
      <c r="AB407" s="252"/>
      <c r="AC407" s="252"/>
      <c r="AD407" s="252"/>
      <c r="AE407" s="252"/>
      <c r="AF407" s="252"/>
      <c r="AG407" s="252"/>
      <c r="AH407" s="252"/>
      <c r="AI407" s="252"/>
      <c r="AJ407" s="252"/>
      <c r="AK407" s="252"/>
      <c r="AL407" s="252"/>
      <c r="AM407" s="252"/>
      <c r="AN407" s="252"/>
      <c r="AO407" s="252"/>
      <c r="AP407" s="252"/>
      <c r="AQ407" s="252"/>
      <c r="AR407" s="252"/>
      <c r="AS407" s="252"/>
      <c r="AT407" s="252"/>
      <c r="AU407" s="195"/>
      <c r="AV407" s="195"/>
      <c r="AW407" s="195"/>
      <c r="AX407" s="195"/>
      <c r="AY407" s="195"/>
      <c r="AZ407" s="195"/>
      <c r="BA407" s="195"/>
      <c r="BB407" s="195"/>
      <c r="BC407" s="195"/>
      <c r="BD407" s="195"/>
      <c r="BE407" s="195"/>
      <c r="BF407" s="195"/>
      <c r="BG407" s="195"/>
      <c r="BH407" s="195"/>
      <c r="BI407" s="195"/>
      <c r="BJ407" s="195"/>
      <c r="BK407" s="195"/>
      <c r="BL407" s="195"/>
      <c r="BM407" s="195"/>
      <c r="BN407" s="195"/>
      <c r="BO407" s="195"/>
      <c r="BP407" s="195"/>
      <c r="BQ407" s="195"/>
      <c r="BR407" s="195"/>
      <c r="BS407" s="195"/>
      <c r="BT407" s="195"/>
      <c r="BU407" s="195"/>
      <c r="BV407" s="195"/>
      <c r="BW407" s="195"/>
      <c r="BX407" s="195"/>
      <c r="BY407" s="195"/>
      <c r="BZ407" s="195"/>
      <c r="CA407" s="195"/>
      <c r="CB407" s="195"/>
      <c r="CC407" s="195"/>
      <c r="CD407" s="195"/>
      <c r="CE407" s="195"/>
      <c r="CF407" s="195"/>
      <c r="CG407" s="256"/>
    </row>
    <row r="408" spans="1:85" s="185" customFormat="1" ht="12.75" customHeight="1" x14ac:dyDescent="0.2">
      <c r="A408" s="255" t="s">
        <v>126</v>
      </c>
      <c r="B408" s="187">
        <v>13</v>
      </c>
      <c r="C408" s="248" t="s">
        <v>129</v>
      </c>
      <c r="D408" s="197" t="s">
        <v>50</v>
      </c>
      <c r="E408" s="199"/>
      <c r="F408" s="199">
        <v>15000000</v>
      </c>
      <c r="G408" s="199"/>
      <c r="H408" s="197" t="s">
        <v>51</v>
      </c>
      <c r="I408" s="248" t="s">
        <v>505</v>
      </c>
      <c r="J408" s="187">
        <v>4</v>
      </c>
      <c r="K408" s="187">
        <v>6</v>
      </c>
      <c r="L408" s="187">
        <v>1</v>
      </c>
      <c r="M408" s="172">
        <f t="shared" si="68"/>
        <v>1</v>
      </c>
      <c r="N408" s="180" t="s">
        <v>43</v>
      </c>
      <c r="O408" s="181" t="str">
        <f>IF(ISBLANK(N408),"",VLOOKUP(N408,[2]Parámetros!$G$2:$H$23,2,FALSE))</f>
        <v>Selección abreviada subasta inversa</v>
      </c>
      <c r="P408" s="249">
        <f t="shared" si="66"/>
        <v>1</v>
      </c>
      <c r="Q408" s="183">
        <f t="shared" si="69"/>
        <v>15000000</v>
      </c>
      <c r="R408" s="183">
        <f t="shared" si="70"/>
        <v>15000000</v>
      </c>
      <c r="S408" s="250" t="s">
        <v>223</v>
      </c>
      <c r="T408" s="249">
        <f t="shared" si="67"/>
        <v>0</v>
      </c>
      <c r="U408" s="185" t="str">
        <f t="shared" si="71"/>
        <v>SUBDIRECCION DE GESTION CONTRACTUAL</v>
      </c>
      <c r="V408" s="249" t="str">
        <f t="shared" si="64"/>
        <v>CO-DC</v>
      </c>
      <c r="W408" s="249" t="str">
        <f t="shared" si="65"/>
        <v>Distrito Capital de Bogotá</v>
      </c>
      <c r="X408" s="197" t="s">
        <v>73</v>
      </c>
      <c r="Y408" s="187">
        <v>2427400</v>
      </c>
      <c r="Z408" s="201" t="s">
        <v>74</v>
      </c>
      <c r="AA408" s="252"/>
      <c r="AB408" s="252"/>
      <c r="AC408" s="252"/>
      <c r="AD408" s="252"/>
      <c r="AE408" s="252"/>
      <c r="AF408" s="252"/>
      <c r="AG408" s="252"/>
      <c r="AH408" s="252"/>
      <c r="AI408" s="252"/>
      <c r="AJ408" s="252"/>
      <c r="AK408" s="252"/>
      <c r="AL408" s="252"/>
      <c r="AM408" s="252"/>
      <c r="AN408" s="252"/>
      <c r="AO408" s="252"/>
      <c r="AP408" s="252"/>
      <c r="AQ408" s="252"/>
      <c r="AR408" s="252"/>
      <c r="AS408" s="252"/>
      <c r="AT408" s="252"/>
      <c r="AU408" s="195"/>
      <c r="AV408" s="195"/>
      <c r="AW408" s="195"/>
      <c r="AX408" s="195"/>
      <c r="AY408" s="195"/>
      <c r="AZ408" s="195"/>
      <c r="BA408" s="195"/>
      <c r="BB408" s="195"/>
      <c r="BC408" s="195"/>
      <c r="BD408" s="195"/>
      <c r="BE408" s="195"/>
      <c r="BF408" s="195"/>
      <c r="BG408" s="195"/>
      <c r="BH408" s="195"/>
      <c r="BI408" s="195"/>
      <c r="BJ408" s="195"/>
      <c r="BK408" s="195"/>
      <c r="BL408" s="195"/>
      <c r="BM408" s="195"/>
      <c r="BN408" s="195"/>
      <c r="BO408" s="195"/>
      <c r="BP408" s="195"/>
      <c r="BQ408" s="195"/>
      <c r="BR408" s="195"/>
      <c r="BS408" s="195"/>
      <c r="BT408" s="195"/>
      <c r="BU408" s="195"/>
      <c r="BV408" s="195"/>
      <c r="BW408" s="195"/>
      <c r="BX408" s="195"/>
      <c r="BY408" s="195"/>
      <c r="BZ408" s="195"/>
      <c r="CA408" s="195"/>
      <c r="CB408" s="195"/>
      <c r="CC408" s="195"/>
      <c r="CD408" s="195"/>
      <c r="CE408" s="195"/>
      <c r="CF408" s="195"/>
      <c r="CG408" s="256"/>
    </row>
    <row r="409" spans="1:85" s="254" customFormat="1" ht="13.9" customHeight="1" x14ac:dyDescent="0.2">
      <c r="A409" s="255" t="s">
        <v>126</v>
      </c>
      <c r="B409" s="187">
        <v>14</v>
      </c>
      <c r="C409" s="248" t="s">
        <v>129</v>
      </c>
      <c r="D409" s="197" t="s">
        <v>52</v>
      </c>
      <c r="E409" s="199">
        <v>35200000</v>
      </c>
      <c r="F409" s="199">
        <f>188571850+52198070</f>
        <v>240769920</v>
      </c>
      <c r="G409" s="199"/>
      <c r="H409" s="197" t="s">
        <v>132</v>
      </c>
      <c r="I409" s="248" t="s">
        <v>506</v>
      </c>
      <c r="J409" s="187">
        <v>1</v>
      </c>
      <c r="K409" s="187">
        <v>1</v>
      </c>
      <c r="L409" s="187">
        <v>10</v>
      </c>
      <c r="M409" s="172">
        <f t="shared" si="68"/>
        <v>1</v>
      </c>
      <c r="N409" s="180" t="s">
        <v>53</v>
      </c>
      <c r="O409" s="181" t="str">
        <f>IF(ISBLANK(N409),"",VLOOKUP(N409,[2]Parámetros!$G$2:$H$23,2,FALSE))</f>
        <v>Seléccion abreviada - acuerdo marco</v>
      </c>
      <c r="P409" s="249">
        <f t="shared" si="66"/>
        <v>1</v>
      </c>
      <c r="Q409" s="183">
        <f t="shared" si="69"/>
        <v>275969920</v>
      </c>
      <c r="R409" s="183">
        <f t="shared" si="70"/>
        <v>240769920</v>
      </c>
      <c r="S409" s="250">
        <v>0</v>
      </c>
      <c r="T409" s="249">
        <f t="shared" si="67"/>
        <v>0</v>
      </c>
      <c r="U409" s="185" t="str">
        <f t="shared" si="71"/>
        <v>SUBDIRECCION DE GESTION CONTRACTUAL</v>
      </c>
      <c r="V409" s="249" t="str">
        <f t="shared" si="64"/>
        <v>CO-DC</v>
      </c>
      <c r="W409" s="249" t="str">
        <f t="shared" si="65"/>
        <v>Distrito Capital de Bogotá</v>
      </c>
      <c r="X409" s="197" t="s">
        <v>504</v>
      </c>
      <c r="Y409" s="187">
        <v>2427400</v>
      </c>
      <c r="Z409" s="201" t="s">
        <v>131</v>
      </c>
      <c r="AA409" s="252"/>
      <c r="AB409" s="252"/>
      <c r="AC409" s="252"/>
      <c r="AD409" s="252"/>
      <c r="AE409" s="252"/>
      <c r="AF409" s="252"/>
      <c r="AG409" s="252"/>
      <c r="AH409" s="252"/>
      <c r="AI409" s="252"/>
      <c r="AJ409" s="252"/>
      <c r="AK409" s="252"/>
      <c r="AL409" s="252"/>
      <c r="AM409" s="252"/>
      <c r="AN409" s="252"/>
      <c r="AO409" s="252"/>
      <c r="AP409" s="252"/>
      <c r="AQ409" s="252"/>
      <c r="AR409" s="252"/>
      <c r="AS409" s="252"/>
      <c r="AT409" s="252"/>
      <c r="AU409" s="195"/>
      <c r="AV409" s="195"/>
      <c r="AW409" s="195"/>
      <c r="AX409" s="195"/>
      <c r="AY409" s="195"/>
      <c r="AZ409" s="195"/>
      <c r="BA409" s="195"/>
      <c r="BB409" s="195"/>
      <c r="BC409" s="195"/>
      <c r="BD409" s="195"/>
      <c r="BE409" s="195"/>
      <c r="BF409" s="195"/>
      <c r="BG409" s="195"/>
      <c r="BH409" s="195"/>
      <c r="BI409" s="195"/>
      <c r="BJ409" s="195"/>
      <c r="BK409" s="195"/>
      <c r="BL409" s="195"/>
      <c r="BM409" s="195"/>
      <c r="BN409" s="195"/>
      <c r="BO409" s="195"/>
      <c r="BP409" s="195"/>
      <c r="BQ409" s="195"/>
      <c r="BR409" s="195"/>
      <c r="BS409" s="195"/>
      <c r="BT409" s="195"/>
      <c r="BU409" s="195"/>
      <c r="BV409" s="195"/>
      <c r="BW409" s="195"/>
      <c r="BX409" s="195"/>
      <c r="BY409" s="195"/>
      <c r="BZ409" s="195"/>
      <c r="CA409" s="195"/>
      <c r="CB409" s="195"/>
      <c r="CC409" s="195"/>
      <c r="CD409" s="195"/>
      <c r="CE409" s="195"/>
      <c r="CF409" s="195"/>
      <c r="CG409" s="256"/>
    </row>
    <row r="410" spans="1:85" s="254" customFormat="1" ht="13.9" customHeight="1" x14ac:dyDescent="0.2">
      <c r="A410" s="255" t="s">
        <v>126</v>
      </c>
      <c r="B410" s="187">
        <v>15</v>
      </c>
      <c r="C410" s="248" t="s">
        <v>129</v>
      </c>
      <c r="D410" s="197" t="s">
        <v>52</v>
      </c>
      <c r="E410" s="199"/>
      <c r="F410" s="199">
        <v>40000000</v>
      </c>
      <c r="G410" s="199"/>
      <c r="H410" s="197" t="s">
        <v>132</v>
      </c>
      <c r="I410" s="248" t="s">
        <v>507</v>
      </c>
      <c r="J410" s="187">
        <v>10</v>
      </c>
      <c r="K410" s="187">
        <v>10</v>
      </c>
      <c r="L410" s="187">
        <v>12</v>
      </c>
      <c r="M410" s="172">
        <f t="shared" si="68"/>
        <v>1</v>
      </c>
      <c r="N410" s="180" t="s">
        <v>53</v>
      </c>
      <c r="O410" s="181" t="str">
        <f>IF(ISBLANK(N410),"",VLOOKUP(N410,[2]Parámetros!$G$2:$H$23,2,FALSE))</f>
        <v>Seléccion abreviada - acuerdo marco</v>
      </c>
      <c r="P410" s="249">
        <f t="shared" si="66"/>
        <v>1</v>
      </c>
      <c r="Q410" s="183">
        <f t="shared" si="69"/>
        <v>40000000</v>
      </c>
      <c r="R410" s="183">
        <f t="shared" si="70"/>
        <v>40000000</v>
      </c>
      <c r="S410" s="250" t="s">
        <v>223</v>
      </c>
      <c r="T410" s="249">
        <f t="shared" si="67"/>
        <v>0</v>
      </c>
      <c r="U410" s="185" t="str">
        <f t="shared" si="71"/>
        <v>SUBDIRECCION DE GESTION CONTRACTUAL</v>
      </c>
      <c r="V410" s="249" t="str">
        <f t="shared" si="64"/>
        <v>CO-DC</v>
      </c>
      <c r="W410" s="249" t="str">
        <f t="shared" si="65"/>
        <v>Distrito Capital de Bogotá</v>
      </c>
      <c r="X410" s="197" t="s">
        <v>504</v>
      </c>
      <c r="Y410" s="187">
        <v>2427400</v>
      </c>
      <c r="Z410" s="201" t="s">
        <v>131</v>
      </c>
      <c r="AA410" s="252"/>
      <c r="AB410" s="252"/>
      <c r="AC410" s="252"/>
      <c r="AD410" s="252"/>
      <c r="AE410" s="252"/>
      <c r="AF410" s="252"/>
      <c r="AG410" s="252"/>
      <c r="AH410" s="252"/>
      <c r="AI410" s="252"/>
      <c r="AJ410" s="252"/>
      <c r="AK410" s="252"/>
      <c r="AL410" s="252"/>
      <c r="AM410" s="252"/>
      <c r="AN410" s="252"/>
      <c r="AO410" s="252"/>
      <c r="AP410" s="252"/>
      <c r="AQ410" s="252"/>
      <c r="AR410" s="252"/>
      <c r="AS410" s="252"/>
      <c r="AT410" s="252"/>
      <c r="AU410" s="195"/>
      <c r="AV410" s="195"/>
      <c r="AW410" s="195"/>
      <c r="AX410" s="195"/>
      <c r="AY410" s="195"/>
      <c r="AZ410" s="195"/>
      <c r="BA410" s="195"/>
      <c r="BB410" s="195"/>
      <c r="BC410" s="195"/>
      <c r="BD410" s="195"/>
      <c r="BE410" s="195"/>
      <c r="BF410" s="195"/>
      <c r="BG410" s="195"/>
      <c r="BH410" s="195"/>
      <c r="BI410" s="195"/>
      <c r="BJ410" s="195"/>
      <c r="BK410" s="195"/>
      <c r="BL410" s="195"/>
      <c r="BM410" s="195"/>
      <c r="BN410" s="195"/>
      <c r="BO410" s="195"/>
      <c r="BP410" s="195"/>
      <c r="BQ410" s="195"/>
      <c r="BR410" s="195"/>
      <c r="BS410" s="195"/>
      <c r="BT410" s="195"/>
      <c r="BU410" s="195"/>
      <c r="BV410" s="195"/>
      <c r="BW410" s="195"/>
      <c r="BX410" s="195"/>
      <c r="BY410" s="195"/>
      <c r="BZ410" s="195"/>
      <c r="CA410" s="195"/>
      <c r="CB410" s="195"/>
      <c r="CC410" s="195"/>
      <c r="CD410" s="195"/>
      <c r="CE410" s="195"/>
      <c r="CF410" s="195"/>
      <c r="CG410" s="256"/>
    </row>
    <row r="411" spans="1:85" s="254" customFormat="1" ht="13.9" customHeight="1" x14ac:dyDescent="0.2">
      <c r="A411" s="255" t="s">
        <v>126</v>
      </c>
      <c r="B411" s="187">
        <v>16</v>
      </c>
      <c r="C411" s="248" t="s">
        <v>129</v>
      </c>
      <c r="D411" s="197" t="s">
        <v>52</v>
      </c>
      <c r="E411" s="199"/>
      <c r="F411" s="199">
        <v>54545000</v>
      </c>
      <c r="G411" s="199"/>
      <c r="H411" s="197" t="s">
        <v>130</v>
      </c>
      <c r="I411" s="248" t="s">
        <v>508</v>
      </c>
      <c r="J411" s="187">
        <v>3</v>
      </c>
      <c r="K411" s="187">
        <v>3</v>
      </c>
      <c r="L411" s="187">
        <v>9</v>
      </c>
      <c r="M411" s="172">
        <f t="shared" si="68"/>
        <v>1</v>
      </c>
      <c r="N411" s="180" t="s">
        <v>53</v>
      </c>
      <c r="O411" s="181" t="str">
        <f>IF(ISBLANK(N411),"",VLOOKUP(N411,[2]Parámetros!$G$2:$H$23,2,FALSE))</f>
        <v>Seléccion abreviada - acuerdo marco</v>
      </c>
      <c r="P411" s="249">
        <f t="shared" ref="P411:P442" si="72">IF(ISBLANK(N411),"",1)</f>
        <v>1</v>
      </c>
      <c r="Q411" s="183">
        <f t="shared" si="69"/>
        <v>54545000</v>
      </c>
      <c r="R411" s="183">
        <f t="shared" si="70"/>
        <v>54545000</v>
      </c>
      <c r="S411" s="250" t="s">
        <v>223</v>
      </c>
      <c r="T411" s="249">
        <f t="shared" ref="T411:T442" si="73">IF(ISBLANK(S411),"",IF(VALUE(S411)=0,0,IF(VALUE(S411)=1,3,"")))</f>
        <v>0</v>
      </c>
      <c r="U411" s="185" t="str">
        <f t="shared" si="71"/>
        <v>SUBDIRECCION DE GESTION CONTRACTUAL</v>
      </c>
      <c r="V411" s="249" t="str">
        <f t="shared" si="64"/>
        <v>CO-DC</v>
      </c>
      <c r="W411" s="249" t="str">
        <f t="shared" si="65"/>
        <v>Distrito Capital de Bogotá</v>
      </c>
      <c r="X411" s="197" t="s">
        <v>504</v>
      </c>
      <c r="Y411" s="187">
        <v>2427400</v>
      </c>
      <c r="Z411" s="201" t="s">
        <v>131</v>
      </c>
      <c r="AA411" s="252"/>
      <c r="AB411" s="252"/>
      <c r="AC411" s="252"/>
      <c r="AD411" s="252"/>
      <c r="AE411" s="252"/>
      <c r="AF411" s="252"/>
      <c r="AG411" s="252"/>
      <c r="AH411" s="252"/>
      <c r="AI411" s="252"/>
      <c r="AJ411" s="252"/>
      <c r="AK411" s="252"/>
      <c r="AL411" s="252"/>
      <c r="AM411" s="252"/>
      <c r="AN411" s="252"/>
      <c r="AO411" s="252"/>
      <c r="AP411" s="252"/>
      <c r="AQ411" s="252"/>
      <c r="AR411" s="252"/>
      <c r="AS411" s="252"/>
      <c r="AT411" s="252"/>
      <c r="AU411" s="195"/>
      <c r="AV411" s="195"/>
      <c r="AW411" s="195"/>
      <c r="AX411" s="195"/>
      <c r="AY411" s="195"/>
      <c r="AZ411" s="195"/>
      <c r="BA411" s="195"/>
      <c r="BB411" s="195"/>
      <c r="BC411" s="195"/>
      <c r="BD411" s="195"/>
      <c r="BE411" s="195"/>
      <c r="BF411" s="195"/>
      <c r="BG411" s="195"/>
      <c r="BH411" s="195"/>
      <c r="BI411" s="195"/>
      <c r="BJ411" s="195"/>
      <c r="BK411" s="195"/>
      <c r="BL411" s="195"/>
      <c r="BM411" s="195"/>
      <c r="BN411" s="195"/>
      <c r="BO411" s="195"/>
      <c r="BP411" s="195"/>
      <c r="BQ411" s="195"/>
      <c r="BR411" s="195"/>
      <c r="BS411" s="195"/>
      <c r="BT411" s="195"/>
      <c r="BU411" s="195"/>
      <c r="BV411" s="195"/>
      <c r="BW411" s="195"/>
      <c r="BX411" s="195"/>
      <c r="BY411" s="195"/>
      <c r="BZ411" s="195"/>
      <c r="CA411" s="195"/>
      <c r="CB411" s="195"/>
      <c r="CC411" s="195"/>
      <c r="CD411" s="195"/>
      <c r="CE411" s="195"/>
      <c r="CF411" s="195"/>
      <c r="CG411" s="256"/>
    </row>
    <row r="412" spans="1:85" s="254" customFormat="1" ht="13.9" customHeight="1" x14ac:dyDescent="0.2">
      <c r="A412" s="255" t="s">
        <v>126</v>
      </c>
      <c r="B412" s="187">
        <v>17</v>
      </c>
      <c r="C412" s="248" t="s">
        <v>129</v>
      </c>
      <c r="D412" s="197" t="s">
        <v>133</v>
      </c>
      <c r="E412" s="199"/>
      <c r="F412" s="199">
        <v>6576887</v>
      </c>
      <c r="G412" s="199"/>
      <c r="H412" s="197" t="s">
        <v>134</v>
      </c>
      <c r="I412" s="248" t="s">
        <v>509</v>
      </c>
      <c r="J412" s="187">
        <v>4</v>
      </c>
      <c r="K412" s="187">
        <v>5</v>
      </c>
      <c r="L412" s="187">
        <v>2</v>
      </c>
      <c r="M412" s="172">
        <f t="shared" si="68"/>
        <v>1</v>
      </c>
      <c r="N412" s="180" t="s">
        <v>53</v>
      </c>
      <c r="O412" s="181" t="str">
        <f>IF(ISBLANK(N412),"",VLOOKUP(N412,[2]Parámetros!$G$2:$H$23,2,FALSE))</f>
        <v>Seléccion abreviada - acuerdo marco</v>
      </c>
      <c r="P412" s="249">
        <f t="shared" si="72"/>
        <v>1</v>
      </c>
      <c r="Q412" s="183">
        <f t="shared" si="69"/>
        <v>6576887</v>
      </c>
      <c r="R412" s="183">
        <f t="shared" si="70"/>
        <v>6576887</v>
      </c>
      <c r="S412" s="250" t="s">
        <v>223</v>
      </c>
      <c r="T412" s="249">
        <f t="shared" si="73"/>
        <v>0</v>
      </c>
      <c r="U412" s="185" t="str">
        <f t="shared" si="71"/>
        <v>SUBDIRECCION DE GESTION CONTRACTUAL</v>
      </c>
      <c r="V412" s="249" t="str">
        <f t="shared" si="64"/>
        <v>CO-DC</v>
      </c>
      <c r="W412" s="249" t="str">
        <f t="shared" si="65"/>
        <v>Distrito Capital de Bogotá</v>
      </c>
      <c r="X412" s="197" t="s">
        <v>504</v>
      </c>
      <c r="Y412" s="187">
        <v>2427400</v>
      </c>
      <c r="Z412" s="201" t="s">
        <v>131</v>
      </c>
      <c r="AA412" s="252"/>
      <c r="AB412" s="252"/>
      <c r="AC412" s="252"/>
      <c r="AD412" s="252"/>
      <c r="AE412" s="252"/>
      <c r="AF412" s="252"/>
      <c r="AG412" s="252"/>
      <c r="AH412" s="252"/>
      <c r="AI412" s="252"/>
      <c r="AJ412" s="252"/>
      <c r="AK412" s="252"/>
      <c r="AL412" s="252"/>
      <c r="AM412" s="252"/>
      <c r="AN412" s="252"/>
      <c r="AO412" s="252"/>
      <c r="AP412" s="252"/>
      <c r="AQ412" s="252"/>
      <c r="AR412" s="252"/>
      <c r="AS412" s="252"/>
      <c r="AT412" s="252"/>
      <c r="AU412" s="195"/>
      <c r="AV412" s="195"/>
      <c r="AW412" s="195"/>
      <c r="AX412" s="195"/>
      <c r="AY412" s="195"/>
      <c r="AZ412" s="195"/>
      <c r="BA412" s="195"/>
      <c r="BB412" s="195"/>
      <c r="BC412" s="195"/>
      <c r="BD412" s="195"/>
      <c r="BE412" s="195"/>
      <c r="BF412" s="195"/>
      <c r="BG412" s="195"/>
      <c r="BH412" s="195"/>
      <c r="BI412" s="195"/>
      <c r="BJ412" s="195"/>
      <c r="BK412" s="195"/>
      <c r="BL412" s="195"/>
      <c r="BM412" s="195"/>
      <c r="BN412" s="195"/>
      <c r="BO412" s="195"/>
      <c r="BP412" s="195"/>
      <c r="BQ412" s="195"/>
      <c r="BR412" s="195"/>
      <c r="BS412" s="195"/>
      <c r="BT412" s="195"/>
      <c r="BU412" s="195"/>
      <c r="BV412" s="195"/>
      <c r="BW412" s="195"/>
      <c r="BX412" s="195"/>
      <c r="BY412" s="195"/>
      <c r="BZ412" s="195"/>
      <c r="CA412" s="195"/>
      <c r="CB412" s="195"/>
      <c r="CC412" s="195"/>
      <c r="CD412" s="195"/>
      <c r="CE412" s="195"/>
      <c r="CF412" s="195"/>
      <c r="CG412" s="256"/>
    </row>
    <row r="413" spans="1:85" s="254" customFormat="1" ht="13.9" customHeight="1" x14ac:dyDescent="0.2">
      <c r="A413" s="255" t="s">
        <v>126</v>
      </c>
      <c r="B413" s="187">
        <v>18</v>
      </c>
      <c r="C413" s="248" t="s">
        <v>129</v>
      </c>
      <c r="D413" s="197" t="s">
        <v>135</v>
      </c>
      <c r="E413" s="199"/>
      <c r="F413" s="199">
        <v>3138188</v>
      </c>
      <c r="G413" s="199"/>
      <c r="H413" s="197" t="s">
        <v>134</v>
      </c>
      <c r="I413" s="248" t="s">
        <v>509</v>
      </c>
      <c r="J413" s="187">
        <v>4</v>
      </c>
      <c r="K413" s="187">
        <v>5</v>
      </c>
      <c r="L413" s="187">
        <v>2</v>
      </c>
      <c r="M413" s="172">
        <f t="shared" si="68"/>
        <v>1</v>
      </c>
      <c r="N413" s="180" t="s">
        <v>53</v>
      </c>
      <c r="O413" s="181" t="str">
        <f>IF(ISBLANK(N413),"",VLOOKUP(N413,[2]Parámetros!$G$2:$H$23,2,FALSE))</f>
        <v>Seléccion abreviada - acuerdo marco</v>
      </c>
      <c r="P413" s="249">
        <f t="shared" si="72"/>
        <v>1</v>
      </c>
      <c r="Q413" s="183">
        <f t="shared" si="69"/>
        <v>3138188</v>
      </c>
      <c r="R413" s="183">
        <f t="shared" si="70"/>
        <v>3138188</v>
      </c>
      <c r="S413" s="250" t="s">
        <v>223</v>
      </c>
      <c r="T413" s="249">
        <f t="shared" si="73"/>
        <v>0</v>
      </c>
      <c r="U413" s="185" t="str">
        <f t="shared" si="71"/>
        <v>SUBDIRECCION DE GESTION CONTRACTUAL</v>
      </c>
      <c r="V413" s="249" t="str">
        <f t="shared" si="64"/>
        <v>CO-DC</v>
      </c>
      <c r="W413" s="249" t="str">
        <f t="shared" si="65"/>
        <v>Distrito Capital de Bogotá</v>
      </c>
      <c r="X413" s="197" t="s">
        <v>504</v>
      </c>
      <c r="Y413" s="187">
        <v>2427400</v>
      </c>
      <c r="Z413" s="201" t="s">
        <v>131</v>
      </c>
      <c r="AA413" s="252"/>
      <c r="AB413" s="252"/>
      <c r="AC413" s="252"/>
      <c r="AD413" s="252"/>
      <c r="AE413" s="252"/>
      <c r="AF413" s="252"/>
      <c r="AG413" s="252"/>
      <c r="AH413" s="252"/>
      <c r="AI413" s="252"/>
      <c r="AJ413" s="252"/>
      <c r="AK413" s="252"/>
      <c r="AL413" s="252"/>
      <c r="AM413" s="252"/>
      <c r="AN413" s="252"/>
      <c r="AO413" s="252"/>
      <c r="AP413" s="252"/>
      <c r="AQ413" s="252"/>
      <c r="AR413" s="252"/>
      <c r="AS413" s="252"/>
      <c r="AT413" s="252"/>
      <c r="AU413" s="195"/>
      <c r="AV413" s="195"/>
      <c r="AW413" s="195"/>
      <c r="AX413" s="195"/>
      <c r="AY413" s="195"/>
      <c r="AZ413" s="195"/>
      <c r="BA413" s="195"/>
      <c r="BB413" s="195"/>
      <c r="BC413" s="195"/>
      <c r="BD413" s="195"/>
      <c r="BE413" s="195"/>
      <c r="BF413" s="195"/>
      <c r="BG413" s="195"/>
      <c r="BH413" s="195"/>
      <c r="BI413" s="195"/>
      <c r="BJ413" s="195"/>
      <c r="BK413" s="195"/>
      <c r="BL413" s="195"/>
      <c r="BM413" s="195"/>
      <c r="BN413" s="195"/>
      <c r="BO413" s="195"/>
      <c r="BP413" s="195"/>
      <c r="BQ413" s="195"/>
      <c r="BR413" s="195"/>
      <c r="BS413" s="195"/>
      <c r="BT413" s="195"/>
      <c r="BU413" s="195"/>
      <c r="BV413" s="195"/>
      <c r="BW413" s="195"/>
      <c r="BX413" s="195"/>
      <c r="BY413" s="195"/>
      <c r="BZ413" s="195"/>
      <c r="CA413" s="195"/>
      <c r="CB413" s="195"/>
      <c r="CC413" s="195"/>
      <c r="CD413" s="195"/>
      <c r="CE413" s="195"/>
      <c r="CF413" s="195"/>
      <c r="CG413" s="256"/>
    </row>
    <row r="414" spans="1:85" s="185" customFormat="1" ht="12.75" customHeight="1" x14ac:dyDescent="0.2">
      <c r="A414" s="255" t="s">
        <v>126</v>
      </c>
      <c r="B414" s="187">
        <v>19</v>
      </c>
      <c r="C414" s="248" t="s">
        <v>129</v>
      </c>
      <c r="D414" s="197" t="s">
        <v>125</v>
      </c>
      <c r="E414" s="199"/>
      <c r="F414" s="199">
        <v>12495000</v>
      </c>
      <c r="G414" s="199"/>
      <c r="H414" s="197" t="s">
        <v>786</v>
      </c>
      <c r="I414" s="248" t="s">
        <v>510</v>
      </c>
      <c r="J414" s="187">
        <v>3</v>
      </c>
      <c r="K414" s="187">
        <v>5</v>
      </c>
      <c r="L414" s="187">
        <v>6</v>
      </c>
      <c r="M414" s="172">
        <f t="shared" si="68"/>
        <v>1</v>
      </c>
      <c r="N414" s="180" t="s">
        <v>329</v>
      </c>
      <c r="O414" s="181" t="str">
        <f>IF(ISBLANK(N414),"",VLOOKUP(N414,[2]Parámetros!$G$2:$H$23,2,FALSE))</f>
        <v>Selección abreviada menor cuantía</v>
      </c>
      <c r="P414" s="249">
        <f t="shared" si="72"/>
        <v>1</v>
      </c>
      <c r="Q414" s="183">
        <f t="shared" si="69"/>
        <v>12495000</v>
      </c>
      <c r="R414" s="183">
        <f t="shared" si="70"/>
        <v>12495000</v>
      </c>
      <c r="S414" s="250" t="s">
        <v>223</v>
      </c>
      <c r="T414" s="249">
        <f t="shared" si="73"/>
        <v>0</v>
      </c>
      <c r="U414" s="185" t="str">
        <f t="shared" si="71"/>
        <v>SUBDIRECCION DE GESTION CONTRACTUAL</v>
      </c>
      <c r="V414" s="249" t="str">
        <f t="shared" si="64"/>
        <v>CO-DC</v>
      </c>
      <c r="W414" s="249" t="str">
        <f t="shared" si="65"/>
        <v>Distrito Capital de Bogotá</v>
      </c>
      <c r="X414" s="197" t="s">
        <v>73</v>
      </c>
      <c r="Y414" s="187">
        <v>2427400</v>
      </c>
      <c r="Z414" s="201" t="s">
        <v>74</v>
      </c>
      <c r="AA414" s="252"/>
      <c r="AB414" s="252"/>
      <c r="AC414" s="252"/>
      <c r="AD414" s="252"/>
      <c r="AE414" s="252"/>
      <c r="AF414" s="252"/>
      <c r="AG414" s="252"/>
      <c r="AH414" s="252"/>
      <c r="AI414" s="252"/>
      <c r="AJ414" s="252"/>
      <c r="AK414" s="252"/>
      <c r="AL414" s="252"/>
      <c r="AM414" s="252"/>
      <c r="AN414" s="252"/>
      <c r="AO414" s="252"/>
      <c r="AP414" s="252"/>
      <c r="AQ414" s="252"/>
      <c r="AR414" s="252"/>
      <c r="AS414" s="252"/>
      <c r="AT414" s="252"/>
      <c r="AU414" s="195"/>
      <c r="AV414" s="195"/>
      <c r="AW414" s="195"/>
      <c r="AX414" s="195"/>
      <c r="AY414" s="195"/>
      <c r="AZ414" s="195"/>
      <c r="BA414" s="195"/>
      <c r="BB414" s="195"/>
      <c r="BC414" s="195"/>
      <c r="BD414" s="195"/>
      <c r="BE414" s="195"/>
      <c r="BF414" s="195"/>
      <c r="BG414" s="195"/>
      <c r="BH414" s="195"/>
      <c r="BI414" s="195"/>
      <c r="BJ414" s="195"/>
      <c r="BK414" s="195"/>
      <c r="BL414" s="195"/>
      <c r="BM414" s="195"/>
      <c r="BN414" s="195"/>
      <c r="BO414" s="195"/>
      <c r="BP414" s="195"/>
      <c r="BQ414" s="195"/>
      <c r="BR414" s="195"/>
      <c r="BS414" s="195"/>
      <c r="BT414" s="195"/>
      <c r="BU414" s="195"/>
      <c r="BV414" s="195"/>
      <c r="BW414" s="195"/>
      <c r="BX414" s="195"/>
      <c r="BY414" s="195"/>
      <c r="BZ414" s="195"/>
      <c r="CA414" s="195"/>
      <c r="CB414" s="195"/>
      <c r="CC414" s="195"/>
      <c r="CD414" s="195"/>
      <c r="CE414" s="195"/>
      <c r="CF414" s="195"/>
      <c r="CG414" s="256"/>
    </row>
    <row r="415" spans="1:85" s="254" customFormat="1" ht="13.9" customHeight="1" x14ac:dyDescent="0.2">
      <c r="A415" s="255" t="s">
        <v>126</v>
      </c>
      <c r="B415" s="187">
        <v>20</v>
      </c>
      <c r="C415" s="248" t="s">
        <v>129</v>
      </c>
      <c r="D415" s="197" t="s">
        <v>142</v>
      </c>
      <c r="E415" s="199">
        <v>5158324</v>
      </c>
      <c r="F415" s="199">
        <v>4961995</v>
      </c>
      <c r="G415" s="199"/>
      <c r="H415" s="197">
        <v>78102203</v>
      </c>
      <c r="I415" s="248" t="s">
        <v>511</v>
      </c>
      <c r="J415" s="187">
        <v>1</v>
      </c>
      <c r="K415" s="187">
        <v>1</v>
      </c>
      <c r="L415" s="187">
        <v>9</v>
      </c>
      <c r="M415" s="172">
        <f t="shared" si="68"/>
        <v>1</v>
      </c>
      <c r="N415" s="180" t="s">
        <v>36</v>
      </c>
      <c r="O415" s="181" t="str">
        <f>IF(ISBLANK(N415),"",VLOOKUP(N415,[2]Parámetros!$G$2:$H$23,2,FALSE))</f>
        <v xml:space="preserve">Contratación directa (con ofertas) </v>
      </c>
      <c r="P415" s="249">
        <f t="shared" si="72"/>
        <v>1</v>
      </c>
      <c r="Q415" s="183">
        <f t="shared" si="69"/>
        <v>10120319</v>
      </c>
      <c r="R415" s="183">
        <f t="shared" si="70"/>
        <v>4961995</v>
      </c>
      <c r="S415" s="250" t="s">
        <v>223</v>
      </c>
      <c r="T415" s="249">
        <f t="shared" si="73"/>
        <v>0</v>
      </c>
      <c r="U415" s="185" t="str">
        <f t="shared" si="71"/>
        <v>SUBDIRECCION DE GESTION CONTRACTUAL</v>
      </c>
      <c r="V415" s="249" t="str">
        <f t="shared" si="64"/>
        <v>CO-DC</v>
      </c>
      <c r="W415" s="249" t="str">
        <f t="shared" si="65"/>
        <v>Distrito Capital de Bogotá</v>
      </c>
      <c r="X415" s="197" t="s">
        <v>512</v>
      </c>
      <c r="Y415" s="187">
        <v>2427400</v>
      </c>
      <c r="Z415" s="201" t="s">
        <v>143</v>
      </c>
      <c r="AA415" s="252"/>
      <c r="AB415" s="252"/>
      <c r="AC415" s="252"/>
      <c r="AD415" s="252"/>
      <c r="AE415" s="252"/>
      <c r="AF415" s="252"/>
      <c r="AG415" s="252"/>
      <c r="AH415" s="252"/>
      <c r="AI415" s="252"/>
      <c r="AJ415" s="252"/>
      <c r="AK415" s="252"/>
      <c r="AL415" s="252"/>
      <c r="AM415" s="252"/>
      <c r="AN415" s="252"/>
      <c r="AO415" s="252"/>
      <c r="AP415" s="252"/>
      <c r="AQ415" s="252"/>
      <c r="AR415" s="252"/>
      <c r="AS415" s="252"/>
      <c r="AT415" s="252"/>
      <c r="AU415" s="195"/>
      <c r="AV415" s="195"/>
      <c r="AW415" s="195"/>
      <c r="AX415" s="195"/>
      <c r="AY415" s="195"/>
      <c r="AZ415" s="195"/>
      <c r="BA415" s="195"/>
      <c r="BB415" s="195"/>
      <c r="BC415" s="195"/>
      <c r="BD415" s="195"/>
      <c r="BE415" s="195"/>
      <c r="BF415" s="195"/>
      <c r="BG415" s="195"/>
      <c r="BH415" s="195"/>
      <c r="BI415" s="195"/>
      <c r="BJ415" s="195"/>
      <c r="BK415" s="195"/>
      <c r="BL415" s="195"/>
      <c r="BM415" s="195"/>
      <c r="BN415" s="195"/>
      <c r="BO415" s="195"/>
      <c r="BP415" s="195"/>
      <c r="BQ415" s="195"/>
      <c r="BR415" s="195"/>
      <c r="BS415" s="195"/>
      <c r="BT415" s="195"/>
      <c r="BU415" s="195"/>
      <c r="BV415" s="195"/>
      <c r="BW415" s="195"/>
      <c r="BX415" s="195"/>
      <c r="BY415" s="195"/>
      <c r="BZ415" s="195"/>
      <c r="CA415" s="195"/>
      <c r="CB415" s="195"/>
      <c r="CC415" s="195"/>
      <c r="CD415" s="195"/>
      <c r="CE415" s="195"/>
      <c r="CF415" s="195"/>
      <c r="CG415" s="256"/>
    </row>
    <row r="416" spans="1:85" s="254" customFormat="1" ht="13.9" customHeight="1" x14ac:dyDescent="0.2">
      <c r="A416" s="255" t="s">
        <v>126</v>
      </c>
      <c r="B416" s="187">
        <v>21</v>
      </c>
      <c r="C416" s="248" t="s">
        <v>129</v>
      </c>
      <c r="D416" s="197" t="s">
        <v>142</v>
      </c>
      <c r="E416" s="199"/>
      <c r="F416" s="199">
        <v>3000000</v>
      </c>
      <c r="G416" s="199"/>
      <c r="H416" s="197">
        <v>78102203</v>
      </c>
      <c r="I416" s="248" t="s">
        <v>513</v>
      </c>
      <c r="J416" s="187">
        <v>8</v>
      </c>
      <c r="K416" s="187">
        <v>9</v>
      </c>
      <c r="L416" s="187">
        <v>12</v>
      </c>
      <c r="M416" s="172">
        <f t="shared" si="68"/>
        <v>1</v>
      </c>
      <c r="N416" s="180" t="s">
        <v>36</v>
      </c>
      <c r="O416" s="181" t="str">
        <f>IF(ISBLANK(N416),"",VLOOKUP(N416,[2]Parámetros!$G$2:$H$23,2,FALSE))</f>
        <v xml:space="preserve">Contratación directa (con ofertas) </v>
      </c>
      <c r="P416" s="249">
        <f t="shared" si="72"/>
        <v>1</v>
      </c>
      <c r="Q416" s="183">
        <f t="shared" si="69"/>
        <v>3000000</v>
      </c>
      <c r="R416" s="183">
        <f t="shared" si="70"/>
        <v>3000000</v>
      </c>
      <c r="S416" s="250" t="s">
        <v>226</v>
      </c>
      <c r="T416" s="249">
        <f t="shared" si="73"/>
        <v>3</v>
      </c>
      <c r="U416" s="185" t="str">
        <f t="shared" si="71"/>
        <v>SUBDIRECCION DE GESTION CONTRACTUAL</v>
      </c>
      <c r="V416" s="249" t="str">
        <f t="shared" si="64"/>
        <v>CO-DC</v>
      </c>
      <c r="W416" s="249" t="str">
        <f t="shared" si="65"/>
        <v>Distrito Capital de Bogotá</v>
      </c>
      <c r="X416" s="197" t="s">
        <v>512</v>
      </c>
      <c r="Y416" s="187">
        <v>2427400</v>
      </c>
      <c r="Z416" s="201" t="s">
        <v>143</v>
      </c>
      <c r="AA416" s="252"/>
      <c r="AB416" s="252"/>
      <c r="AC416" s="252"/>
      <c r="AD416" s="252"/>
      <c r="AE416" s="252"/>
      <c r="AF416" s="252"/>
      <c r="AG416" s="252"/>
      <c r="AH416" s="252"/>
      <c r="AI416" s="252"/>
      <c r="AJ416" s="252"/>
      <c r="AK416" s="252"/>
      <c r="AL416" s="252"/>
      <c r="AM416" s="252"/>
      <c r="AN416" s="252"/>
      <c r="AO416" s="252"/>
      <c r="AP416" s="252"/>
      <c r="AQ416" s="252"/>
      <c r="AR416" s="252"/>
      <c r="AS416" s="252"/>
      <c r="AT416" s="252"/>
      <c r="AU416" s="195"/>
      <c r="AV416" s="195"/>
      <c r="AW416" s="195"/>
      <c r="AX416" s="195"/>
      <c r="AY416" s="195"/>
      <c r="AZ416" s="195"/>
      <c r="BA416" s="195"/>
      <c r="BB416" s="195"/>
      <c r="BC416" s="195"/>
      <c r="BD416" s="195"/>
      <c r="BE416" s="195"/>
      <c r="BF416" s="195"/>
      <c r="BG416" s="195"/>
      <c r="BH416" s="195"/>
      <c r="BI416" s="195"/>
      <c r="BJ416" s="195"/>
      <c r="BK416" s="195"/>
      <c r="BL416" s="195"/>
      <c r="BM416" s="195"/>
      <c r="BN416" s="195"/>
      <c r="BO416" s="195"/>
      <c r="BP416" s="195"/>
      <c r="BQ416" s="195"/>
      <c r="BR416" s="195"/>
      <c r="BS416" s="195"/>
      <c r="BT416" s="195"/>
      <c r="BU416" s="195"/>
      <c r="BV416" s="195"/>
      <c r="BW416" s="195"/>
      <c r="BX416" s="195"/>
      <c r="BY416" s="195"/>
      <c r="BZ416" s="195"/>
      <c r="CA416" s="195"/>
      <c r="CB416" s="195"/>
      <c r="CC416" s="195"/>
      <c r="CD416" s="195"/>
      <c r="CE416" s="195"/>
      <c r="CF416" s="195"/>
      <c r="CG416" s="256"/>
    </row>
    <row r="417" spans="1:85" s="254" customFormat="1" ht="13.9" customHeight="1" x14ac:dyDescent="0.2">
      <c r="A417" s="255" t="s">
        <v>126</v>
      </c>
      <c r="B417" s="187">
        <v>22</v>
      </c>
      <c r="C417" s="248" t="s">
        <v>129</v>
      </c>
      <c r="D417" s="197" t="s">
        <v>56</v>
      </c>
      <c r="E417" s="199"/>
      <c r="F417" s="199">
        <v>0</v>
      </c>
      <c r="G417" s="199"/>
      <c r="H417" s="197" t="s">
        <v>248</v>
      </c>
      <c r="I417" s="248" t="s">
        <v>514</v>
      </c>
      <c r="J417" s="187">
        <v>2</v>
      </c>
      <c r="K417" s="187">
        <v>3</v>
      </c>
      <c r="L417" s="187">
        <v>24</v>
      </c>
      <c r="M417" s="172">
        <f t="shared" si="68"/>
        <v>1</v>
      </c>
      <c r="N417" s="180" t="s">
        <v>481</v>
      </c>
      <c r="O417" s="181" t="str">
        <f>IF(ISBLANK(N417),"",VLOOKUP(N417,[2]Parámetros!$G$2:$H$23,2,FALSE))</f>
        <v>Concurso de méritos abierto</v>
      </c>
      <c r="P417" s="249">
        <f t="shared" si="72"/>
        <v>1</v>
      </c>
      <c r="Q417" s="183">
        <f t="shared" si="69"/>
        <v>0</v>
      </c>
      <c r="R417" s="183">
        <f t="shared" si="70"/>
        <v>0</v>
      </c>
      <c r="S417" s="250" t="s">
        <v>223</v>
      </c>
      <c r="T417" s="249">
        <f t="shared" si="73"/>
        <v>0</v>
      </c>
      <c r="U417" s="185" t="str">
        <f t="shared" si="71"/>
        <v>SUBDIRECCION DE GESTION CONTRACTUAL</v>
      </c>
      <c r="V417" s="249" t="str">
        <f t="shared" si="64"/>
        <v>CO-DC</v>
      </c>
      <c r="W417" s="249" t="str">
        <f t="shared" si="65"/>
        <v>Distrito Capital de Bogotá</v>
      </c>
      <c r="X417" s="197" t="s">
        <v>515</v>
      </c>
      <c r="Y417" s="187">
        <v>2427400</v>
      </c>
      <c r="Z417" s="201" t="s">
        <v>516</v>
      </c>
      <c r="AA417" s="252"/>
      <c r="AB417" s="252"/>
      <c r="AC417" s="252"/>
      <c r="AD417" s="252"/>
      <c r="AE417" s="252"/>
      <c r="AF417" s="252"/>
      <c r="AG417" s="252"/>
      <c r="AH417" s="252"/>
      <c r="AI417" s="252"/>
      <c r="AJ417" s="252"/>
      <c r="AK417" s="252"/>
      <c r="AL417" s="252"/>
      <c r="AM417" s="252"/>
      <c r="AN417" s="252"/>
      <c r="AO417" s="252"/>
      <c r="AP417" s="252"/>
      <c r="AQ417" s="252"/>
      <c r="AR417" s="252"/>
      <c r="AS417" s="252"/>
      <c r="AT417" s="252"/>
      <c r="AU417" s="195"/>
      <c r="AV417" s="195"/>
      <c r="AW417" s="195"/>
      <c r="AX417" s="195"/>
      <c r="AY417" s="195"/>
      <c r="AZ417" s="195"/>
      <c r="BA417" s="195"/>
      <c r="BB417" s="195"/>
      <c r="BC417" s="195"/>
      <c r="BD417" s="195"/>
      <c r="BE417" s="195"/>
      <c r="BF417" s="195"/>
      <c r="BG417" s="195"/>
      <c r="BH417" s="195"/>
      <c r="BI417" s="195"/>
      <c r="BJ417" s="195"/>
      <c r="BK417" s="195"/>
      <c r="BL417" s="195"/>
      <c r="BM417" s="195"/>
      <c r="BN417" s="195"/>
      <c r="BO417" s="195"/>
      <c r="BP417" s="195"/>
      <c r="BQ417" s="195"/>
      <c r="BR417" s="195"/>
      <c r="BS417" s="195"/>
      <c r="BT417" s="195"/>
      <c r="BU417" s="195"/>
      <c r="BV417" s="195"/>
      <c r="BW417" s="195"/>
      <c r="BX417" s="195"/>
      <c r="BY417" s="195"/>
      <c r="BZ417" s="195"/>
      <c r="CA417" s="195"/>
      <c r="CB417" s="195"/>
      <c r="CC417" s="195"/>
      <c r="CD417" s="195"/>
      <c r="CE417" s="195"/>
      <c r="CF417" s="195"/>
      <c r="CG417" s="256"/>
    </row>
    <row r="418" spans="1:85" s="254" customFormat="1" ht="13.9" customHeight="1" x14ac:dyDescent="0.2">
      <c r="A418" s="255" t="s">
        <v>126</v>
      </c>
      <c r="B418" s="187">
        <v>23</v>
      </c>
      <c r="C418" s="248" t="s">
        <v>129</v>
      </c>
      <c r="D418" s="197" t="s">
        <v>56</v>
      </c>
      <c r="E418" s="199"/>
      <c r="F418" s="199">
        <f>327270000+100000000</f>
        <v>427270000</v>
      </c>
      <c r="G418" s="199"/>
      <c r="H418" s="197" t="s">
        <v>248</v>
      </c>
      <c r="I418" s="248" t="s">
        <v>517</v>
      </c>
      <c r="J418" s="187">
        <v>4</v>
      </c>
      <c r="K418" s="187">
        <v>5</v>
      </c>
      <c r="L418" s="187">
        <v>12</v>
      </c>
      <c r="M418" s="172">
        <f t="shared" si="68"/>
        <v>1</v>
      </c>
      <c r="N418" s="180" t="s">
        <v>329</v>
      </c>
      <c r="O418" s="181" t="str">
        <f>IF(ISBLANK(N418),"",VLOOKUP(N418,[2]Parámetros!$G$2:$H$23,2,FALSE))</f>
        <v>Selección abreviada menor cuantía</v>
      </c>
      <c r="P418" s="249">
        <f t="shared" si="72"/>
        <v>1</v>
      </c>
      <c r="Q418" s="183">
        <f t="shared" si="69"/>
        <v>427270000</v>
      </c>
      <c r="R418" s="183">
        <f t="shared" si="70"/>
        <v>427270000</v>
      </c>
      <c r="S418" s="250" t="s">
        <v>226</v>
      </c>
      <c r="T418" s="249">
        <f t="shared" si="73"/>
        <v>3</v>
      </c>
      <c r="U418" s="185" t="str">
        <f t="shared" si="71"/>
        <v>SUBDIRECCION DE GESTION CONTRACTUAL</v>
      </c>
      <c r="V418" s="249" t="str">
        <f t="shared" si="64"/>
        <v>CO-DC</v>
      </c>
      <c r="W418" s="249" t="str">
        <f t="shared" si="65"/>
        <v>Distrito Capital de Bogotá</v>
      </c>
      <c r="X418" s="197" t="s">
        <v>515</v>
      </c>
      <c r="Y418" s="187">
        <v>2427400</v>
      </c>
      <c r="Z418" s="201" t="s">
        <v>516</v>
      </c>
      <c r="AA418" s="252"/>
      <c r="AB418" s="252"/>
      <c r="AC418" s="252"/>
      <c r="AD418" s="252"/>
      <c r="AE418" s="252"/>
      <c r="AF418" s="252"/>
      <c r="AG418" s="252"/>
      <c r="AH418" s="252"/>
      <c r="AI418" s="252"/>
      <c r="AJ418" s="252"/>
      <c r="AK418" s="252"/>
      <c r="AL418" s="252"/>
      <c r="AM418" s="252"/>
      <c r="AN418" s="252"/>
      <c r="AO418" s="252"/>
      <c r="AP418" s="252"/>
      <c r="AQ418" s="252"/>
      <c r="AR418" s="252"/>
      <c r="AS418" s="252"/>
      <c r="AT418" s="252"/>
      <c r="AU418" s="195"/>
      <c r="AV418" s="195"/>
      <c r="AW418" s="195"/>
      <c r="AX418" s="195"/>
      <c r="AY418" s="195"/>
      <c r="AZ418" s="195"/>
      <c r="BA418" s="195"/>
      <c r="BB418" s="195"/>
      <c r="BC418" s="195"/>
      <c r="BD418" s="195"/>
      <c r="BE418" s="195"/>
      <c r="BF418" s="195"/>
      <c r="BG418" s="195"/>
      <c r="BH418" s="195"/>
      <c r="BI418" s="195"/>
      <c r="BJ418" s="195"/>
      <c r="BK418" s="195"/>
      <c r="BL418" s="195"/>
      <c r="BM418" s="195"/>
      <c r="BN418" s="195"/>
      <c r="BO418" s="195"/>
      <c r="BP418" s="195"/>
      <c r="BQ418" s="195"/>
      <c r="BR418" s="195"/>
      <c r="BS418" s="195"/>
      <c r="BT418" s="195"/>
      <c r="BU418" s="195"/>
      <c r="BV418" s="195"/>
      <c r="BW418" s="195"/>
      <c r="BX418" s="195"/>
      <c r="BY418" s="195"/>
      <c r="BZ418" s="195"/>
      <c r="CA418" s="195"/>
      <c r="CB418" s="195"/>
      <c r="CC418" s="195"/>
      <c r="CD418" s="195"/>
      <c r="CE418" s="195"/>
      <c r="CF418" s="195"/>
      <c r="CG418" s="256"/>
    </row>
    <row r="419" spans="1:85" s="254" customFormat="1" ht="13.9" customHeight="1" x14ac:dyDescent="0.2">
      <c r="A419" s="255" t="s">
        <v>126</v>
      </c>
      <c r="B419" s="187">
        <v>24</v>
      </c>
      <c r="C419" s="248" t="s">
        <v>129</v>
      </c>
      <c r="D419" s="197" t="s">
        <v>59</v>
      </c>
      <c r="E419" s="199"/>
      <c r="F419" s="199">
        <v>17180273</v>
      </c>
      <c r="G419" s="199"/>
      <c r="H419" s="197" t="s">
        <v>783</v>
      </c>
      <c r="I419" s="248" t="s">
        <v>518</v>
      </c>
      <c r="J419" s="187">
        <v>11</v>
      </c>
      <c r="K419" s="187">
        <v>11</v>
      </c>
      <c r="L419" s="187">
        <v>1</v>
      </c>
      <c r="M419" s="172">
        <f t="shared" si="68"/>
        <v>1</v>
      </c>
      <c r="N419" s="180" t="s">
        <v>48</v>
      </c>
      <c r="O419" s="181" t="str">
        <f>IF(ISBLANK(N419),"",VLOOKUP(N419,[2]Parámetros!$G$2:$H$23,2,FALSE))</f>
        <v>Mínima cuantía</v>
      </c>
      <c r="P419" s="249">
        <f t="shared" si="72"/>
        <v>1</v>
      </c>
      <c r="Q419" s="183">
        <f t="shared" si="69"/>
        <v>17180273</v>
      </c>
      <c r="R419" s="183">
        <f t="shared" si="70"/>
        <v>17180273</v>
      </c>
      <c r="S419" s="250" t="s">
        <v>223</v>
      </c>
      <c r="T419" s="249">
        <f t="shared" si="73"/>
        <v>0</v>
      </c>
      <c r="U419" s="185" t="str">
        <f t="shared" si="71"/>
        <v>SUBDIRECCION DE GESTION CONTRACTUAL</v>
      </c>
      <c r="V419" s="249" t="str">
        <f t="shared" ref="V419:V465" si="74">IF(ISBLANK(N419),"","CO-DC")</f>
        <v>CO-DC</v>
      </c>
      <c r="W419" s="249" t="str">
        <f t="shared" ref="W419:W465" si="75">IF(ISBLANK(N419),"","Distrito Capital de Bogotá")</f>
        <v>Distrito Capital de Bogotá</v>
      </c>
      <c r="X419" s="197" t="s">
        <v>519</v>
      </c>
      <c r="Y419" s="187">
        <v>2427400</v>
      </c>
      <c r="Z419" s="201" t="s">
        <v>145</v>
      </c>
      <c r="AA419" s="252"/>
      <c r="AB419" s="252"/>
      <c r="AC419" s="252"/>
      <c r="AD419" s="252"/>
      <c r="AE419" s="252"/>
      <c r="AF419" s="252"/>
      <c r="AG419" s="252"/>
      <c r="AH419" s="252"/>
      <c r="AI419" s="252"/>
      <c r="AJ419" s="252"/>
      <c r="AK419" s="252"/>
      <c r="AL419" s="252"/>
      <c r="AM419" s="252"/>
      <c r="AN419" s="252"/>
      <c r="AO419" s="252"/>
      <c r="AP419" s="252"/>
      <c r="AQ419" s="252"/>
      <c r="AR419" s="252"/>
      <c r="AS419" s="252"/>
      <c r="AT419" s="252"/>
      <c r="AU419" s="195"/>
      <c r="AV419" s="195"/>
      <c r="AW419" s="195"/>
      <c r="AX419" s="195"/>
      <c r="AY419" s="195"/>
      <c r="AZ419" s="195"/>
      <c r="BA419" s="195"/>
      <c r="BB419" s="195"/>
      <c r="BC419" s="195"/>
      <c r="BD419" s="195"/>
      <c r="BE419" s="195"/>
      <c r="BF419" s="195"/>
      <c r="BG419" s="195"/>
      <c r="BH419" s="195"/>
      <c r="BI419" s="195"/>
      <c r="BJ419" s="195"/>
      <c r="BK419" s="195"/>
      <c r="BL419" s="195"/>
      <c r="BM419" s="195"/>
      <c r="BN419" s="195"/>
      <c r="BO419" s="195"/>
      <c r="BP419" s="195"/>
      <c r="BQ419" s="195"/>
      <c r="BR419" s="195"/>
      <c r="BS419" s="195"/>
      <c r="BT419" s="195"/>
      <c r="BU419" s="195"/>
      <c r="BV419" s="195"/>
      <c r="BW419" s="195"/>
      <c r="BX419" s="195"/>
      <c r="BY419" s="195"/>
      <c r="BZ419" s="195"/>
      <c r="CA419" s="195"/>
      <c r="CB419" s="195"/>
      <c r="CC419" s="195"/>
      <c r="CD419" s="195"/>
      <c r="CE419" s="195"/>
      <c r="CF419" s="195"/>
      <c r="CG419" s="256"/>
    </row>
    <row r="420" spans="1:85" s="185" customFormat="1" ht="12.75" customHeight="1" x14ac:dyDescent="0.2">
      <c r="A420" s="255" t="s">
        <v>126</v>
      </c>
      <c r="B420" s="187">
        <v>25</v>
      </c>
      <c r="C420" s="248" t="s">
        <v>129</v>
      </c>
      <c r="D420" s="197" t="s">
        <v>59</v>
      </c>
      <c r="E420" s="199">
        <v>835380</v>
      </c>
      <c r="F420" s="199">
        <v>7518420</v>
      </c>
      <c r="G420" s="199"/>
      <c r="H420" s="197">
        <v>83111903</v>
      </c>
      <c r="I420" s="248" t="s">
        <v>520</v>
      </c>
      <c r="J420" s="187">
        <v>1</v>
      </c>
      <c r="K420" s="187">
        <v>1</v>
      </c>
      <c r="L420" s="187">
        <v>11</v>
      </c>
      <c r="M420" s="172">
        <f t="shared" si="68"/>
        <v>1</v>
      </c>
      <c r="N420" s="180" t="s">
        <v>48</v>
      </c>
      <c r="O420" s="181" t="str">
        <f>IF(ISBLANK(N420),"",VLOOKUP(N420,[2]Parámetros!$G$2:$H$23,2,FALSE))</f>
        <v>Mínima cuantía</v>
      </c>
      <c r="P420" s="249">
        <f t="shared" si="72"/>
        <v>1</v>
      </c>
      <c r="Q420" s="183">
        <f t="shared" si="69"/>
        <v>8353800</v>
      </c>
      <c r="R420" s="183">
        <f t="shared" si="70"/>
        <v>7518420</v>
      </c>
      <c r="S420" s="250" t="s">
        <v>223</v>
      </c>
      <c r="T420" s="249">
        <f t="shared" si="73"/>
        <v>0</v>
      </c>
      <c r="U420" s="185" t="str">
        <f t="shared" si="71"/>
        <v>SUBDIRECCION DE GESTION CONTRACTUAL</v>
      </c>
      <c r="V420" s="249" t="str">
        <f t="shared" si="74"/>
        <v>CO-DC</v>
      </c>
      <c r="W420" s="249" t="str">
        <f t="shared" si="75"/>
        <v>Distrito Capital de Bogotá</v>
      </c>
      <c r="X420" s="197" t="s">
        <v>504</v>
      </c>
      <c r="Y420" s="187">
        <v>2427400</v>
      </c>
      <c r="Z420" s="201" t="s">
        <v>131</v>
      </c>
      <c r="AA420" s="252"/>
      <c r="AB420" s="252"/>
      <c r="AC420" s="252"/>
      <c r="AD420" s="252"/>
      <c r="AE420" s="252"/>
      <c r="AF420" s="252"/>
      <c r="AG420" s="252"/>
      <c r="AH420" s="252"/>
      <c r="AI420" s="252"/>
      <c r="AJ420" s="252"/>
      <c r="AK420" s="252"/>
      <c r="AL420" s="252"/>
      <c r="AM420" s="252"/>
      <c r="AN420" s="252"/>
      <c r="AO420" s="252"/>
      <c r="AP420" s="252"/>
      <c r="AQ420" s="252"/>
      <c r="AR420" s="252"/>
      <c r="AS420" s="252"/>
      <c r="AT420" s="252"/>
      <c r="AU420" s="195"/>
      <c r="AV420" s="195"/>
      <c r="AW420" s="195"/>
      <c r="AX420" s="195"/>
      <c r="AY420" s="195"/>
      <c r="AZ420" s="195"/>
      <c r="BA420" s="195"/>
      <c r="BB420" s="195"/>
      <c r="BC420" s="195"/>
      <c r="BD420" s="195"/>
      <c r="BE420" s="195"/>
      <c r="BF420" s="195"/>
      <c r="BG420" s="195"/>
      <c r="BH420" s="195"/>
      <c r="BI420" s="195"/>
      <c r="BJ420" s="195"/>
      <c r="BK420" s="195"/>
      <c r="BL420" s="195"/>
      <c r="BM420" s="195"/>
      <c r="BN420" s="195"/>
      <c r="BO420" s="195"/>
      <c r="BP420" s="195"/>
      <c r="BQ420" s="195"/>
      <c r="BR420" s="195"/>
      <c r="BS420" s="195"/>
      <c r="BT420" s="195"/>
      <c r="BU420" s="195"/>
      <c r="BV420" s="195"/>
      <c r="BW420" s="195"/>
      <c r="BX420" s="195"/>
      <c r="BY420" s="195"/>
      <c r="BZ420" s="195"/>
      <c r="CA420" s="195"/>
      <c r="CB420" s="195"/>
      <c r="CC420" s="195"/>
      <c r="CD420" s="195"/>
      <c r="CE420" s="195"/>
      <c r="CF420" s="195"/>
      <c r="CG420" s="256"/>
    </row>
    <row r="421" spans="1:85" s="254" customFormat="1" ht="13.9" customHeight="1" x14ac:dyDescent="0.2">
      <c r="A421" s="255" t="s">
        <v>126</v>
      </c>
      <c r="B421" s="187">
        <v>26</v>
      </c>
      <c r="C421" s="248" t="s">
        <v>129</v>
      </c>
      <c r="D421" s="197" t="s">
        <v>59</v>
      </c>
      <c r="E421" s="199"/>
      <c r="F421" s="199">
        <v>2000000</v>
      </c>
      <c r="G421" s="199"/>
      <c r="H421" s="197">
        <v>83111903</v>
      </c>
      <c r="I421" s="248" t="s">
        <v>521</v>
      </c>
      <c r="J421" s="187">
        <v>10</v>
      </c>
      <c r="K421" s="187">
        <v>12</v>
      </c>
      <c r="L421" s="187">
        <v>12</v>
      </c>
      <c r="M421" s="172">
        <f t="shared" si="68"/>
        <v>1</v>
      </c>
      <c r="N421" s="180" t="s">
        <v>48</v>
      </c>
      <c r="O421" s="181" t="str">
        <f>IF(ISBLANK(N421),"",VLOOKUP(N421,[2]Parámetros!$G$2:$H$23,2,FALSE))</f>
        <v>Mínima cuantía</v>
      </c>
      <c r="P421" s="249">
        <f t="shared" si="72"/>
        <v>1</v>
      </c>
      <c r="Q421" s="183">
        <f t="shared" si="69"/>
        <v>2000000</v>
      </c>
      <c r="R421" s="183">
        <f t="shared" si="70"/>
        <v>2000000</v>
      </c>
      <c r="S421" s="250" t="s">
        <v>226</v>
      </c>
      <c r="T421" s="249">
        <f t="shared" si="73"/>
        <v>3</v>
      </c>
      <c r="U421" s="185" t="str">
        <f t="shared" si="71"/>
        <v>SUBDIRECCION DE GESTION CONTRACTUAL</v>
      </c>
      <c r="V421" s="249" t="str">
        <f t="shared" si="74"/>
        <v>CO-DC</v>
      </c>
      <c r="W421" s="249" t="str">
        <f t="shared" si="75"/>
        <v>Distrito Capital de Bogotá</v>
      </c>
      <c r="X421" s="197" t="s">
        <v>504</v>
      </c>
      <c r="Y421" s="187">
        <v>2427400</v>
      </c>
      <c r="Z421" s="201" t="s">
        <v>131</v>
      </c>
      <c r="AA421" s="252"/>
      <c r="AB421" s="252"/>
      <c r="AC421" s="252"/>
      <c r="AD421" s="252"/>
      <c r="AE421" s="252"/>
      <c r="AF421" s="252"/>
      <c r="AG421" s="252"/>
      <c r="AH421" s="252"/>
      <c r="AI421" s="252"/>
      <c r="AJ421" s="252"/>
      <c r="AK421" s="252"/>
      <c r="AL421" s="252"/>
      <c r="AM421" s="252"/>
      <c r="AN421" s="252"/>
      <c r="AO421" s="252"/>
      <c r="AP421" s="252"/>
      <c r="AQ421" s="252"/>
      <c r="AR421" s="252"/>
      <c r="AS421" s="252"/>
      <c r="AT421" s="252"/>
      <c r="AU421" s="195"/>
      <c r="AV421" s="195"/>
      <c r="AW421" s="195"/>
      <c r="AX421" s="195"/>
      <c r="AY421" s="195"/>
      <c r="AZ421" s="195"/>
      <c r="BA421" s="195"/>
      <c r="BB421" s="195"/>
      <c r="BC421" s="195"/>
      <c r="BD421" s="195"/>
      <c r="BE421" s="195"/>
      <c r="BF421" s="195"/>
      <c r="BG421" s="195"/>
      <c r="BH421" s="195"/>
      <c r="BI421" s="195"/>
      <c r="BJ421" s="195"/>
      <c r="BK421" s="195"/>
      <c r="BL421" s="195"/>
      <c r="BM421" s="195"/>
      <c r="BN421" s="195"/>
      <c r="BO421" s="195"/>
      <c r="BP421" s="195"/>
      <c r="BQ421" s="195"/>
      <c r="BR421" s="195"/>
      <c r="BS421" s="195"/>
      <c r="BT421" s="195"/>
      <c r="BU421" s="195"/>
      <c r="BV421" s="195"/>
      <c r="BW421" s="195"/>
      <c r="BX421" s="195"/>
      <c r="BY421" s="195"/>
      <c r="BZ421" s="195"/>
      <c r="CA421" s="195"/>
      <c r="CB421" s="195"/>
      <c r="CC421" s="195"/>
      <c r="CD421" s="195"/>
      <c r="CE421" s="195"/>
      <c r="CF421" s="195"/>
      <c r="CG421" s="256"/>
    </row>
    <row r="422" spans="1:85" s="254" customFormat="1" ht="13.9" customHeight="1" x14ac:dyDescent="0.2">
      <c r="A422" s="255" t="s">
        <v>126</v>
      </c>
      <c r="B422" s="187">
        <v>27</v>
      </c>
      <c r="C422" s="248" t="s">
        <v>129</v>
      </c>
      <c r="D422" s="197" t="s">
        <v>60</v>
      </c>
      <c r="E422" s="199">
        <v>1325020663</v>
      </c>
      <c r="F422" s="199">
        <v>1368255649</v>
      </c>
      <c r="G422" s="199"/>
      <c r="H422" s="197">
        <v>92121500</v>
      </c>
      <c r="I422" s="248" t="s">
        <v>522</v>
      </c>
      <c r="J422" s="187">
        <v>1</v>
      </c>
      <c r="K422" s="187">
        <v>1</v>
      </c>
      <c r="L422" s="187">
        <v>11</v>
      </c>
      <c r="M422" s="172">
        <f t="shared" si="68"/>
        <v>1</v>
      </c>
      <c r="N422" s="180" t="s">
        <v>43</v>
      </c>
      <c r="O422" s="181" t="str">
        <f>IF(ISBLANK(N422),"",VLOOKUP(N422,[2]Parámetros!$G$2:$H$23,2,FALSE))</f>
        <v>Selección abreviada subasta inversa</v>
      </c>
      <c r="P422" s="249">
        <f t="shared" si="72"/>
        <v>1</v>
      </c>
      <c r="Q422" s="183">
        <f t="shared" si="69"/>
        <v>2693276312</v>
      </c>
      <c r="R422" s="183">
        <f t="shared" si="70"/>
        <v>1368255649</v>
      </c>
      <c r="S422" s="250" t="s">
        <v>223</v>
      </c>
      <c r="T422" s="249">
        <f t="shared" si="73"/>
        <v>0</v>
      </c>
      <c r="U422" s="185" t="str">
        <f t="shared" si="71"/>
        <v>SUBDIRECCION DE GESTION CONTRACTUAL</v>
      </c>
      <c r="V422" s="249" t="str">
        <f t="shared" si="74"/>
        <v>CO-DC</v>
      </c>
      <c r="W422" s="249" t="str">
        <f t="shared" si="75"/>
        <v>Distrito Capital de Bogotá</v>
      </c>
      <c r="X422" s="197" t="s">
        <v>504</v>
      </c>
      <c r="Y422" s="187">
        <v>2427400</v>
      </c>
      <c r="Z422" s="201" t="s">
        <v>131</v>
      </c>
      <c r="AA422" s="252"/>
      <c r="AB422" s="252"/>
      <c r="AC422" s="252"/>
      <c r="AD422" s="252"/>
      <c r="AE422" s="252"/>
      <c r="AF422" s="252"/>
      <c r="AG422" s="252"/>
      <c r="AH422" s="252"/>
      <c r="AI422" s="252"/>
      <c r="AJ422" s="252"/>
      <c r="AK422" s="252"/>
      <c r="AL422" s="252"/>
      <c r="AM422" s="252"/>
      <c r="AN422" s="252"/>
      <c r="AO422" s="252"/>
      <c r="AP422" s="252"/>
      <c r="AQ422" s="252"/>
      <c r="AR422" s="252"/>
      <c r="AS422" s="252"/>
      <c r="AT422" s="252"/>
      <c r="AU422" s="195"/>
      <c r="AV422" s="195"/>
      <c r="AW422" s="195"/>
      <c r="AX422" s="195"/>
      <c r="AY422" s="195"/>
      <c r="AZ422" s="195"/>
      <c r="BA422" s="195"/>
      <c r="BB422" s="195"/>
      <c r="BC422" s="195"/>
      <c r="BD422" s="195"/>
      <c r="BE422" s="195"/>
      <c r="BF422" s="195"/>
      <c r="BG422" s="195"/>
      <c r="BH422" s="195"/>
      <c r="BI422" s="195"/>
      <c r="BJ422" s="195"/>
      <c r="BK422" s="195"/>
      <c r="BL422" s="195"/>
      <c r="BM422" s="195"/>
      <c r="BN422" s="195"/>
      <c r="BO422" s="195"/>
      <c r="BP422" s="195"/>
      <c r="BQ422" s="195"/>
      <c r="BR422" s="195"/>
      <c r="BS422" s="195"/>
      <c r="BT422" s="195"/>
      <c r="BU422" s="195"/>
      <c r="BV422" s="195"/>
      <c r="BW422" s="195"/>
      <c r="BX422" s="195"/>
      <c r="BY422" s="195"/>
      <c r="BZ422" s="195"/>
      <c r="CA422" s="195"/>
      <c r="CB422" s="195"/>
      <c r="CC422" s="195"/>
      <c r="CD422" s="195"/>
      <c r="CE422" s="195"/>
      <c r="CF422" s="195"/>
      <c r="CG422" s="256"/>
    </row>
    <row r="423" spans="1:85" s="254" customFormat="1" ht="13.9" customHeight="1" x14ac:dyDescent="0.2">
      <c r="A423" s="255" t="s">
        <v>126</v>
      </c>
      <c r="B423" s="187">
        <v>28</v>
      </c>
      <c r="C423" s="248" t="s">
        <v>129</v>
      </c>
      <c r="D423" s="197" t="s">
        <v>60</v>
      </c>
      <c r="E423" s="199"/>
      <c r="F423" s="199">
        <v>125715891</v>
      </c>
      <c r="G423" s="199"/>
      <c r="H423" s="197">
        <v>92121500</v>
      </c>
      <c r="I423" s="248" t="s">
        <v>523</v>
      </c>
      <c r="J423" s="187">
        <v>7</v>
      </c>
      <c r="K423" s="187">
        <v>10</v>
      </c>
      <c r="L423" s="187">
        <v>24</v>
      </c>
      <c r="M423" s="172">
        <f t="shared" si="68"/>
        <v>1</v>
      </c>
      <c r="N423" s="180" t="s">
        <v>43</v>
      </c>
      <c r="O423" s="181" t="str">
        <f>IF(ISBLANK(N423),"",VLOOKUP(N423,[2]Parámetros!$G$2:$H$23,2,FALSE))</f>
        <v>Selección abreviada subasta inversa</v>
      </c>
      <c r="P423" s="249">
        <f t="shared" si="72"/>
        <v>1</v>
      </c>
      <c r="Q423" s="183">
        <f t="shared" si="69"/>
        <v>125715891</v>
      </c>
      <c r="R423" s="183">
        <f t="shared" si="70"/>
        <v>125715891</v>
      </c>
      <c r="S423" s="250">
        <v>0</v>
      </c>
      <c r="T423" s="249">
        <f t="shared" si="73"/>
        <v>0</v>
      </c>
      <c r="U423" s="185" t="str">
        <f t="shared" si="71"/>
        <v>SUBDIRECCION DE GESTION CONTRACTUAL</v>
      </c>
      <c r="V423" s="249" t="str">
        <f t="shared" si="74"/>
        <v>CO-DC</v>
      </c>
      <c r="W423" s="249" t="str">
        <f t="shared" si="75"/>
        <v>Distrito Capital de Bogotá</v>
      </c>
      <c r="X423" s="197" t="s">
        <v>504</v>
      </c>
      <c r="Y423" s="187">
        <v>2427400</v>
      </c>
      <c r="Z423" s="201" t="s">
        <v>131</v>
      </c>
      <c r="AA423" s="252"/>
      <c r="AB423" s="252"/>
      <c r="AC423" s="252"/>
      <c r="AD423" s="252"/>
      <c r="AE423" s="252"/>
      <c r="AF423" s="252"/>
      <c r="AG423" s="252"/>
      <c r="AH423" s="252"/>
      <c r="AI423" s="252"/>
      <c r="AJ423" s="252"/>
      <c r="AK423" s="252"/>
      <c r="AL423" s="252"/>
      <c r="AM423" s="252"/>
      <c r="AN423" s="252"/>
      <c r="AO423" s="252"/>
      <c r="AP423" s="252"/>
      <c r="AQ423" s="252"/>
      <c r="AR423" s="252"/>
      <c r="AS423" s="252"/>
      <c r="AT423" s="252"/>
      <c r="AU423" s="195"/>
      <c r="AV423" s="195"/>
      <c r="AW423" s="195"/>
      <c r="AX423" s="195"/>
      <c r="AY423" s="195"/>
      <c r="AZ423" s="195"/>
      <c r="BA423" s="195"/>
      <c r="BB423" s="195"/>
      <c r="BC423" s="195"/>
      <c r="BD423" s="195"/>
      <c r="BE423" s="195"/>
      <c r="BF423" s="195"/>
      <c r="BG423" s="195"/>
      <c r="BH423" s="195"/>
      <c r="BI423" s="195"/>
      <c r="BJ423" s="195"/>
      <c r="BK423" s="195"/>
      <c r="BL423" s="195"/>
      <c r="BM423" s="195"/>
      <c r="BN423" s="195"/>
      <c r="BO423" s="195"/>
      <c r="BP423" s="195"/>
      <c r="BQ423" s="195"/>
      <c r="BR423" s="195"/>
      <c r="BS423" s="195"/>
      <c r="BT423" s="195"/>
      <c r="BU423" s="195"/>
      <c r="BV423" s="195"/>
      <c r="BW423" s="195"/>
      <c r="BX423" s="195"/>
      <c r="BY423" s="195"/>
      <c r="BZ423" s="195"/>
      <c r="CA423" s="195"/>
      <c r="CB423" s="195"/>
      <c r="CC423" s="195"/>
      <c r="CD423" s="195"/>
      <c r="CE423" s="195"/>
      <c r="CF423" s="195"/>
      <c r="CG423" s="256"/>
    </row>
    <row r="424" spans="1:85" s="254" customFormat="1" ht="13.9" customHeight="1" x14ac:dyDescent="0.2">
      <c r="A424" s="255" t="s">
        <v>126</v>
      </c>
      <c r="B424" s="187">
        <v>29</v>
      </c>
      <c r="C424" s="248" t="s">
        <v>129</v>
      </c>
      <c r="D424" s="197" t="s">
        <v>60</v>
      </c>
      <c r="E424" s="199">
        <v>616611423</v>
      </c>
      <c r="F424" s="199">
        <f>699806076.4+100000000.6</f>
        <v>799806077</v>
      </c>
      <c r="G424" s="199"/>
      <c r="H424" s="175" t="s">
        <v>251</v>
      </c>
      <c r="I424" s="248" t="s">
        <v>524</v>
      </c>
      <c r="J424" s="187">
        <v>1</v>
      </c>
      <c r="K424" s="187">
        <v>1</v>
      </c>
      <c r="L424" s="187">
        <v>7</v>
      </c>
      <c r="M424" s="172">
        <f t="shared" si="68"/>
        <v>1</v>
      </c>
      <c r="N424" s="180" t="s">
        <v>53</v>
      </c>
      <c r="O424" s="181" t="str">
        <f>IF(ISBLANK(N424),"",VLOOKUP(N424,[2]Parámetros!$G$2:$H$23,2,FALSE))</f>
        <v>Seléccion abreviada - acuerdo marco</v>
      </c>
      <c r="P424" s="249">
        <f t="shared" si="72"/>
        <v>1</v>
      </c>
      <c r="Q424" s="183">
        <f t="shared" si="69"/>
        <v>1416417500</v>
      </c>
      <c r="R424" s="183">
        <f t="shared" si="70"/>
        <v>799806077</v>
      </c>
      <c r="S424" s="250" t="s">
        <v>223</v>
      </c>
      <c r="T424" s="249">
        <f t="shared" si="73"/>
        <v>0</v>
      </c>
      <c r="U424" s="185" t="str">
        <f t="shared" si="71"/>
        <v>SUBDIRECCION DE GESTION CONTRACTUAL</v>
      </c>
      <c r="V424" s="172" t="str">
        <f t="shared" si="74"/>
        <v>CO-DC</v>
      </c>
      <c r="W424" s="185" t="str">
        <f t="shared" si="75"/>
        <v>Distrito Capital de Bogotá</v>
      </c>
      <c r="X424" s="197" t="s">
        <v>504</v>
      </c>
      <c r="Y424" s="187">
        <v>2427400</v>
      </c>
      <c r="Z424" s="201" t="s">
        <v>131</v>
      </c>
      <c r="AA424" s="252"/>
      <c r="AB424" s="252"/>
      <c r="AC424" s="252"/>
      <c r="AD424" s="252"/>
      <c r="AE424" s="252"/>
      <c r="AF424" s="252"/>
      <c r="AG424" s="252"/>
      <c r="AH424" s="252"/>
      <c r="AI424" s="252"/>
      <c r="AJ424" s="252"/>
      <c r="AK424" s="252"/>
      <c r="AL424" s="252"/>
      <c r="AM424" s="252"/>
      <c r="AN424" s="252"/>
      <c r="AO424" s="252"/>
      <c r="AP424" s="252"/>
      <c r="AQ424" s="252"/>
      <c r="AR424" s="252"/>
      <c r="AS424" s="252"/>
      <c r="AT424" s="252"/>
      <c r="AU424" s="195"/>
      <c r="AV424" s="195"/>
      <c r="AW424" s="195"/>
      <c r="AX424" s="195"/>
      <c r="AY424" s="195"/>
      <c r="AZ424" s="195"/>
      <c r="BA424" s="195"/>
      <c r="BB424" s="195"/>
      <c r="BC424" s="195"/>
      <c r="BD424" s="195"/>
      <c r="BE424" s="195"/>
      <c r="BF424" s="195"/>
      <c r="BG424" s="195"/>
      <c r="BH424" s="195"/>
      <c r="BI424" s="195"/>
      <c r="BJ424" s="195"/>
      <c r="BK424" s="195"/>
      <c r="BL424" s="195"/>
      <c r="BM424" s="195"/>
      <c r="BN424" s="195"/>
      <c r="BO424" s="195"/>
      <c r="BP424" s="195"/>
      <c r="BQ424" s="195"/>
      <c r="BR424" s="195"/>
      <c r="BS424" s="195"/>
      <c r="BT424" s="195"/>
      <c r="BU424" s="195"/>
      <c r="BV424" s="195"/>
      <c r="BW424" s="195"/>
      <c r="BX424" s="195"/>
      <c r="BY424" s="195"/>
      <c r="BZ424" s="195"/>
      <c r="CA424" s="195"/>
      <c r="CB424" s="195"/>
      <c r="CC424" s="195"/>
      <c r="CD424" s="195"/>
      <c r="CE424" s="195"/>
      <c r="CF424" s="195"/>
      <c r="CG424" s="256"/>
    </row>
    <row r="425" spans="1:85" s="254" customFormat="1" ht="13.9" customHeight="1" x14ac:dyDescent="0.2">
      <c r="A425" s="255" t="s">
        <v>126</v>
      </c>
      <c r="B425" s="187">
        <v>30</v>
      </c>
      <c r="C425" s="248" t="s">
        <v>129</v>
      </c>
      <c r="D425" s="197" t="s">
        <v>60</v>
      </c>
      <c r="E425" s="199"/>
      <c r="F425" s="199">
        <f>284774390+148042037+485258</f>
        <v>433301685</v>
      </c>
      <c r="G425" s="199"/>
      <c r="H425" s="175" t="s">
        <v>251</v>
      </c>
      <c r="I425" s="248" t="s">
        <v>525</v>
      </c>
      <c r="J425" s="187">
        <v>7</v>
      </c>
      <c r="K425" s="187">
        <v>7</v>
      </c>
      <c r="L425" s="187">
        <v>12</v>
      </c>
      <c r="M425" s="172">
        <f t="shared" si="68"/>
        <v>1</v>
      </c>
      <c r="N425" s="180" t="s">
        <v>53</v>
      </c>
      <c r="O425" s="181" t="str">
        <f>IF(ISBLANK(N425),"",VLOOKUP(N425,[2]Parámetros!$G$2:$H$23,2,FALSE))</f>
        <v>Seléccion abreviada - acuerdo marco</v>
      </c>
      <c r="P425" s="249">
        <f t="shared" si="72"/>
        <v>1</v>
      </c>
      <c r="Q425" s="183">
        <f t="shared" si="69"/>
        <v>433301685</v>
      </c>
      <c r="R425" s="183">
        <f t="shared" si="70"/>
        <v>433301685</v>
      </c>
      <c r="S425" s="250" t="s">
        <v>226</v>
      </c>
      <c r="T425" s="249">
        <f t="shared" si="73"/>
        <v>3</v>
      </c>
      <c r="U425" s="185" t="str">
        <f t="shared" si="71"/>
        <v>SUBDIRECCION DE GESTION CONTRACTUAL</v>
      </c>
      <c r="V425" s="172" t="str">
        <f t="shared" si="74"/>
        <v>CO-DC</v>
      </c>
      <c r="W425" s="185" t="str">
        <f t="shared" si="75"/>
        <v>Distrito Capital de Bogotá</v>
      </c>
      <c r="X425" s="197" t="s">
        <v>504</v>
      </c>
      <c r="Y425" s="187">
        <v>2427400</v>
      </c>
      <c r="Z425" s="201" t="s">
        <v>131</v>
      </c>
      <c r="AA425" s="252"/>
      <c r="AB425" s="252"/>
      <c r="AC425" s="252"/>
      <c r="AD425" s="252"/>
      <c r="AE425" s="252"/>
      <c r="AF425" s="252"/>
      <c r="AG425" s="252"/>
      <c r="AH425" s="252"/>
      <c r="AI425" s="252"/>
      <c r="AJ425" s="252"/>
      <c r="AK425" s="252"/>
      <c r="AL425" s="252"/>
      <c r="AM425" s="252"/>
      <c r="AN425" s="252"/>
      <c r="AO425" s="252"/>
      <c r="AP425" s="252"/>
      <c r="AQ425" s="252"/>
      <c r="AR425" s="252"/>
      <c r="AS425" s="252"/>
      <c r="AT425" s="252"/>
      <c r="AU425" s="195"/>
      <c r="AV425" s="195"/>
      <c r="AW425" s="195"/>
      <c r="AX425" s="195"/>
      <c r="AY425" s="195"/>
      <c r="AZ425" s="195"/>
      <c r="BA425" s="195"/>
      <c r="BB425" s="195"/>
      <c r="BC425" s="195"/>
      <c r="BD425" s="195"/>
      <c r="BE425" s="195"/>
      <c r="BF425" s="195"/>
      <c r="BG425" s="195"/>
      <c r="BH425" s="195"/>
      <c r="BI425" s="195"/>
      <c r="BJ425" s="195"/>
      <c r="BK425" s="195"/>
      <c r="BL425" s="195"/>
      <c r="BM425" s="195"/>
      <c r="BN425" s="195"/>
      <c r="BO425" s="195"/>
      <c r="BP425" s="195"/>
      <c r="BQ425" s="195"/>
      <c r="BR425" s="195"/>
      <c r="BS425" s="195"/>
      <c r="BT425" s="195"/>
      <c r="BU425" s="195"/>
      <c r="BV425" s="195"/>
      <c r="BW425" s="195"/>
      <c r="BX425" s="195"/>
      <c r="BY425" s="195"/>
      <c r="BZ425" s="195"/>
      <c r="CA425" s="195"/>
      <c r="CB425" s="195"/>
      <c r="CC425" s="195"/>
      <c r="CD425" s="195"/>
      <c r="CE425" s="195"/>
      <c r="CF425" s="195"/>
      <c r="CG425" s="256"/>
    </row>
    <row r="426" spans="1:85" s="185" customFormat="1" ht="12.75" customHeight="1" x14ac:dyDescent="0.2">
      <c r="A426" s="255" t="s">
        <v>126</v>
      </c>
      <c r="B426" s="187">
        <v>31</v>
      </c>
      <c r="C426" s="248" t="s">
        <v>129</v>
      </c>
      <c r="D426" s="197" t="s">
        <v>63</v>
      </c>
      <c r="E426" s="199">
        <v>1721666</v>
      </c>
      <c r="F426" s="199">
        <v>20251978</v>
      </c>
      <c r="G426" s="199"/>
      <c r="H426" s="197" t="s">
        <v>789</v>
      </c>
      <c r="I426" s="248" t="s">
        <v>526</v>
      </c>
      <c r="J426" s="187">
        <v>1</v>
      </c>
      <c r="K426" s="187">
        <v>1</v>
      </c>
      <c r="L426" s="187">
        <v>11</v>
      </c>
      <c r="M426" s="172">
        <f t="shared" si="68"/>
        <v>1</v>
      </c>
      <c r="N426" s="180" t="s">
        <v>48</v>
      </c>
      <c r="O426" s="181" t="str">
        <f>IF(ISBLANK(N426),"",VLOOKUP(N426,[2]Parámetros!$G$2:$H$23,2,FALSE))</f>
        <v>Mínima cuantía</v>
      </c>
      <c r="P426" s="249">
        <f t="shared" si="72"/>
        <v>1</v>
      </c>
      <c r="Q426" s="183">
        <f t="shared" si="69"/>
        <v>21973644</v>
      </c>
      <c r="R426" s="183">
        <f t="shared" si="70"/>
        <v>20251978</v>
      </c>
      <c r="S426" s="250" t="s">
        <v>223</v>
      </c>
      <c r="T426" s="249">
        <f t="shared" si="73"/>
        <v>0</v>
      </c>
      <c r="U426" s="185" t="str">
        <f t="shared" si="71"/>
        <v>SUBDIRECCION DE GESTION CONTRACTUAL</v>
      </c>
      <c r="V426" s="249" t="str">
        <f t="shared" si="74"/>
        <v>CO-DC</v>
      </c>
      <c r="W426" s="249" t="str">
        <f t="shared" si="75"/>
        <v>Distrito Capital de Bogotá</v>
      </c>
      <c r="X426" s="197" t="s">
        <v>504</v>
      </c>
      <c r="Y426" s="187">
        <v>2427400</v>
      </c>
      <c r="Z426" s="201" t="s">
        <v>131</v>
      </c>
      <c r="AA426" s="252"/>
      <c r="AB426" s="252"/>
      <c r="AC426" s="252"/>
      <c r="AD426" s="252"/>
      <c r="AE426" s="252"/>
      <c r="AF426" s="252"/>
      <c r="AG426" s="252"/>
      <c r="AH426" s="252"/>
      <c r="AI426" s="252"/>
      <c r="AJ426" s="252"/>
      <c r="AK426" s="252"/>
      <c r="AL426" s="252"/>
      <c r="AM426" s="252"/>
      <c r="AN426" s="252"/>
      <c r="AO426" s="252"/>
      <c r="AP426" s="252"/>
      <c r="AQ426" s="252"/>
      <c r="AR426" s="252"/>
      <c r="AS426" s="252"/>
      <c r="AT426" s="252"/>
      <c r="AU426" s="195"/>
      <c r="AV426" s="195"/>
      <c r="AW426" s="195"/>
      <c r="AX426" s="195"/>
      <c r="AY426" s="195"/>
      <c r="AZ426" s="195"/>
      <c r="BA426" s="195"/>
      <c r="BB426" s="195"/>
      <c r="BC426" s="195"/>
      <c r="BD426" s="195"/>
      <c r="BE426" s="195"/>
      <c r="BF426" s="195"/>
      <c r="BG426" s="195"/>
      <c r="BH426" s="195"/>
      <c r="BI426" s="195"/>
      <c r="BJ426" s="195"/>
      <c r="BK426" s="195"/>
      <c r="BL426" s="195"/>
      <c r="BM426" s="195"/>
      <c r="BN426" s="195"/>
      <c r="BO426" s="195"/>
      <c r="BP426" s="195"/>
      <c r="BQ426" s="195"/>
      <c r="BR426" s="195"/>
      <c r="BS426" s="195"/>
      <c r="BT426" s="195"/>
      <c r="BU426" s="195"/>
      <c r="BV426" s="195"/>
      <c r="BW426" s="195"/>
      <c r="BX426" s="195"/>
      <c r="BY426" s="195"/>
      <c r="BZ426" s="195"/>
      <c r="CA426" s="195"/>
      <c r="CB426" s="195"/>
      <c r="CC426" s="195"/>
      <c r="CD426" s="195"/>
      <c r="CE426" s="195"/>
      <c r="CF426" s="195"/>
      <c r="CG426" s="256"/>
    </row>
    <row r="427" spans="1:85" s="254" customFormat="1" ht="13.9" customHeight="1" x14ac:dyDescent="0.2">
      <c r="A427" s="255" t="s">
        <v>126</v>
      </c>
      <c r="B427" s="187">
        <v>32</v>
      </c>
      <c r="C427" s="248" t="s">
        <v>129</v>
      </c>
      <c r="D427" s="197" t="s">
        <v>63</v>
      </c>
      <c r="E427" s="199"/>
      <c r="F427" s="199">
        <v>5328198</v>
      </c>
      <c r="G427" s="199"/>
      <c r="H427" s="197" t="s">
        <v>789</v>
      </c>
      <c r="I427" s="248" t="s">
        <v>527</v>
      </c>
      <c r="J427" s="187">
        <v>10</v>
      </c>
      <c r="K427" s="187">
        <v>11</v>
      </c>
      <c r="L427" s="187">
        <v>12</v>
      </c>
      <c r="M427" s="172">
        <f t="shared" si="68"/>
        <v>1</v>
      </c>
      <c r="N427" s="180" t="s">
        <v>48</v>
      </c>
      <c r="O427" s="181" t="str">
        <f>IF(ISBLANK(N427),"",VLOOKUP(N427,[2]Parámetros!$G$2:$H$23,2,FALSE))</f>
        <v>Mínima cuantía</v>
      </c>
      <c r="P427" s="249">
        <f t="shared" si="72"/>
        <v>1</v>
      </c>
      <c r="Q427" s="183">
        <f t="shared" si="69"/>
        <v>5328198</v>
      </c>
      <c r="R427" s="183">
        <f t="shared" si="70"/>
        <v>5328198</v>
      </c>
      <c r="S427" s="250">
        <v>0</v>
      </c>
      <c r="T427" s="249">
        <f t="shared" si="73"/>
        <v>0</v>
      </c>
      <c r="U427" s="185" t="str">
        <f t="shared" si="71"/>
        <v>SUBDIRECCION DE GESTION CONTRACTUAL</v>
      </c>
      <c r="V427" s="249" t="str">
        <f t="shared" si="74"/>
        <v>CO-DC</v>
      </c>
      <c r="W427" s="249" t="str">
        <f t="shared" si="75"/>
        <v>Distrito Capital de Bogotá</v>
      </c>
      <c r="X427" s="197" t="s">
        <v>504</v>
      </c>
      <c r="Y427" s="187">
        <v>2427400</v>
      </c>
      <c r="Z427" s="201" t="s">
        <v>131</v>
      </c>
      <c r="AA427" s="252"/>
      <c r="AB427" s="252"/>
      <c r="AC427" s="252"/>
      <c r="AD427" s="252"/>
      <c r="AE427" s="252"/>
      <c r="AF427" s="252"/>
      <c r="AG427" s="252"/>
      <c r="AH427" s="252"/>
      <c r="AI427" s="252"/>
      <c r="AJ427" s="252"/>
      <c r="AK427" s="252"/>
      <c r="AL427" s="252"/>
      <c r="AM427" s="252"/>
      <c r="AN427" s="252"/>
      <c r="AO427" s="252"/>
      <c r="AP427" s="252"/>
      <c r="AQ427" s="252"/>
      <c r="AR427" s="252"/>
      <c r="AS427" s="252"/>
      <c r="AT427" s="252"/>
      <c r="AU427" s="195"/>
      <c r="AV427" s="195"/>
      <c r="AW427" s="195"/>
      <c r="AX427" s="195"/>
      <c r="AY427" s="195"/>
      <c r="AZ427" s="195"/>
      <c r="BA427" s="195"/>
      <c r="BB427" s="195"/>
      <c r="BC427" s="195"/>
      <c r="BD427" s="195"/>
      <c r="BE427" s="195"/>
      <c r="BF427" s="195"/>
      <c r="BG427" s="195"/>
      <c r="BH427" s="195"/>
      <c r="BI427" s="195"/>
      <c r="BJ427" s="195"/>
      <c r="BK427" s="195"/>
      <c r="BL427" s="195"/>
      <c r="BM427" s="195"/>
      <c r="BN427" s="195"/>
      <c r="BO427" s="195"/>
      <c r="BP427" s="195"/>
      <c r="BQ427" s="195"/>
      <c r="BR427" s="195"/>
      <c r="BS427" s="195"/>
      <c r="BT427" s="195"/>
      <c r="BU427" s="195"/>
      <c r="BV427" s="195"/>
      <c r="BW427" s="195"/>
      <c r="BX427" s="195"/>
      <c r="BY427" s="195"/>
      <c r="BZ427" s="195"/>
      <c r="CA427" s="195"/>
      <c r="CB427" s="195"/>
      <c r="CC427" s="195"/>
      <c r="CD427" s="195"/>
      <c r="CE427" s="195"/>
      <c r="CF427" s="195"/>
      <c r="CG427" s="256"/>
    </row>
    <row r="428" spans="1:85" s="254" customFormat="1" ht="13.9" customHeight="1" x14ac:dyDescent="0.2">
      <c r="A428" s="255" t="s">
        <v>126</v>
      </c>
      <c r="B428" s="187">
        <v>33</v>
      </c>
      <c r="C428" s="248" t="s">
        <v>129</v>
      </c>
      <c r="D428" s="197" t="s">
        <v>63</v>
      </c>
      <c r="E428" s="199"/>
      <c r="F428" s="199">
        <f>91879901+10000000</f>
        <v>101879901</v>
      </c>
      <c r="G428" s="199"/>
      <c r="H428" s="197" t="s">
        <v>787</v>
      </c>
      <c r="I428" s="248" t="s">
        <v>528</v>
      </c>
      <c r="J428" s="187">
        <v>2</v>
      </c>
      <c r="K428" s="187">
        <v>3</v>
      </c>
      <c r="L428" s="187">
        <v>9</v>
      </c>
      <c r="M428" s="172">
        <f t="shared" si="68"/>
        <v>1</v>
      </c>
      <c r="N428" s="180" t="s">
        <v>36</v>
      </c>
      <c r="O428" s="181" t="str">
        <f>IF(ISBLANK(N428),"",VLOOKUP(N428,[2]Parámetros!$G$2:$H$23,2,FALSE))</f>
        <v xml:space="preserve">Contratación directa (con ofertas) </v>
      </c>
      <c r="P428" s="249">
        <f t="shared" si="72"/>
        <v>1</v>
      </c>
      <c r="Q428" s="183">
        <f t="shared" si="69"/>
        <v>101879901</v>
      </c>
      <c r="R428" s="183">
        <f t="shared" si="70"/>
        <v>101879901</v>
      </c>
      <c r="S428" s="250" t="s">
        <v>223</v>
      </c>
      <c r="T428" s="249">
        <f t="shared" si="73"/>
        <v>0</v>
      </c>
      <c r="U428" s="185" t="str">
        <f t="shared" si="71"/>
        <v>SUBDIRECCION DE GESTION CONTRACTUAL</v>
      </c>
      <c r="V428" s="249" t="str">
        <f t="shared" si="74"/>
        <v>CO-DC</v>
      </c>
      <c r="W428" s="249" t="str">
        <f t="shared" si="75"/>
        <v>Distrito Capital de Bogotá</v>
      </c>
      <c r="X428" s="197" t="s">
        <v>504</v>
      </c>
      <c r="Y428" s="187">
        <v>2427400</v>
      </c>
      <c r="Z428" s="201" t="s">
        <v>131</v>
      </c>
      <c r="AA428" s="252"/>
      <c r="AB428" s="252"/>
      <c r="AC428" s="252"/>
      <c r="AD428" s="252"/>
      <c r="AE428" s="252"/>
      <c r="AF428" s="252"/>
      <c r="AG428" s="252"/>
      <c r="AH428" s="252"/>
      <c r="AI428" s="252"/>
      <c r="AJ428" s="252"/>
      <c r="AK428" s="252"/>
      <c r="AL428" s="252"/>
      <c r="AM428" s="252"/>
      <c r="AN428" s="252"/>
      <c r="AO428" s="252"/>
      <c r="AP428" s="252"/>
      <c r="AQ428" s="252"/>
      <c r="AR428" s="252"/>
      <c r="AS428" s="252"/>
      <c r="AT428" s="252"/>
      <c r="AU428" s="195"/>
      <c r="AV428" s="195"/>
      <c r="AW428" s="195"/>
      <c r="AX428" s="195"/>
      <c r="AY428" s="195"/>
      <c r="AZ428" s="195"/>
      <c r="BA428" s="195"/>
      <c r="BB428" s="195"/>
      <c r="BC428" s="195"/>
      <c r="BD428" s="195"/>
      <c r="BE428" s="195"/>
      <c r="BF428" s="195"/>
      <c r="BG428" s="195"/>
      <c r="BH428" s="195"/>
      <c r="BI428" s="195"/>
      <c r="BJ428" s="195"/>
      <c r="BK428" s="195"/>
      <c r="BL428" s="195"/>
      <c r="BM428" s="195"/>
      <c r="BN428" s="195"/>
      <c r="BO428" s="195"/>
      <c r="BP428" s="195"/>
      <c r="BQ428" s="195"/>
      <c r="BR428" s="195"/>
      <c r="BS428" s="195"/>
      <c r="BT428" s="195"/>
      <c r="BU428" s="195"/>
      <c r="BV428" s="195"/>
      <c r="BW428" s="195"/>
      <c r="BX428" s="195"/>
      <c r="BY428" s="195"/>
      <c r="BZ428" s="195"/>
      <c r="CA428" s="195"/>
      <c r="CB428" s="195"/>
      <c r="CC428" s="195"/>
      <c r="CD428" s="195"/>
      <c r="CE428" s="195"/>
      <c r="CF428" s="195"/>
      <c r="CG428" s="256"/>
    </row>
    <row r="429" spans="1:85" s="254" customFormat="1" ht="13.9" customHeight="1" x14ac:dyDescent="0.2">
      <c r="A429" s="255" t="s">
        <v>126</v>
      </c>
      <c r="B429" s="187">
        <v>34</v>
      </c>
      <c r="C429" s="248" t="s">
        <v>129</v>
      </c>
      <c r="D429" s="197" t="s">
        <v>63</v>
      </c>
      <c r="E429" s="199"/>
      <c r="F429" s="199">
        <f>2289210*11</f>
        <v>25181310</v>
      </c>
      <c r="G429" s="199"/>
      <c r="H429" s="197">
        <v>72101506</v>
      </c>
      <c r="I429" s="248" t="s">
        <v>529</v>
      </c>
      <c r="J429" s="187">
        <v>2</v>
      </c>
      <c r="K429" s="187">
        <v>2</v>
      </c>
      <c r="L429" s="187">
        <v>11</v>
      </c>
      <c r="M429" s="172">
        <f t="shared" si="68"/>
        <v>1</v>
      </c>
      <c r="N429" s="180" t="s">
        <v>36</v>
      </c>
      <c r="O429" s="181" t="str">
        <f>IF(ISBLANK(N429),"",VLOOKUP(N429,[2]Parámetros!$G$2:$H$23,2,FALSE))</f>
        <v xml:space="preserve">Contratación directa (con ofertas) </v>
      </c>
      <c r="P429" s="249">
        <f t="shared" si="72"/>
        <v>1</v>
      </c>
      <c r="Q429" s="183">
        <f t="shared" si="69"/>
        <v>25181310</v>
      </c>
      <c r="R429" s="183">
        <f t="shared" si="70"/>
        <v>25181310</v>
      </c>
      <c r="S429" s="250" t="s">
        <v>223</v>
      </c>
      <c r="T429" s="249">
        <f t="shared" si="73"/>
        <v>0</v>
      </c>
      <c r="U429" s="185" t="str">
        <f t="shared" si="71"/>
        <v>SUBDIRECCION DE GESTION CONTRACTUAL</v>
      </c>
      <c r="V429" s="249" t="str">
        <f t="shared" si="74"/>
        <v>CO-DC</v>
      </c>
      <c r="W429" s="249" t="str">
        <f t="shared" si="75"/>
        <v>Distrito Capital de Bogotá</v>
      </c>
      <c r="X429" s="197" t="s">
        <v>504</v>
      </c>
      <c r="Y429" s="187">
        <v>2427400</v>
      </c>
      <c r="Z429" s="201" t="s">
        <v>131</v>
      </c>
      <c r="AA429" s="252"/>
      <c r="AB429" s="252"/>
      <c r="AC429" s="252"/>
      <c r="AD429" s="252"/>
      <c r="AE429" s="252"/>
      <c r="AF429" s="252"/>
      <c r="AG429" s="252"/>
      <c r="AH429" s="252"/>
      <c r="AI429" s="252"/>
      <c r="AJ429" s="252"/>
      <c r="AK429" s="252"/>
      <c r="AL429" s="252"/>
      <c r="AM429" s="252"/>
      <c r="AN429" s="252"/>
      <c r="AO429" s="252"/>
      <c r="AP429" s="252"/>
      <c r="AQ429" s="252"/>
      <c r="AR429" s="252"/>
      <c r="AS429" s="252"/>
      <c r="AT429" s="252"/>
      <c r="AU429" s="195"/>
      <c r="AV429" s="195"/>
      <c r="AW429" s="195"/>
      <c r="AX429" s="195"/>
      <c r="AY429" s="195"/>
      <c r="AZ429" s="195"/>
      <c r="BA429" s="195"/>
      <c r="BB429" s="195"/>
      <c r="BC429" s="195"/>
      <c r="BD429" s="195"/>
      <c r="BE429" s="195"/>
      <c r="BF429" s="195"/>
      <c r="BG429" s="195"/>
      <c r="BH429" s="195"/>
      <c r="BI429" s="195"/>
      <c r="BJ429" s="195"/>
      <c r="BK429" s="195"/>
      <c r="BL429" s="195"/>
      <c r="BM429" s="195"/>
      <c r="BN429" s="195"/>
      <c r="BO429" s="195"/>
      <c r="BP429" s="195"/>
      <c r="BQ429" s="195"/>
      <c r="BR429" s="195"/>
      <c r="BS429" s="195"/>
      <c r="BT429" s="195"/>
      <c r="BU429" s="195"/>
      <c r="BV429" s="195"/>
      <c r="BW429" s="195"/>
      <c r="BX429" s="195"/>
      <c r="BY429" s="195"/>
      <c r="BZ429" s="195"/>
      <c r="CA429" s="195"/>
      <c r="CB429" s="195"/>
      <c r="CC429" s="195"/>
      <c r="CD429" s="195"/>
      <c r="CE429" s="195"/>
      <c r="CF429" s="195"/>
      <c r="CG429" s="256"/>
    </row>
    <row r="430" spans="1:85" s="254" customFormat="1" ht="13.9" customHeight="1" x14ac:dyDescent="0.2">
      <c r="A430" s="255" t="s">
        <v>126</v>
      </c>
      <c r="B430" s="187">
        <v>35</v>
      </c>
      <c r="C430" s="248" t="s">
        <v>129</v>
      </c>
      <c r="D430" s="197" t="s">
        <v>63</v>
      </c>
      <c r="E430" s="199">
        <v>5564669</v>
      </c>
      <c r="F430" s="199">
        <v>55646690</v>
      </c>
      <c r="G430" s="199"/>
      <c r="H430" s="197" t="s">
        <v>252</v>
      </c>
      <c r="I430" s="248" t="s">
        <v>530</v>
      </c>
      <c r="J430" s="187">
        <v>1</v>
      </c>
      <c r="K430" s="187">
        <v>1</v>
      </c>
      <c r="L430" s="187">
        <v>11</v>
      </c>
      <c r="M430" s="172">
        <f t="shared" si="68"/>
        <v>1</v>
      </c>
      <c r="N430" s="180" t="s">
        <v>48</v>
      </c>
      <c r="O430" s="181" t="str">
        <f>IF(ISBLANK(N430),"",VLOOKUP(N430,[2]Parámetros!$G$2:$H$23,2,FALSE))</f>
        <v>Mínima cuantía</v>
      </c>
      <c r="P430" s="249">
        <f t="shared" si="72"/>
        <v>1</v>
      </c>
      <c r="Q430" s="183">
        <f t="shared" si="69"/>
        <v>61211359</v>
      </c>
      <c r="R430" s="183">
        <f t="shared" si="70"/>
        <v>55646690</v>
      </c>
      <c r="S430" s="250" t="s">
        <v>223</v>
      </c>
      <c r="T430" s="249">
        <f t="shared" si="73"/>
        <v>0</v>
      </c>
      <c r="U430" s="185" t="str">
        <f t="shared" si="71"/>
        <v>SUBDIRECCION DE GESTION CONTRACTUAL</v>
      </c>
      <c r="V430" s="249" t="str">
        <f t="shared" si="74"/>
        <v>CO-DC</v>
      </c>
      <c r="W430" s="249" t="str">
        <f t="shared" si="75"/>
        <v>Distrito Capital de Bogotá</v>
      </c>
      <c r="X430" s="197" t="s">
        <v>515</v>
      </c>
      <c r="Y430" s="187">
        <v>2427400</v>
      </c>
      <c r="Z430" s="201" t="s">
        <v>516</v>
      </c>
      <c r="AA430" s="252"/>
      <c r="AB430" s="252"/>
      <c r="AC430" s="252"/>
      <c r="AD430" s="252"/>
      <c r="AE430" s="252"/>
      <c r="AF430" s="252"/>
      <c r="AG430" s="252"/>
      <c r="AH430" s="252"/>
      <c r="AI430" s="252"/>
      <c r="AJ430" s="252"/>
      <c r="AK430" s="252"/>
      <c r="AL430" s="252"/>
      <c r="AM430" s="252"/>
      <c r="AN430" s="252"/>
      <c r="AO430" s="252"/>
      <c r="AP430" s="252"/>
      <c r="AQ430" s="252"/>
      <c r="AR430" s="252"/>
      <c r="AS430" s="252"/>
      <c r="AT430" s="252"/>
      <c r="AU430" s="195"/>
      <c r="AV430" s="195"/>
      <c r="AW430" s="195"/>
      <c r="AX430" s="195"/>
      <c r="AY430" s="195"/>
      <c r="AZ430" s="195"/>
      <c r="BA430" s="195"/>
      <c r="BB430" s="195"/>
      <c r="BC430" s="195"/>
      <c r="BD430" s="195"/>
      <c r="BE430" s="195"/>
      <c r="BF430" s="195"/>
      <c r="BG430" s="195"/>
      <c r="BH430" s="195"/>
      <c r="BI430" s="195"/>
      <c r="BJ430" s="195"/>
      <c r="BK430" s="195"/>
      <c r="BL430" s="195"/>
      <c r="BM430" s="195"/>
      <c r="BN430" s="195"/>
      <c r="BO430" s="195"/>
      <c r="BP430" s="195"/>
      <c r="BQ430" s="195"/>
      <c r="BR430" s="195"/>
      <c r="BS430" s="195"/>
      <c r="BT430" s="195"/>
      <c r="BU430" s="195"/>
      <c r="BV430" s="195"/>
      <c r="BW430" s="195"/>
      <c r="BX430" s="195"/>
      <c r="BY430" s="195"/>
      <c r="BZ430" s="195"/>
      <c r="CA430" s="195"/>
      <c r="CB430" s="195"/>
      <c r="CC430" s="195"/>
      <c r="CD430" s="195"/>
      <c r="CE430" s="195"/>
      <c r="CF430" s="195"/>
      <c r="CG430" s="256"/>
    </row>
    <row r="431" spans="1:85" s="254" customFormat="1" ht="13.9" customHeight="1" x14ac:dyDescent="0.2">
      <c r="A431" s="255" t="s">
        <v>126</v>
      </c>
      <c r="B431" s="187">
        <v>36</v>
      </c>
      <c r="C431" s="248" t="s">
        <v>129</v>
      </c>
      <c r="D431" s="197" t="s">
        <v>63</v>
      </c>
      <c r="E431" s="199"/>
      <c r="F431" s="199">
        <v>12700000</v>
      </c>
      <c r="G431" s="199"/>
      <c r="H431" s="197" t="s">
        <v>252</v>
      </c>
      <c r="I431" s="248" t="s">
        <v>531</v>
      </c>
      <c r="J431" s="187">
        <v>11</v>
      </c>
      <c r="K431" s="187">
        <v>11</v>
      </c>
      <c r="L431" s="187">
        <v>12</v>
      </c>
      <c r="M431" s="172">
        <f t="shared" si="68"/>
        <v>1</v>
      </c>
      <c r="N431" s="180" t="s">
        <v>53</v>
      </c>
      <c r="O431" s="181" t="str">
        <f>IF(ISBLANK(N431),"",VLOOKUP(N431,[2]Parámetros!$G$2:$H$23,2,FALSE))</f>
        <v>Seléccion abreviada - acuerdo marco</v>
      </c>
      <c r="P431" s="249">
        <f t="shared" si="72"/>
        <v>1</v>
      </c>
      <c r="Q431" s="183">
        <f t="shared" si="69"/>
        <v>12700000</v>
      </c>
      <c r="R431" s="183">
        <f t="shared" si="70"/>
        <v>12700000</v>
      </c>
      <c r="S431" s="250">
        <v>0</v>
      </c>
      <c r="T431" s="249">
        <f t="shared" si="73"/>
        <v>0</v>
      </c>
      <c r="U431" s="185" t="str">
        <f t="shared" si="71"/>
        <v>SUBDIRECCION DE GESTION CONTRACTUAL</v>
      </c>
      <c r="V431" s="249" t="str">
        <f t="shared" si="74"/>
        <v>CO-DC</v>
      </c>
      <c r="W431" s="249" t="str">
        <f t="shared" si="75"/>
        <v>Distrito Capital de Bogotá</v>
      </c>
      <c r="X431" s="197" t="s">
        <v>515</v>
      </c>
      <c r="Y431" s="187">
        <v>2427400</v>
      </c>
      <c r="Z431" s="201" t="s">
        <v>516</v>
      </c>
      <c r="AA431" s="252"/>
      <c r="AB431" s="252"/>
      <c r="AC431" s="252"/>
      <c r="AD431" s="252"/>
      <c r="AE431" s="252"/>
      <c r="AF431" s="252"/>
      <c r="AG431" s="252"/>
      <c r="AH431" s="252"/>
      <c r="AI431" s="252"/>
      <c r="AJ431" s="252"/>
      <c r="AK431" s="252"/>
      <c r="AL431" s="252"/>
      <c r="AM431" s="252"/>
      <c r="AN431" s="252"/>
      <c r="AO431" s="252"/>
      <c r="AP431" s="252"/>
      <c r="AQ431" s="252"/>
      <c r="AR431" s="252"/>
      <c r="AS431" s="252"/>
      <c r="AT431" s="252"/>
      <c r="AU431" s="195"/>
      <c r="AV431" s="195"/>
      <c r="AW431" s="195"/>
      <c r="AX431" s="195"/>
      <c r="AY431" s="195"/>
      <c r="AZ431" s="195"/>
      <c r="BA431" s="195"/>
      <c r="BB431" s="195"/>
      <c r="BC431" s="195"/>
      <c r="BD431" s="195"/>
      <c r="BE431" s="195"/>
      <c r="BF431" s="195"/>
      <c r="BG431" s="195"/>
      <c r="BH431" s="195"/>
      <c r="BI431" s="195"/>
      <c r="BJ431" s="195"/>
      <c r="BK431" s="195"/>
      <c r="BL431" s="195"/>
      <c r="BM431" s="195"/>
      <c r="BN431" s="195"/>
      <c r="BO431" s="195"/>
      <c r="BP431" s="195"/>
      <c r="BQ431" s="195"/>
      <c r="BR431" s="195"/>
      <c r="BS431" s="195"/>
      <c r="BT431" s="195"/>
      <c r="BU431" s="195"/>
      <c r="BV431" s="195"/>
      <c r="BW431" s="195"/>
      <c r="BX431" s="195"/>
      <c r="BY431" s="195"/>
      <c r="BZ431" s="195"/>
      <c r="CA431" s="195"/>
      <c r="CB431" s="195"/>
      <c r="CC431" s="195"/>
      <c r="CD431" s="195"/>
      <c r="CE431" s="195"/>
      <c r="CF431" s="195"/>
      <c r="CG431" s="256"/>
    </row>
    <row r="432" spans="1:85" s="185" customFormat="1" ht="12.75" customHeight="1" x14ac:dyDescent="0.2">
      <c r="A432" s="255" t="s">
        <v>126</v>
      </c>
      <c r="B432" s="187">
        <v>37</v>
      </c>
      <c r="C432" s="248" t="s">
        <v>129</v>
      </c>
      <c r="D432" s="197" t="s">
        <v>63</v>
      </c>
      <c r="E432" s="199">
        <v>8550524</v>
      </c>
      <c r="F432" s="199">
        <v>85505239</v>
      </c>
      <c r="G432" s="199"/>
      <c r="H432" s="197" t="s">
        <v>252</v>
      </c>
      <c r="I432" s="248" t="s">
        <v>532</v>
      </c>
      <c r="J432" s="187">
        <v>1</v>
      </c>
      <c r="K432" s="187">
        <v>1</v>
      </c>
      <c r="L432" s="187">
        <v>11</v>
      </c>
      <c r="M432" s="172">
        <f t="shared" si="68"/>
        <v>1</v>
      </c>
      <c r="N432" s="180" t="s">
        <v>53</v>
      </c>
      <c r="O432" s="181" t="str">
        <f>IF(ISBLANK(N432),"",VLOOKUP(N432,[2]Parámetros!$G$2:$H$23,2,FALSE))</f>
        <v>Seléccion abreviada - acuerdo marco</v>
      </c>
      <c r="P432" s="249">
        <f t="shared" si="72"/>
        <v>1</v>
      </c>
      <c r="Q432" s="183">
        <f t="shared" si="69"/>
        <v>94055763</v>
      </c>
      <c r="R432" s="183">
        <f t="shared" si="70"/>
        <v>85505239</v>
      </c>
      <c r="S432" s="250" t="s">
        <v>223</v>
      </c>
      <c r="T432" s="249">
        <f t="shared" si="73"/>
        <v>0</v>
      </c>
      <c r="U432" s="185" t="str">
        <f t="shared" si="71"/>
        <v>SUBDIRECCION DE GESTION CONTRACTUAL</v>
      </c>
      <c r="V432" s="249" t="str">
        <f t="shared" si="74"/>
        <v>CO-DC</v>
      </c>
      <c r="W432" s="249" t="str">
        <f t="shared" si="75"/>
        <v>Distrito Capital de Bogotá</v>
      </c>
      <c r="X432" s="197" t="s">
        <v>515</v>
      </c>
      <c r="Y432" s="187">
        <v>2427400</v>
      </c>
      <c r="Z432" s="201" t="s">
        <v>516</v>
      </c>
      <c r="AA432" s="252"/>
      <c r="AB432" s="252"/>
      <c r="AC432" s="252"/>
      <c r="AD432" s="252"/>
      <c r="AE432" s="252"/>
      <c r="AF432" s="252"/>
      <c r="AG432" s="252"/>
      <c r="AH432" s="252"/>
      <c r="AI432" s="252"/>
      <c r="AJ432" s="252"/>
      <c r="AK432" s="252"/>
      <c r="AL432" s="252"/>
      <c r="AM432" s="252"/>
      <c r="AN432" s="252"/>
      <c r="AO432" s="252"/>
      <c r="AP432" s="252"/>
      <c r="AQ432" s="252"/>
      <c r="AR432" s="252"/>
      <c r="AS432" s="252"/>
      <c r="AT432" s="252"/>
      <c r="AU432" s="195"/>
      <c r="AV432" s="195"/>
      <c r="AW432" s="195"/>
      <c r="AX432" s="195"/>
      <c r="AY432" s="195"/>
      <c r="AZ432" s="195"/>
      <c r="BA432" s="195"/>
      <c r="BB432" s="195"/>
      <c r="BC432" s="195"/>
      <c r="BD432" s="195"/>
      <c r="BE432" s="195"/>
      <c r="BF432" s="195"/>
      <c r="BG432" s="195"/>
      <c r="BH432" s="195"/>
      <c r="BI432" s="195"/>
      <c r="BJ432" s="195"/>
      <c r="BK432" s="195"/>
      <c r="BL432" s="195"/>
      <c r="BM432" s="195"/>
      <c r="BN432" s="195"/>
      <c r="BO432" s="195"/>
      <c r="BP432" s="195"/>
      <c r="BQ432" s="195"/>
      <c r="BR432" s="195"/>
      <c r="BS432" s="195"/>
      <c r="BT432" s="195"/>
      <c r="BU432" s="195"/>
      <c r="BV432" s="195"/>
      <c r="BW432" s="195"/>
      <c r="BX432" s="195"/>
      <c r="BY432" s="195"/>
      <c r="BZ432" s="195"/>
      <c r="CA432" s="195"/>
      <c r="CB432" s="195"/>
      <c r="CC432" s="195"/>
      <c r="CD432" s="195"/>
      <c r="CE432" s="195"/>
      <c r="CF432" s="195"/>
      <c r="CG432" s="256"/>
    </row>
    <row r="433" spans="1:85" s="254" customFormat="1" ht="13.9" customHeight="1" x14ac:dyDescent="0.2">
      <c r="A433" s="255" t="s">
        <v>126</v>
      </c>
      <c r="B433" s="187">
        <v>38</v>
      </c>
      <c r="C433" s="248" t="s">
        <v>129</v>
      </c>
      <c r="D433" s="197" t="s">
        <v>63</v>
      </c>
      <c r="E433" s="199">
        <v>1000000</v>
      </c>
      <c r="F433" s="199">
        <v>10000000</v>
      </c>
      <c r="G433" s="199"/>
      <c r="H433" s="197" t="s">
        <v>252</v>
      </c>
      <c r="I433" s="248" t="s">
        <v>533</v>
      </c>
      <c r="J433" s="187">
        <v>1</v>
      </c>
      <c r="K433" s="187">
        <v>1</v>
      </c>
      <c r="L433" s="187">
        <v>11</v>
      </c>
      <c r="M433" s="172">
        <f t="shared" si="68"/>
        <v>1</v>
      </c>
      <c r="N433" s="180" t="s">
        <v>53</v>
      </c>
      <c r="O433" s="181" t="str">
        <f>IF(ISBLANK(N433),"",VLOOKUP(N433,[2]Parámetros!$G$2:$H$23,2,FALSE))</f>
        <v>Seléccion abreviada - acuerdo marco</v>
      </c>
      <c r="P433" s="249">
        <f t="shared" si="72"/>
        <v>1</v>
      </c>
      <c r="Q433" s="183">
        <f t="shared" si="69"/>
        <v>11000000</v>
      </c>
      <c r="R433" s="183">
        <f t="shared" si="70"/>
        <v>10000000</v>
      </c>
      <c r="S433" s="250" t="s">
        <v>223</v>
      </c>
      <c r="T433" s="249">
        <f t="shared" si="73"/>
        <v>0</v>
      </c>
      <c r="U433" s="185" t="str">
        <f t="shared" si="71"/>
        <v>SUBDIRECCION DE GESTION CONTRACTUAL</v>
      </c>
      <c r="V433" s="249" t="str">
        <f t="shared" si="74"/>
        <v>CO-DC</v>
      </c>
      <c r="W433" s="249" t="str">
        <f t="shared" si="75"/>
        <v>Distrito Capital de Bogotá</v>
      </c>
      <c r="X433" s="197" t="s">
        <v>515</v>
      </c>
      <c r="Y433" s="187">
        <v>2427400</v>
      </c>
      <c r="Z433" s="201" t="s">
        <v>516</v>
      </c>
      <c r="AA433" s="252"/>
      <c r="AB433" s="252"/>
      <c r="AC433" s="252"/>
      <c r="AD433" s="252"/>
      <c r="AE433" s="252"/>
      <c r="AF433" s="252"/>
      <c r="AG433" s="252"/>
      <c r="AH433" s="252"/>
      <c r="AI433" s="252"/>
      <c r="AJ433" s="252"/>
      <c r="AK433" s="252"/>
      <c r="AL433" s="252"/>
      <c r="AM433" s="252"/>
      <c r="AN433" s="252"/>
      <c r="AO433" s="252"/>
      <c r="AP433" s="252"/>
      <c r="AQ433" s="252"/>
      <c r="AR433" s="252"/>
      <c r="AS433" s="252"/>
      <c r="AT433" s="252"/>
      <c r="AU433" s="195"/>
      <c r="AV433" s="195"/>
      <c r="AW433" s="195"/>
      <c r="AX433" s="195"/>
      <c r="AY433" s="195"/>
      <c r="AZ433" s="195"/>
      <c r="BA433" s="195"/>
      <c r="BB433" s="195"/>
      <c r="BC433" s="195"/>
      <c r="BD433" s="195"/>
      <c r="BE433" s="195"/>
      <c r="BF433" s="195"/>
      <c r="BG433" s="195"/>
      <c r="BH433" s="195"/>
      <c r="BI433" s="195"/>
      <c r="BJ433" s="195"/>
      <c r="BK433" s="195"/>
      <c r="BL433" s="195"/>
      <c r="BM433" s="195"/>
      <c r="BN433" s="195"/>
      <c r="BO433" s="195"/>
      <c r="BP433" s="195"/>
      <c r="BQ433" s="195"/>
      <c r="BR433" s="195"/>
      <c r="BS433" s="195"/>
      <c r="BT433" s="195"/>
      <c r="BU433" s="195"/>
      <c r="BV433" s="195"/>
      <c r="BW433" s="195"/>
      <c r="BX433" s="195"/>
      <c r="BY433" s="195"/>
      <c r="BZ433" s="195"/>
      <c r="CA433" s="195"/>
      <c r="CB433" s="195"/>
      <c r="CC433" s="195"/>
      <c r="CD433" s="195"/>
      <c r="CE433" s="195"/>
      <c r="CF433" s="195"/>
      <c r="CG433" s="256"/>
    </row>
    <row r="434" spans="1:85" s="254" customFormat="1" ht="13.9" customHeight="1" x14ac:dyDescent="0.2">
      <c r="A434" s="255" t="s">
        <v>126</v>
      </c>
      <c r="B434" s="187">
        <v>39</v>
      </c>
      <c r="C434" s="248" t="s">
        <v>129</v>
      </c>
      <c r="D434" s="197" t="s">
        <v>63</v>
      </c>
      <c r="E434" s="199">
        <v>1000000</v>
      </c>
      <c r="F434" s="199">
        <v>10000000</v>
      </c>
      <c r="G434" s="199"/>
      <c r="H434" s="197" t="s">
        <v>252</v>
      </c>
      <c r="I434" s="248" t="s">
        <v>534</v>
      </c>
      <c r="J434" s="187">
        <v>1</v>
      </c>
      <c r="K434" s="187">
        <v>1</v>
      </c>
      <c r="L434" s="187">
        <v>11</v>
      </c>
      <c r="M434" s="172">
        <f t="shared" si="68"/>
        <v>1</v>
      </c>
      <c r="N434" s="180" t="s">
        <v>53</v>
      </c>
      <c r="O434" s="181" t="str">
        <f>IF(ISBLANK(N434),"",VLOOKUP(N434,[2]Parámetros!$G$2:$H$23,2,FALSE))</f>
        <v>Seléccion abreviada - acuerdo marco</v>
      </c>
      <c r="P434" s="249">
        <f t="shared" si="72"/>
        <v>1</v>
      </c>
      <c r="Q434" s="183">
        <f t="shared" si="69"/>
        <v>11000000</v>
      </c>
      <c r="R434" s="183">
        <f t="shared" si="70"/>
        <v>10000000</v>
      </c>
      <c r="S434" s="250" t="s">
        <v>223</v>
      </c>
      <c r="T434" s="249">
        <f t="shared" si="73"/>
        <v>0</v>
      </c>
      <c r="U434" s="185" t="str">
        <f t="shared" si="71"/>
        <v>SUBDIRECCION DE GESTION CONTRACTUAL</v>
      </c>
      <c r="V434" s="249" t="str">
        <f t="shared" si="74"/>
        <v>CO-DC</v>
      </c>
      <c r="W434" s="249" t="str">
        <f t="shared" si="75"/>
        <v>Distrito Capital de Bogotá</v>
      </c>
      <c r="X434" s="197" t="s">
        <v>515</v>
      </c>
      <c r="Y434" s="187">
        <v>2427400</v>
      </c>
      <c r="Z434" s="201" t="s">
        <v>516</v>
      </c>
      <c r="AA434" s="252"/>
      <c r="AB434" s="252"/>
      <c r="AC434" s="252"/>
      <c r="AD434" s="252"/>
      <c r="AE434" s="252"/>
      <c r="AF434" s="252"/>
      <c r="AG434" s="252"/>
      <c r="AH434" s="252"/>
      <c r="AI434" s="252"/>
      <c r="AJ434" s="252"/>
      <c r="AK434" s="252"/>
      <c r="AL434" s="252"/>
      <c r="AM434" s="252"/>
      <c r="AN434" s="252"/>
      <c r="AO434" s="252"/>
      <c r="AP434" s="252"/>
      <c r="AQ434" s="252"/>
      <c r="AR434" s="252"/>
      <c r="AS434" s="252"/>
      <c r="AT434" s="252"/>
      <c r="AU434" s="195"/>
      <c r="AV434" s="195"/>
      <c r="AW434" s="195"/>
      <c r="AX434" s="195"/>
      <c r="AY434" s="195"/>
      <c r="AZ434" s="195"/>
      <c r="BA434" s="195"/>
      <c r="BB434" s="195"/>
      <c r="BC434" s="195"/>
      <c r="BD434" s="195"/>
      <c r="BE434" s="195"/>
      <c r="BF434" s="195"/>
      <c r="BG434" s="195"/>
      <c r="BH434" s="195"/>
      <c r="BI434" s="195"/>
      <c r="BJ434" s="195"/>
      <c r="BK434" s="195"/>
      <c r="BL434" s="195"/>
      <c r="BM434" s="195"/>
      <c r="BN434" s="195"/>
      <c r="BO434" s="195"/>
      <c r="BP434" s="195"/>
      <c r="BQ434" s="195"/>
      <c r="BR434" s="195"/>
      <c r="BS434" s="195"/>
      <c r="BT434" s="195"/>
      <c r="BU434" s="195"/>
      <c r="BV434" s="195"/>
      <c r="BW434" s="195"/>
      <c r="BX434" s="195"/>
      <c r="BY434" s="195"/>
      <c r="BZ434" s="195"/>
      <c r="CA434" s="195"/>
      <c r="CB434" s="195"/>
      <c r="CC434" s="195"/>
      <c r="CD434" s="195"/>
      <c r="CE434" s="195"/>
      <c r="CF434" s="195"/>
      <c r="CG434" s="256"/>
    </row>
    <row r="435" spans="1:85" s="254" customFormat="1" ht="13.9" customHeight="1" x14ac:dyDescent="0.2">
      <c r="A435" s="255" t="s">
        <v>126</v>
      </c>
      <c r="B435" s="187">
        <v>40</v>
      </c>
      <c r="C435" s="248" t="s">
        <v>129</v>
      </c>
      <c r="D435" s="197" t="s">
        <v>63</v>
      </c>
      <c r="E435" s="199">
        <v>1200000</v>
      </c>
      <c r="F435" s="199">
        <v>12000000</v>
      </c>
      <c r="G435" s="199"/>
      <c r="H435" s="197" t="s">
        <v>252</v>
      </c>
      <c r="I435" s="248" t="s">
        <v>535</v>
      </c>
      <c r="J435" s="187">
        <v>1</v>
      </c>
      <c r="K435" s="187">
        <v>1</v>
      </c>
      <c r="L435" s="187">
        <v>11</v>
      </c>
      <c r="M435" s="172">
        <f t="shared" si="68"/>
        <v>1</v>
      </c>
      <c r="N435" s="180" t="s">
        <v>53</v>
      </c>
      <c r="O435" s="181" t="str">
        <f>IF(ISBLANK(N435),"",VLOOKUP(N435,[2]Parámetros!$G$2:$H$23,2,FALSE))</f>
        <v>Seléccion abreviada - acuerdo marco</v>
      </c>
      <c r="P435" s="249">
        <f t="shared" si="72"/>
        <v>1</v>
      </c>
      <c r="Q435" s="183">
        <f t="shared" si="69"/>
        <v>13200000</v>
      </c>
      <c r="R435" s="183">
        <f t="shared" si="70"/>
        <v>12000000</v>
      </c>
      <c r="S435" s="250" t="s">
        <v>223</v>
      </c>
      <c r="T435" s="249">
        <f t="shared" si="73"/>
        <v>0</v>
      </c>
      <c r="U435" s="185" t="str">
        <f t="shared" si="71"/>
        <v>SUBDIRECCION DE GESTION CONTRACTUAL</v>
      </c>
      <c r="V435" s="249" t="str">
        <f t="shared" si="74"/>
        <v>CO-DC</v>
      </c>
      <c r="W435" s="249" t="str">
        <f t="shared" si="75"/>
        <v>Distrito Capital de Bogotá</v>
      </c>
      <c r="X435" s="197" t="s">
        <v>515</v>
      </c>
      <c r="Y435" s="187">
        <v>2427400</v>
      </c>
      <c r="Z435" s="201" t="s">
        <v>516</v>
      </c>
      <c r="AA435" s="252"/>
      <c r="AB435" s="252"/>
      <c r="AC435" s="252"/>
      <c r="AD435" s="252"/>
      <c r="AE435" s="252"/>
      <c r="AF435" s="252"/>
      <c r="AG435" s="252"/>
      <c r="AH435" s="252"/>
      <c r="AI435" s="252"/>
      <c r="AJ435" s="252"/>
      <c r="AK435" s="252"/>
      <c r="AL435" s="252"/>
      <c r="AM435" s="252"/>
      <c r="AN435" s="252"/>
      <c r="AO435" s="252"/>
      <c r="AP435" s="252"/>
      <c r="AQ435" s="252"/>
      <c r="AR435" s="252"/>
      <c r="AS435" s="252"/>
      <c r="AT435" s="252"/>
      <c r="AU435" s="195"/>
      <c r="AV435" s="195"/>
      <c r="AW435" s="195"/>
      <c r="AX435" s="195"/>
      <c r="AY435" s="195"/>
      <c r="AZ435" s="195"/>
      <c r="BA435" s="195"/>
      <c r="BB435" s="195"/>
      <c r="BC435" s="195"/>
      <c r="BD435" s="195"/>
      <c r="BE435" s="195"/>
      <c r="BF435" s="195"/>
      <c r="BG435" s="195"/>
      <c r="BH435" s="195"/>
      <c r="BI435" s="195"/>
      <c r="BJ435" s="195"/>
      <c r="BK435" s="195"/>
      <c r="BL435" s="195"/>
      <c r="BM435" s="195"/>
      <c r="BN435" s="195"/>
      <c r="BO435" s="195"/>
      <c r="BP435" s="195"/>
      <c r="BQ435" s="195"/>
      <c r="BR435" s="195"/>
      <c r="BS435" s="195"/>
      <c r="BT435" s="195"/>
      <c r="BU435" s="195"/>
      <c r="BV435" s="195"/>
      <c r="BW435" s="195"/>
      <c r="BX435" s="195"/>
      <c r="BY435" s="195"/>
      <c r="BZ435" s="195"/>
      <c r="CA435" s="195"/>
      <c r="CB435" s="195"/>
      <c r="CC435" s="195"/>
      <c r="CD435" s="195"/>
      <c r="CE435" s="195"/>
      <c r="CF435" s="195"/>
      <c r="CG435" s="256"/>
    </row>
    <row r="436" spans="1:85" s="254" customFormat="1" ht="13.9" customHeight="1" x14ac:dyDescent="0.2">
      <c r="A436" s="255" t="s">
        <v>126</v>
      </c>
      <c r="B436" s="187">
        <v>41</v>
      </c>
      <c r="C436" s="248" t="s">
        <v>129</v>
      </c>
      <c r="D436" s="197" t="s">
        <v>63</v>
      </c>
      <c r="E436" s="199">
        <v>1145296</v>
      </c>
      <c r="F436" s="199">
        <v>11452963</v>
      </c>
      <c r="G436" s="199"/>
      <c r="H436" s="197" t="s">
        <v>252</v>
      </c>
      <c r="I436" s="248" t="s">
        <v>536</v>
      </c>
      <c r="J436" s="187">
        <v>1</v>
      </c>
      <c r="K436" s="187">
        <v>1</v>
      </c>
      <c r="L436" s="187">
        <v>11</v>
      </c>
      <c r="M436" s="172">
        <f t="shared" si="68"/>
        <v>1</v>
      </c>
      <c r="N436" s="180" t="s">
        <v>53</v>
      </c>
      <c r="O436" s="181" t="str">
        <f>IF(ISBLANK(N436),"",VLOOKUP(N436,[2]Parámetros!$G$2:$H$23,2,FALSE))</f>
        <v>Seléccion abreviada - acuerdo marco</v>
      </c>
      <c r="P436" s="249">
        <f t="shared" si="72"/>
        <v>1</v>
      </c>
      <c r="Q436" s="183">
        <f t="shared" si="69"/>
        <v>12598259</v>
      </c>
      <c r="R436" s="183">
        <f t="shared" si="70"/>
        <v>11452963</v>
      </c>
      <c r="S436" s="250" t="s">
        <v>223</v>
      </c>
      <c r="T436" s="249">
        <f t="shared" si="73"/>
        <v>0</v>
      </c>
      <c r="U436" s="185" t="str">
        <f t="shared" si="71"/>
        <v>SUBDIRECCION DE GESTION CONTRACTUAL</v>
      </c>
      <c r="V436" s="249" t="str">
        <f t="shared" si="74"/>
        <v>CO-DC</v>
      </c>
      <c r="W436" s="249" t="str">
        <f t="shared" si="75"/>
        <v>Distrito Capital de Bogotá</v>
      </c>
      <c r="X436" s="197" t="s">
        <v>515</v>
      </c>
      <c r="Y436" s="187">
        <v>2427400</v>
      </c>
      <c r="Z436" s="201" t="s">
        <v>516</v>
      </c>
      <c r="AA436" s="252"/>
      <c r="AB436" s="252"/>
      <c r="AC436" s="252"/>
      <c r="AD436" s="252"/>
      <c r="AE436" s="252"/>
      <c r="AF436" s="252"/>
      <c r="AG436" s="252"/>
      <c r="AH436" s="252"/>
      <c r="AI436" s="252"/>
      <c r="AJ436" s="252"/>
      <c r="AK436" s="252"/>
      <c r="AL436" s="252"/>
      <c r="AM436" s="252"/>
      <c r="AN436" s="252"/>
      <c r="AO436" s="252"/>
      <c r="AP436" s="252"/>
      <c r="AQ436" s="252"/>
      <c r="AR436" s="252"/>
      <c r="AS436" s="252"/>
      <c r="AT436" s="252"/>
      <c r="AU436" s="195"/>
      <c r="AV436" s="195"/>
      <c r="AW436" s="195"/>
      <c r="AX436" s="195"/>
      <c r="AY436" s="195"/>
      <c r="AZ436" s="195"/>
      <c r="BA436" s="195"/>
      <c r="BB436" s="195"/>
      <c r="BC436" s="195"/>
      <c r="BD436" s="195"/>
      <c r="BE436" s="195"/>
      <c r="BF436" s="195"/>
      <c r="BG436" s="195"/>
      <c r="BH436" s="195"/>
      <c r="BI436" s="195"/>
      <c r="BJ436" s="195"/>
      <c r="BK436" s="195"/>
      <c r="BL436" s="195"/>
      <c r="BM436" s="195"/>
      <c r="BN436" s="195"/>
      <c r="BO436" s="195"/>
      <c r="BP436" s="195"/>
      <c r="BQ436" s="195"/>
      <c r="BR436" s="195"/>
      <c r="BS436" s="195"/>
      <c r="BT436" s="195"/>
      <c r="BU436" s="195"/>
      <c r="BV436" s="195"/>
      <c r="BW436" s="195"/>
      <c r="BX436" s="195"/>
      <c r="BY436" s="195"/>
      <c r="BZ436" s="195"/>
      <c r="CA436" s="195"/>
      <c r="CB436" s="195"/>
      <c r="CC436" s="195"/>
      <c r="CD436" s="195"/>
      <c r="CE436" s="195"/>
      <c r="CF436" s="195"/>
      <c r="CG436" s="256"/>
    </row>
    <row r="437" spans="1:85" s="254" customFormat="1" ht="13.9" customHeight="1" x14ac:dyDescent="0.2">
      <c r="A437" s="255" t="s">
        <v>126</v>
      </c>
      <c r="B437" s="187">
        <v>42</v>
      </c>
      <c r="C437" s="248" t="s">
        <v>129</v>
      </c>
      <c r="D437" s="197" t="s">
        <v>63</v>
      </c>
      <c r="E437" s="199">
        <v>3000000</v>
      </c>
      <c r="F437" s="199">
        <v>30000000</v>
      </c>
      <c r="G437" s="199"/>
      <c r="H437" s="197" t="s">
        <v>252</v>
      </c>
      <c r="I437" s="248" t="s">
        <v>537</v>
      </c>
      <c r="J437" s="187">
        <v>1</v>
      </c>
      <c r="K437" s="187">
        <v>1</v>
      </c>
      <c r="L437" s="187">
        <v>11</v>
      </c>
      <c r="M437" s="172">
        <f t="shared" si="68"/>
        <v>1</v>
      </c>
      <c r="N437" s="180" t="s">
        <v>53</v>
      </c>
      <c r="O437" s="181" t="str">
        <f>IF(ISBLANK(N437),"",VLOOKUP(N437,[2]Parámetros!$G$2:$H$23,2,FALSE))</f>
        <v>Seléccion abreviada - acuerdo marco</v>
      </c>
      <c r="P437" s="249">
        <f t="shared" si="72"/>
        <v>1</v>
      </c>
      <c r="Q437" s="183">
        <f t="shared" si="69"/>
        <v>33000000</v>
      </c>
      <c r="R437" s="183">
        <f t="shared" si="70"/>
        <v>30000000</v>
      </c>
      <c r="S437" s="250" t="s">
        <v>223</v>
      </c>
      <c r="T437" s="249">
        <f t="shared" si="73"/>
        <v>0</v>
      </c>
      <c r="U437" s="185" t="str">
        <f t="shared" si="71"/>
        <v>SUBDIRECCION DE GESTION CONTRACTUAL</v>
      </c>
      <c r="V437" s="249" t="str">
        <f t="shared" si="74"/>
        <v>CO-DC</v>
      </c>
      <c r="W437" s="249" t="str">
        <f t="shared" si="75"/>
        <v>Distrito Capital de Bogotá</v>
      </c>
      <c r="X437" s="197" t="s">
        <v>515</v>
      </c>
      <c r="Y437" s="187">
        <v>2427400</v>
      </c>
      <c r="Z437" s="201" t="s">
        <v>516</v>
      </c>
      <c r="AA437" s="252"/>
      <c r="AB437" s="252"/>
      <c r="AC437" s="252"/>
      <c r="AD437" s="252"/>
      <c r="AE437" s="252"/>
      <c r="AF437" s="252"/>
      <c r="AG437" s="252"/>
      <c r="AH437" s="252"/>
      <c r="AI437" s="252"/>
      <c r="AJ437" s="252"/>
      <c r="AK437" s="252"/>
      <c r="AL437" s="252"/>
      <c r="AM437" s="252"/>
      <c r="AN437" s="252"/>
      <c r="AO437" s="252"/>
      <c r="AP437" s="252"/>
      <c r="AQ437" s="252"/>
      <c r="AR437" s="252"/>
      <c r="AS437" s="252"/>
      <c r="AT437" s="252"/>
      <c r="AU437" s="195"/>
      <c r="AV437" s="195"/>
      <c r="AW437" s="195"/>
      <c r="AX437" s="195"/>
      <c r="AY437" s="195"/>
      <c r="AZ437" s="195"/>
      <c r="BA437" s="195"/>
      <c r="BB437" s="195"/>
      <c r="BC437" s="195"/>
      <c r="BD437" s="195"/>
      <c r="BE437" s="195"/>
      <c r="BF437" s="195"/>
      <c r="BG437" s="195"/>
      <c r="BH437" s="195"/>
      <c r="BI437" s="195"/>
      <c r="BJ437" s="195"/>
      <c r="BK437" s="195"/>
      <c r="BL437" s="195"/>
      <c r="BM437" s="195"/>
      <c r="BN437" s="195"/>
      <c r="BO437" s="195"/>
      <c r="BP437" s="195"/>
      <c r="BQ437" s="195"/>
      <c r="BR437" s="195"/>
      <c r="BS437" s="195"/>
      <c r="BT437" s="195"/>
      <c r="BU437" s="195"/>
      <c r="BV437" s="195"/>
      <c r="BW437" s="195"/>
      <c r="BX437" s="195"/>
      <c r="BY437" s="195"/>
      <c r="BZ437" s="195"/>
      <c r="CA437" s="195"/>
      <c r="CB437" s="195"/>
      <c r="CC437" s="195"/>
      <c r="CD437" s="195"/>
      <c r="CE437" s="195"/>
      <c r="CF437" s="195"/>
      <c r="CG437" s="256"/>
    </row>
    <row r="438" spans="1:85" s="185" customFormat="1" ht="12.75" customHeight="1" x14ac:dyDescent="0.2">
      <c r="A438" s="255" t="s">
        <v>126</v>
      </c>
      <c r="B438" s="187">
        <v>43</v>
      </c>
      <c r="C438" s="248" t="s">
        <v>129</v>
      </c>
      <c r="D438" s="197" t="s">
        <v>63</v>
      </c>
      <c r="E438" s="199">
        <f>7672731+1200000</f>
        <v>8872731</v>
      </c>
      <c r="F438" s="199">
        <v>88727312</v>
      </c>
      <c r="G438" s="199"/>
      <c r="H438" s="197" t="s">
        <v>252</v>
      </c>
      <c r="I438" s="248" t="s">
        <v>538</v>
      </c>
      <c r="J438" s="187">
        <v>1</v>
      </c>
      <c r="K438" s="187">
        <v>1</v>
      </c>
      <c r="L438" s="187">
        <v>11</v>
      </c>
      <c r="M438" s="172">
        <f t="shared" si="68"/>
        <v>1</v>
      </c>
      <c r="N438" s="180" t="s">
        <v>53</v>
      </c>
      <c r="O438" s="181" t="str">
        <f>IF(ISBLANK(N438),"",VLOOKUP(N438,[2]Parámetros!$G$2:$H$23,2,FALSE))</f>
        <v>Seléccion abreviada - acuerdo marco</v>
      </c>
      <c r="P438" s="249">
        <f t="shared" si="72"/>
        <v>1</v>
      </c>
      <c r="Q438" s="183">
        <f t="shared" si="69"/>
        <v>97600043</v>
      </c>
      <c r="R438" s="183">
        <f t="shared" si="70"/>
        <v>88727312</v>
      </c>
      <c r="S438" s="250" t="s">
        <v>223</v>
      </c>
      <c r="T438" s="249">
        <f t="shared" si="73"/>
        <v>0</v>
      </c>
      <c r="U438" s="185" t="str">
        <f t="shared" si="71"/>
        <v>SUBDIRECCION DE GESTION CONTRACTUAL</v>
      </c>
      <c r="V438" s="249" t="str">
        <f t="shared" si="74"/>
        <v>CO-DC</v>
      </c>
      <c r="W438" s="249" t="str">
        <f t="shared" si="75"/>
        <v>Distrito Capital de Bogotá</v>
      </c>
      <c r="X438" s="197" t="s">
        <v>515</v>
      </c>
      <c r="Y438" s="187">
        <v>2427400</v>
      </c>
      <c r="Z438" s="201" t="s">
        <v>516</v>
      </c>
      <c r="AA438" s="252"/>
      <c r="AB438" s="252"/>
      <c r="AC438" s="252"/>
      <c r="AD438" s="252"/>
      <c r="AE438" s="252"/>
      <c r="AF438" s="252"/>
      <c r="AG438" s="252"/>
      <c r="AH438" s="252"/>
      <c r="AI438" s="252"/>
      <c r="AJ438" s="252"/>
      <c r="AK438" s="252"/>
      <c r="AL438" s="252"/>
      <c r="AM438" s="252"/>
      <c r="AN438" s="252"/>
      <c r="AO438" s="252"/>
      <c r="AP438" s="252"/>
      <c r="AQ438" s="252"/>
      <c r="AR438" s="252"/>
      <c r="AS438" s="252"/>
      <c r="AT438" s="252"/>
      <c r="AU438" s="195"/>
      <c r="AV438" s="195"/>
      <c r="AW438" s="195"/>
      <c r="AX438" s="195"/>
      <c r="AY438" s="195"/>
      <c r="AZ438" s="195"/>
      <c r="BA438" s="195"/>
      <c r="BB438" s="195"/>
      <c r="BC438" s="195"/>
      <c r="BD438" s="195"/>
      <c r="BE438" s="195"/>
      <c r="BF438" s="195"/>
      <c r="BG438" s="195"/>
      <c r="BH438" s="195"/>
      <c r="BI438" s="195"/>
      <c r="BJ438" s="195"/>
      <c r="BK438" s="195"/>
      <c r="BL438" s="195"/>
      <c r="BM438" s="195"/>
      <c r="BN438" s="195"/>
      <c r="BO438" s="195"/>
      <c r="BP438" s="195"/>
      <c r="BQ438" s="195"/>
      <c r="BR438" s="195"/>
      <c r="BS438" s="195"/>
      <c r="BT438" s="195"/>
      <c r="BU438" s="195"/>
      <c r="BV438" s="195"/>
      <c r="BW438" s="195"/>
      <c r="BX438" s="195"/>
      <c r="BY438" s="195"/>
      <c r="BZ438" s="195"/>
      <c r="CA438" s="195"/>
      <c r="CB438" s="195"/>
      <c r="CC438" s="195"/>
      <c r="CD438" s="195"/>
      <c r="CE438" s="195"/>
      <c r="CF438" s="195"/>
      <c r="CG438" s="256"/>
    </row>
    <row r="439" spans="1:85" s="254" customFormat="1" ht="13.9" customHeight="1" x14ac:dyDescent="0.2">
      <c r="A439" s="255" t="s">
        <v>126</v>
      </c>
      <c r="B439" s="187">
        <v>44</v>
      </c>
      <c r="C439" s="248" t="s">
        <v>129</v>
      </c>
      <c r="D439" s="197" t="s">
        <v>63</v>
      </c>
      <c r="E439" s="199">
        <f>1100000*3+1400000</f>
        <v>4700000</v>
      </c>
      <c r="F439" s="199">
        <v>47000000</v>
      </c>
      <c r="G439" s="199"/>
      <c r="H439" s="197" t="s">
        <v>252</v>
      </c>
      <c r="I439" s="248" t="s">
        <v>539</v>
      </c>
      <c r="J439" s="187">
        <v>1</v>
      </c>
      <c r="K439" s="187">
        <v>1</v>
      </c>
      <c r="L439" s="187">
        <v>11</v>
      </c>
      <c r="M439" s="172">
        <f t="shared" si="68"/>
        <v>1</v>
      </c>
      <c r="N439" s="180" t="s">
        <v>53</v>
      </c>
      <c r="O439" s="181" t="str">
        <f>IF(ISBLANK(N439),"",VLOOKUP(N439,[2]Parámetros!$G$2:$H$23,2,FALSE))</f>
        <v>Seléccion abreviada - acuerdo marco</v>
      </c>
      <c r="P439" s="249">
        <f t="shared" si="72"/>
        <v>1</v>
      </c>
      <c r="Q439" s="183">
        <f t="shared" si="69"/>
        <v>51700000</v>
      </c>
      <c r="R439" s="183">
        <f t="shared" si="70"/>
        <v>47000000</v>
      </c>
      <c r="S439" s="250" t="s">
        <v>223</v>
      </c>
      <c r="T439" s="249">
        <f t="shared" si="73"/>
        <v>0</v>
      </c>
      <c r="U439" s="185" t="str">
        <f t="shared" si="71"/>
        <v>SUBDIRECCION DE GESTION CONTRACTUAL</v>
      </c>
      <c r="V439" s="249" t="str">
        <f t="shared" si="74"/>
        <v>CO-DC</v>
      </c>
      <c r="W439" s="249" t="str">
        <f t="shared" si="75"/>
        <v>Distrito Capital de Bogotá</v>
      </c>
      <c r="X439" s="197" t="s">
        <v>515</v>
      </c>
      <c r="Y439" s="187">
        <v>2427400</v>
      </c>
      <c r="Z439" s="201" t="s">
        <v>516</v>
      </c>
      <c r="AA439" s="252"/>
      <c r="AB439" s="252"/>
      <c r="AC439" s="252"/>
      <c r="AD439" s="252"/>
      <c r="AE439" s="252"/>
      <c r="AF439" s="252"/>
      <c r="AG439" s="252"/>
      <c r="AH439" s="252"/>
      <c r="AI439" s="252"/>
      <c r="AJ439" s="252"/>
      <c r="AK439" s="252"/>
      <c r="AL439" s="252"/>
      <c r="AM439" s="252"/>
      <c r="AN439" s="252"/>
      <c r="AO439" s="252"/>
      <c r="AP439" s="252"/>
      <c r="AQ439" s="252"/>
      <c r="AR439" s="252"/>
      <c r="AS439" s="252"/>
      <c r="AT439" s="252"/>
      <c r="AU439" s="195"/>
      <c r="AV439" s="195"/>
      <c r="AW439" s="195"/>
      <c r="AX439" s="195"/>
      <c r="AY439" s="195"/>
      <c r="AZ439" s="195"/>
      <c r="BA439" s="195"/>
      <c r="BB439" s="195"/>
      <c r="BC439" s="195"/>
      <c r="BD439" s="195"/>
      <c r="BE439" s="195"/>
      <c r="BF439" s="195"/>
      <c r="BG439" s="195"/>
      <c r="BH439" s="195"/>
      <c r="BI439" s="195"/>
      <c r="BJ439" s="195"/>
      <c r="BK439" s="195"/>
      <c r="BL439" s="195"/>
      <c r="BM439" s="195"/>
      <c r="BN439" s="195"/>
      <c r="BO439" s="195"/>
      <c r="BP439" s="195"/>
      <c r="BQ439" s="195"/>
      <c r="BR439" s="195"/>
      <c r="BS439" s="195"/>
      <c r="BT439" s="195"/>
      <c r="BU439" s="195"/>
      <c r="BV439" s="195"/>
      <c r="BW439" s="195"/>
      <c r="BX439" s="195"/>
      <c r="BY439" s="195"/>
      <c r="BZ439" s="195"/>
      <c r="CA439" s="195"/>
      <c r="CB439" s="195"/>
      <c r="CC439" s="195"/>
      <c r="CD439" s="195"/>
      <c r="CE439" s="195"/>
      <c r="CF439" s="195"/>
      <c r="CG439" s="256"/>
    </row>
    <row r="440" spans="1:85" s="185" customFormat="1" ht="12.75" customHeight="1" x14ac:dyDescent="0.2">
      <c r="A440" s="255" t="s">
        <v>126</v>
      </c>
      <c r="B440" s="187">
        <v>45</v>
      </c>
      <c r="C440" s="248" t="s">
        <v>129</v>
      </c>
      <c r="D440" s="197" t="s">
        <v>63</v>
      </c>
      <c r="E440" s="199">
        <f>1100000*2</f>
        <v>2200000</v>
      </c>
      <c r="F440" s="199">
        <v>22000000</v>
      </c>
      <c r="G440" s="199"/>
      <c r="H440" s="197" t="s">
        <v>252</v>
      </c>
      <c r="I440" s="248" t="s">
        <v>869</v>
      </c>
      <c r="J440" s="187">
        <v>1</v>
      </c>
      <c r="K440" s="187">
        <v>1</v>
      </c>
      <c r="L440" s="187">
        <v>11</v>
      </c>
      <c r="M440" s="172">
        <f t="shared" si="68"/>
        <v>1</v>
      </c>
      <c r="N440" s="180" t="s">
        <v>53</v>
      </c>
      <c r="O440" s="181" t="str">
        <f>IF(ISBLANK(N440),"",VLOOKUP(N440,[2]Parámetros!$G$2:$H$23,2,FALSE))</f>
        <v>Seléccion abreviada - acuerdo marco</v>
      </c>
      <c r="P440" s="249">
        <f t="shared" si="72"/>
        <v>1</v>
      </c>
      <c r="Q440" s="183">
        <f t="shared" si="69"/>
        <v>24200000</v>
      </c>
      <c r="R440" s="183">
        <f t="shared" si="70"/>
        <v>22000000</v>
      </c>
      <c r="S440" s="250" t="s">
        <v>223</v>
      </c>
      <c r="T440" s="249">
        <f t="shared" si="73"/>
        <v>0</v>
      </c>
      <c r="U440" s="185" t="str">
        <f t="shared" si="71"/>
        <v>SUBDIRECCION DE GESTION CONTRACTUAL</v>
      </c>
      <c r="V440" s="249" t="str">
        <f t="shared" si="74"/>
        <v>CO-DC</v>
      </c>
      <c r="W440" s="249" t="str">
        <f t="shared" si="75"/>
        <v>Distrito Capital de Bogotá</v>
      </c>
      <c r="X440" s="197" t="s">
        <v>515</v>
      </c>
      <c r="Y440" s="187">
        <v>2427400</v>
      </c>
      <c r="Z440" s="201" t="s">
        <v>516</v>
      </c>
      <c r="AA440" s="252"/>
      <c r="AB440" s="252"/>
      <c r="AC440" s="252"/>
      <c r="AD440" s="252"/>
      <c r="AE440" s="252"/>
      <c r="AF440" s="252"/>
      <c r="AG440" s="252"/>
      <c r="AH440" s="252"/>
      <c r="AI440" s="252"/>
      <c r="AJ440" s="252"/>
      <c r="AK440" s="252"/>
      <c r="AL440" s="252"/>
      <c r="AM440" s="252"/>
      <c r="AN440" s="252"/>
      <c r="AO440" s="252"/>
      <c r="AP440" s="252"/>
      <c r="AQ440" s="252"/>
      <c r="AR440" s="252"/>
      <c r="AS440" s="252"/>
      <c r="AT440" s="252"/>
      <c r="AU440" s="195"/>
      <c r="AV440" s="195"/>
      <c r="AW440" s="195"/>
      <c r="AX440" s="195"/>
      <c r="AY440" s="195"/>
      <c r="AZ440" s="195"/>
      <c r="BA440" s="195"/>
      <c r="BB440" s="195"/>
      <c r="BC440" s="195"/>
      <c r="BD440" s="195"/>
      <c r="BE440" s="195"/>
      <c r="BF440" s="195"/>
      <c r="BG440" s="195"/>
      <c r="BH440" s="195"/>
      <c r="BI440" s="195"/>
      <c r="BJ440" s="195"/>
      <c r="BK440" s="195"/>
      <c r="BL440" s="195"/>
      <c r="BM440" s="195"/>
      <c r="BN440" s="195"/>
      <c r="BO440" s="195"/>
      <c r="BP440" s="195"/>
      <c r="BQ440" s="195"/>
      <c r="BR440" s="195"/>
      <c r="BS440" s="195"/>
      <c r="BT440" s="195"/>
      <c r="BU440" s="195"/>
      <c r="BV440" s="195"/>
      <c r="BW440" s="195"/>
      <c r="BX440" s="195"/>
      <c r="BY440" s="195"/>
      <c r="BZ440" s="195"/>
      <c r="CA440" s="195"/>
      <c r="CB440" s="195"/>
      <c r="CC440" s="195"/>
      <c r="CD440" s="195"/>
      <c r="CE440" s="195"/>
      <c r="CF440" s="195"/>
      <c r="CG440" s="256"/>
    </row>
    <row r="441" spans="1:85" s="254" customFormat="1" ht="13.9" customHeight="1" x14ac:dyDescent="0.2">
      <c r="A441" s="255" t="s">
        <v>126</v>
      </c>
      <c r="B441" s="187">
        <v>46</v>
      </c>
      <c r="C441" s="248" t="s">
        <v>129</v>
      </c>
      <c r="D441" s="197" t="s">
        <v>63</v>
      </c>
      <c r="E441" s="199">
        <v>0</v>
      </c>
      <c r="F441" s="199">
        <v>0</v>
      </c>
      <c r="G441" s="199"/>
      <c r="H441" s="197" t="s">
        <v>252</v>
      </c>
      <c r="I441" s="248" t="s">
        <v>850</v>
      </c>
      <c r="J441" s="187">
        <v>1</v>
      </c>
      <c r="K441" s="187">
        <v>1</v>
      </c>
      <c r="L441" s="187">
        <v>11</v>
      </c>
      <c r="M441" s="172">
        <f t="shared" si="68"/>
        <v>1</v>
      </c>
      <c r="N441" s="180" t="s">
        <v>53</v>
      </c>
      <c r="O441" s="181" t="str">
        <f>IF(ISBLANK(N441),"",VLOOKUP(N441,[2]Parámetros!$G$2:$H$23,2,FALSE))</f>
        <v>Seléccion abreviada - acuerdo marco</v>
      </c>
      <c r="P441" s="249">
        <f t="shared" si="72"/>
        <v>1</v>
      </c>
      <c r="Q441" s="183">
        <f t="shared" si="69"/>
        <v>0</v>
      </c>
      <c r="R441" s="183">
        <f t="shared" si="70"/>
        <v>0</v>
      </c>
      <c r="S441" s="250" t="s">
        <v>223</v>
      </c>
      <c r="T441" s="249">
        <f t="shared" si="73"/>
        <v>0</v>
      </c>
      <c r="U441" s="185" t="str">
        <f t="shared" si="71"/>
        <v>SUBDIRECCION DE GESTION CONTRACTUAL</v>
      </c>
      <c r="V441" s="249" t="str">
        <f t="shared" si="74"/>
        <v>CO-DC</v>
      </c>
      <c r="W441" s="249" t="str">
        <f t="shared" si="75"/>
        <v>Distrito Capital de Bogotá</v>
      </c>
      <c r="X441" s="197" t="s">
        <v>515</v>
      </c>
      <c r="Y441" s="187">
        <v>2427400</v>
      </c>
      <c r="Z441" s="201" t="s">
        <v>516</v>
      </c>
      <c r="AA441" s="252"/>
      <c r="AB441" s="252"/>
      <c r="AC441" s="252"/>
      <c r="AD441" s="252"/>
      <c r="AE441" s="252"/>
      <c r="AF441" s="252"/>
      <c r="AG441" s="252"/>
      <c r="AH441" s="252"/>
      <c r="AI441" s="252"/>
      <c r="AJ441" s="252"/>
      <c r="AK441" s="252"/>
      <c r="AL441" s="252"/>
      <c r="AM441" s="252"/>
      <c r="AN441" s="252"/>
      <c r="AO441" s="252"/>
      <c r="AP441" s="252"/>
      <c r="AQ441" s="252"/>
      <c r="AR441" s="252"/>
      <c r="AS441" s="252"/>
      <c r="AT441" s="252"/>
      <c r="AU441" s="195"/>
      <c r="AV441" s="195"/>
      <c r="AW441" s="195"/>
      <c r="AX441" s="195"/>
      <c r="AY441" s="195"/>
      <c r="AZ441" s="195"/>
      <c r="BA441" s="195"/>
      <c r="BB441" s="195"/>
      <c r="BC441" s="195"/>
      <c r="BD441" s="195"/>
      <c r="BE441" s="195"/>
      <c r="BF441" s="195"/>
      <c r="BG441" s="195"/>
      <c r="BH441" s="195"/>
      <c r="BI441" s="195"/>
      <c r="BJ441" s="195"/>
      <c r="BK441" s="195"/>
      <c r="BL441" s="195"/>
      <c r="BM441" s="195"/>
      <c r="BN441" s="195"/>
      <c r="BO441" s="195"/>
      <c r="BP441" s="195"/>
      <c r="BQ441" s="195"/>
      <c r="BR441" s="195"/>
      <c r="BS441" s="195"/>
      <c r="BT441" s="195"/>
      <c r="BU441" s="195"/>
      <c r="BV441" s="195"/>
      <c r="BW441" s="195"/>
      <c r="BX441" s="195"/>
      <c r="BY441" s="195"/>
      <c r="BZ441" s="195"/>
      <c r="CA441" s="195"/>
      <c r="CB441" s="195"/>
      <c r="CC441" s="195"/>
      <c r="CD441" s="195"/>
      <c r="CE441" s="195"/>
      <c r="CF441" s="195"/>
      <c r="CG441" s="256"/>
    </row>
    <row r="442" spans="1:85" s="185" customFormat="1" ht="12.75" customHeight="1" x14ac:dyDescent="0.2">
      <c r="A442" s="255" t="s">
        <v>126</v>
      </c>
      <c r="B442" s="187">
        <v>47</v>
      </c>
      <c r="C442" s="248" t="s">
        <v>129</v>
      </c>
      <c r="D442" s="197" t="s">
        <v>63</v>
      </c>
      <c r="E442" s="199"/>
      <c r="F442" s="199">
        <v>18533351</v>
      </c>
      <c r="G442" s="199"/>
      <c r="H442" s="197" t="s">
        <v>252</v>
      </c>
      <c r="I442" s="248" t="s">
        <v>540</v>
      </c>
      <c r="J442" s="187">
        <v>11</v>
      </c>
      <c r="K442" s="187">
        <v>11</v>
      </c>
      <c r="L442" s="187">
        <v>12</v>
      </c>
      <c r="M442" s="172">
        <f t="shared" si="68"/>
        <v>1</v>
      </c>
      <c r="N442" s="250" t="s">
        <v>53</v>
      </c>
      <c r="O442" s="257" t="str">
        <f>IF(ISBLANK(N442),"",VLOOKUP(N442,[2]Parámetros!$G$2:$H$23,2,FALSE))</f>
        <v>Seléccion abreviada - acuerdo marco</v>
      </c>
      <c r="P442" s="249">
        <f t="shared" si="72"/>
        <v>1</v>
      </c>
      <c r="Q442" s="183">
        <f t="shared" si="69"/>
        <v>18533351</v>
      </c>
      <c r="R442" s="183">
        <f t="shared" si="70"/>
        <v>18533351</v>
      </c>
      <c r="S442" s="250" t="s">
        <v>223</v>
      </c>
      <c r="T442" s="249">
        <f t="shared" si="73"/>
        <v>0</v>
      </c>
      <c r="U442" s="185" t="str">
        <f t="shared" si="71"/>
        <v>SUBDIRECCION DE GESTION CONTRACTUAL</v>
      </c>
      <c r="V442" s="172" t="str">
        <f t="shared" si="74"/>
        <v>CO-DC</v>
      </c>
      <c r="W442" s="249" t="str">
        <f t="shared" si="75"/>
        <v>Distrito Capital de Bogotá</v>
      </c>
      <c r="X442" s="197" t="s">
        <v>515</v>
      </c>
      <c r="Y442" s="187">
        <v>2427400</v>
      </c>
      <c r="Z442" s="201" t="s">
        <v>516</v>
      </c>
      <c r="AA442" s="252"/>
      <c r="AB442" s="252"/>
      <c r="AC442" s="252"/>
      <c r="AD442" s="252"/>
      <c r="AE442" s="252"/>
      <c r="AF442" s="252"/>
      <c r="AG442" s="252"/>
      <c r="AH442" s="252"/>
      <c r="AI442" s="252"/>
      <c r="AJ442" s="252"/>
      <c r="AK442" s="252"/>
      <c r="AL442" s="252"/>
      <c r="AM442" s="252"/>
      <c r="AN442" s="252"/>
      <c r="AO442" s="252"/>
      <c r="AP442" s="252"/>
      <c r="AQ442" s="252"/>
      <c r="AR442" s="252"/>
      <c r="AS442" s="252"/>
      <c r="AT442" s="252"/>
      <c r="AU442" s="195"/>
      <c r="AV442" s="195"/>
      <c r="AW442" s="195"/>
      <c r="AX442" s="195"/>
      <c r="AY442" s="195"/>
      <c r="AZ442" s="195"/>
      <c r="BA442" s="195"/>
      <c r="BB442" s="195"/>
      <c r="BC442" s="195"/>
      <c r="BD442" s="195"/>
      <c r="BE442" s="195"/>
      <c r="BF442" s="195"/>
      <c r="BG442" s="195"/>
      <c r="BH442" s="195"/>
      <c r="BI442" s="195"/>
      <c r="BJ442" s="195"/>
      <c r="BK442" s="195"/>
      <c r="BL442" s="195"/>
      <c r="BM442" s="195"/>
      <c r="BN442" s="195"/>
      <c r="BO442" s="195"/>
      <c r="BP442" s="195"/>
      <c r="BQ442" s="195"/>
      <c r="BR442" s="195"/>
      <c r="BS442" s="195"/>
      <c r="BT442" s="195"/>
      <c r="BU442" s="195"/>
      <c r="BV442" s="195"/>
      <c r="BW442" s="195"/>
      <c r="BX442" s="195"/>
      <c r="BY442" s="195"/>
      <c r="BZ442" s="195"/>
      <c r="CA442" s="195"/>
      <c r="CB442" s="195"/>
      <c r="CC442" s="195"/>
      <c r="CD442" s="195"/>
      <c r="CE442" s="195"/>
      <c r="CF442" s="195"/>
      <c r="CG442" s="256"/>
    </row>
    <row r="443" spans="1:85" s="185" customFormat="1" ht="12.75" customHeight="1" x14ac:dyDescent="0.2">
      <c r="A443" s="255" t="s">
        <v>126</v>
      </c>
      <c r="B443" s="187">
        <v>48</v>
      </c>
      <c r="C443" s="248" t="s">
        <v>129</v>
      </c>
      <c r="D443" s="197" t="s">
        <v>144</v>
      </c>
      <c r="E443" s="199"/>
      <c r="F443" s="199">
        <f>26000000</f>
        <v>26000000</v>
      </c>
      <c r="G443" s="199"/>
      <c r="H443" s="197">
        <v>82121700</v>
      </c>
      <c r="I443" s="248" t="s">
        <v>541</v>
      </c>
      <c r="J443" s="187">
        <v>2</v>
      </c>
      <c r="K443" s="187">
        <v>3</v>
      </c>
      <c r="L443" s="187">
        <v>11</v>
      </c>
      <c r="M443" s="172">
        <f t="shared" si="68"/>
        <v>1</v>
      </c>
      <c r="N443" s="180" t="s">
        <v>48</v>
      </c>
      <c r="O443" s="181" t="str">
        <f>IF(ISBLANK(N443),"",VLOOKUP(N443,[2]Parámetros!$G$2:$H$23,2,FALSE))</f>
        <v>Mínima cuantía</v>
      </c>
      <c r="P443" s="249">
        <f t="shared" ref="P443:P462" si="76">IF(ISBLANK(N443),"",1)</f>
        <v>1</v>
      </c>
      <c r="Q443" s="183">
        <f t="shared" si="69"/>
        <v>26000000</v>
      </c>
      <c r="R443" s="183">
        <f t="shared" si="70"/>
        <v>26000000</v>
      </c>
      <c r="S443" s="250" t="s">
        <v>223</v>
      </c>
      <c r="T443" s="249">
        <f t="shared" ref="T443:T462" si="77">IF(ISBLANK(S443),"",IF(VALUE(S443)=0,0,IF(VALUE(S443)=1,3,"")))</f>
        <v>0</v>
      </c>
      <c r="U443" s="185" t="str">
        <f t="shared" si="71"/>
        <v>SUBDIRECCION DE GESTION CONTRACTUAL</v>
      </c>
      <c r="V443" s="249" t="str">
        <f t="shared" si="74"/>
        <v>CO-DC</v>
      </c>
      <c r="W443" s="249" t="str">
        <f t="shared" si="75"/>
        <v>Distrito Capital de Bogotá</v>
      </c>
      <c r="X443" s="197" t="s">
        <v>504</v>
      </c>
      <c r="Y443" s="187">
        <v>2427400</v>
      </c>
      <c r="Z443" s="201" t="s">
        <v>131</v>
      </c>
      <c r="AA443" s="252"/>
      <c r="AB443" s="252"/>
      <c r="AC443" s="252"/>
      <c r="AD443" s="252"/>
      <c r="AE443" s="252"/>
      <c r="AF443" s="252"/>
      <c r="AG443" s="252"/>
      <c r="AH443" s="252"/>
      <c r="AI443" s="252"/>
      <c r="AJ443" s="252"/>
      <c r="AK443" s="252"/>
      <c r="AL443" s="252"/>
      <c r="AM443" s="252"/>
      <c r="AN443" s="252"/>
      <c r="AO443" s="252"/>
      <c r="AP443" s="252"/>
      <c r="AQ443" s="252"/>
      <c r="AR443" s="252"/>
      <c r="AS443" s="252"/>
      <c r="AT443" s="252"/>
      <c r="AU443" s="195"/>
      <c r="AV443" s="195"/>
      <c r="AW443" s="195"/>
      <c r="AX443" s="195"/>
      <c r="AY443" s="195"/>
      <c r="AZ443" s="195"/>
      <c r="BA443" s="195"/>
      <c r="BB443" s="195"/>
      <c r="BC443" s="195"/>
      <c r="BD443" s="195"/>
      <c r="BE443" s="195"/>
      <c r="BF443" s="195"/>
      <c r="BG443" s="195"/>
      <c r="BH443" s="195"/>
      <c r="BI443" s="195"/>
      <c r="BJ443" s="195"/>
      <c r="BK443" s="195"/>
      <c r="BL443" s="195"/>
      <c r="BM443" s="195"/>
      <c r="BN443" s="195"/>
      <c r="BO443" s="195"/>
      <c r="BP443" s="195"/>
      <c r="BQ443" s="195"/>
      <c r="BR443" s="195"/>
      <c r="BS443" s="195"/>
      <c r="BT443" s="195"/>
      <c r="BU443" s="195"/>
      <c r="BV443" s="195"/>
      <c r="BW443" s="195"/>
      <c r="BX443" s="195"/>
      <c r="BY443" s="195"/>
      <c r="BZ443" s="195"/>
      <c r="CA443" s="195"/>
      <c r="CB443" s="195"/>
      <c r="CC443" s="195"/>
      <c r="CD443" s="195"/>
      <c r="CE443" s="195"/>
      <c r="CF443" s="195"/>
      <c r="CG443" s="256"/>
    </row>
    <row r="444" spans="1:85" s="185" customFormat="1" ht="12.75" customHeight="1" x14ac:dyDescent="0.2">
      <c r="A444" s="255" t="s">
        <v>126</v>
      </c>
      <c r="B444" s="187">
        <v>49</v>
      </c>
      <c r="C444" s="248" t="s">
        <v>129</v>
      </c>
      <c r="D444" s="197" t="s">
        <v>123</v>
      </c>
      <c r="E444" s="199"/>
      <c r="F444" s="199">
        <f>11013429</f>
        <v>11013429</v>
      </c>
      <c r="G444" s="199"/>
      <c r="H444" s="197" t="s">
        <v>280</v>
      </c>
      <c r="I444" s="248" t="s">
        <v>542</v>
      </c>
      <c r="J444" s="187">
        <v>3</v>
      </c>
      <c r="K444" s="187">
        <v>4</v>
      </c>
      <c r="L444" s="187">
        <v>8</v>
      </c>
      <c r="M444" s="172">
        <f t="shared" si="68"/>
        <v>1</v>
      </c>
      <c r="N444" s="180" t="s">
        <v>43</v>
      </c>
      <c r="O444" s="181" t="str">
        <f>IF(ISBLANK(N444),"",VLOOKUP(N444,[2]Parámetros!$G$2:$H$23,2,FALSE))</f>
        <v>Selección abreviada subasta inversa</v>
      </c>
      <c r="P444" s="249">
        <f t="shared" si="76"/>
        <v>1</v>
      </c>
      <c r="Q444" s="183">
        <f t="shared" si="69"/>
        <v>11013429</v>
      </c>
      <c r="R444" s="183">
        <f t="shared" si="70"/>
        <v>11013429</v>
      </c>
      <c r="S444" s="250" t="s">
        <v>223</v>
      </c>
      <c r="T444" s="249">
        <f t="shared" si="77"/>
        <v>0</v>
      </c>
      <c r="U444" s="185" t="str">
        <f t="shared" si="71"/>
        <v>SUBDIRECCION DE GESTION CONTRACTUAL</v>
      </c>
      <c r="V444" s="249" t="str">
        <f t="shared" si="74"/>
        <v>CO-DC</v>
      </c>
      <c r="W444" s="249" t="str">
        <f t="shared" si="75"/>
        <v>Distrito Capital de Bogotá</v>
      </c>
      <c r="X444" s="197" t="s">
        <v>73</v>
      </c>
      <c r="Y444" s="187">
        <v>2427400</v>
      </c>
      <c r="Z444" s="201" t="s">
        <v>74</v>
      </c>
      <c r="AA444" s="252"/>
      <c r="AB444" s="252"/>
      <c r="AC444" s="252"/>
      <c r="AD444" s="252"/>
      <c r="AE444" s="252"/>
      <c r="AF444" s="252"/>
      <c r="AG444" s="252"/>
      <c r="AH444" s="252"/>
      <c r="AI444" s="252"/>
      <c r="AJ444" s="252"/>
      <c r="AK444" s="252"/>
      <c r="AL444" s="252"/>
      <c r="AM444" s="252"/>
      <c r="AN444" s="252"/>
      <c r="AO444" s="252"/>
      <c r="AP444" s="252"/>
      <c r="AQ444" s="252"/>
      <c r="AR444" s="252"/>
      <c r="AS444" s="252"/>
      <c r="AT444" s="252"/>
      <c r="AU444" s="195"/>
      <c r="AV444" s="195"/>
      <c r="AW444" s="195"/>
      <c r="AX444" s="195"/>
      <c r="AY444" s="195"/>
      <c r="AZ444" s="195"/>
      <c r="BA444" s="195"/>
      <c r="BB444" s="195"/>
      <c r="BC444" s="195"/>
      <c r="BD444" s="195"/>
      <c r="BE444" s="195"/>
      <c r="BF444" s="195"/>
      <c r="BG444" s="195"/>
      <c r="BH444" s="195"/>
      <c r="BI444" s="195"/>
      <c r="BJ444" s="195"/>
      <c r="BK444" s="195"/>
      <c r="BL444" s="195"/>
      <c r="BM444" s="195"/>
      <c r="BN444" s="195"/>
      <c r="BO444" s="195"/>
      <c r="BP444" s="195"/>
      <c r="BQ444" s="195"/>
      <c r="BR444" s="195"/>
      <c r="BS444" s="195"/>
      <c r="BT444" s="195"/>
      <c r="BU444" s="195"/>
      <c r="BV444" s="195"/>
      <c r="BW444" s="195"/>
      <c r="BX444" s="195"/>
      <c r="BY444" s="195"/>
      <c r="BZ444" s="195"/>
      <c r="CA444" s="195"/>
      <c r="CB444" s="195"/>
      <c r="CC444" s="195"/>
      <c r="CD444" s="195"/>
      <c r="CE444" s="195"/>
      <c r="CF444" s="195"/>
      <c r="CG444" s="256"/>
    </row>
    <row r="445" spans="1:85" s="185" customFormat="1" ht="12.75" customHeight="1" x14ac:dyDescent="0.2">
      <c r="A445" s="255" t="s">
        <v>126</v>
      </c>
      <c r="B445" s="187">
        <v>50</v>
      </c>
      <c r="C445" s="248" t="s">
        <v>129</v>
      </c>
      <c r="D445" s="197" t="s">
        <v>146</v>
      </c>
      <c r="E445" s="199">
        <v>23218050</v>
      </c>
      <c r="F445" s="199">
        <v>513351091</v>
      </c>
      <c r="G445" s="199"/>
      <c r="H445" s="197" t="s">
        <v>795</v>
      </c>
      <c r="I445" s="248" t="s">
        <v>543</v>
      </c>
      <c r="J445" s="196">
        <v>1</v>
      </c>
      <c r="K445" s="196">
        <v>1</v>
      </c>
      <c r="L445" s="196">
        <v>8</v>
      </c>
      <c r="M445" s="172">
        <f t="shared" si="68"/>
        <v>1</v>
      </c>
      <c r="N445" s="180" t="s">
        <v>36</v>
      </c>
      <c r="O445" s="181" t="str">
        <f>IF(ISBLANK(N445),"",VLOOKUP(N445,[2]Parámetros!$G$2:$H$23,2,FALSE))</f>
        <v xml:space="preserve">Contratación directa (con ofertas) </v>
      </c>
      <c r="P445" s="249">
        <f t="shared" si="76"/>
        <v>1</v>
      </c>
      <c r="Q445" s="183">
        <f t="shared" si="69"/>
        <v>536569141</v>
      </c>
      <c r="R445" s="183">
        <f t="shared" si="70"/>
        <v>513351091</v>
      </c>
      <c r="S445" s="250" t="s">
        <v>223</v>
      </c>
      <c r="T445" s="249">
        <f t="shared" si="77"/>
        <v>0</v>
      </c>
      <c r="U445" s="185" t="str">
        <f t="shared" si="71"/>
        <v>SUBDIRECCION DE GESTION CONTRACTUAL</v>
      </c>
      <c r="V445" s="249" t="str">
        <f t="shared" si="74"/>
        <v>CO-DC</v>
      </c>
      <c r="W445" s="249" t="str">
        <f t="shared" si="75"/>
        <v>Distrito Capital de Bogotá</v>
      </c>
      <c r="X445" s="197" t="s">
        <v>504</v>
      </c>
      <c r="Y445" s="187">
        <v>2427400</v>
      </c>
      <c r="Z445" s="201" t="s">
        <v>131</v>
      </c>
      <c r="AA445" s="252"/>
      <c r="AB445" s="252"/>
      <c r="AC445" s="252"/>
      <c r="AD445" s="252"/>
      <c r="AE445" s="252"/>
      <c r="AF445" s="252"/>
      <c r="AG445" s="252"/>
      <c r="AH445" s="252"/>
      <c r="AI445" s="252"/>
      <c r="AJ445" s="252"/>
      <c r="AK445" s="252"/>
      <c r="AL445" s="252"/>
      <c r="AM445" s="252"/>
      <c r="AN445" s="252"/>
      <c r="AO445" s="252"/>
      <c r="AP445" s="252"/>
      <c r="AQ445" s="252"/>
      <c r="AR445" s="252"/>
      <c r="AS445" s="252"/>
      <c r="AT445" s="252"/>
      <c r="AU445" s="195"/>
      <c r="AV445" s="195"/>
      <c r="AW445" s="195"/>
      <c r="AX445" s="195"/>
      <c r="AY445" s="195"/>
      <c r="AZ445" s="195"/>
      <c r="BA445" s="195"/>
      <c r="BB445" s="195"/>
      <c r="BC445" s="195"/>
      <c r="BD445" s="195"/>
      <c r="BE445" s="195"/>
      <c r="BF445" s="195"/>
      <c r="BG445" s="195"/>
      <c r="BH445" s="195"/>
      <c r="BI445" s="195"/>
      <c r="BJ445" s="195"/>
      <c r="BK445" s="195"/>
      <c r="BL445" s="195"/>
      <c r="BM445" s="195"/>
      <c r="BN445" s="195"/>
      <c r="BO445" s="195"/>
      <c r="BP445" s="195"/>
      <c r="BQ445" s="195"/>
      <c r="BR445" s="195"/>
      <c r="BS445" s="195"/>
      <c r="BT445" s="195"/>
      <c r="BU445" s="195"/>
      <c r="BV445" s="195"/>
      <c r="BW445" s="195"/>
      <c r="BX445" s="195"/>
      <c r="BY445" s="195"/>
      <c r="BZ445" s="195"/>
      <c r="CA445" s="195"/>
      <c r="CB445" s="195"/>
      <c r="CC445" s="195"/>
      <c r="CD445" s="195"/>
      <c r="CE445" s="195"/>
      <c r="CF445" s="195"/>
      <c r="CG445" s="256"/>
    </row>
    <row r="446" spans="1:85" s="189" customFormat="1" ht="12.75" customHeight="1" x14ac:dyDescent="0.2">
      <c r="A446" s="247" t="s">
        <v>126</v>
      </c>
      <c r="B446" s="187">
        <v>51</v>
      </c>
      <c r="C446" s="248" t="s">
        <v>129</v>
      </c>
      <c r="D446" s="197" t="s">
        <v>146</v>
      </c>
      <c r="E446" s="199"/>
      <c r="F446" s="199">
        <v>1255848909</v>
      </c>
      <c r="G446" s="199"/>
      <c r="H446" s="197" t="s">
        <v>795</v>
      </c>
      <c r="I446" s="248" t="s">
        <v>544</v>
      </c>
      <c r="J446" s="187">
        <v>9</v>
      </c>
      <c r="K446" s="187">
        <v>9</v>
      </c>
      <c r="L446" s="187">
        <v>12</v>
      </c>
      <c r="M446" s="172">
        <f t="shared" si="68"/>
        <v>1</v>
      </c>
      <c r="N446" s="180" t="s">
        <v>36</v>
      </c>
      <c r="O446" s="181" t="str">
        <f>IF(ISBLANK(N446),"",VLOOKUP(N446,[2]Parámetros!$G$2:$H$23,2,FALSE))</f>
        <v xml:space="preserve">Contratación directa (con ofertas) </v>
      </c>
      <c r="P446" s="249">
        <f t="shared" si="76"/>
        <v>1</v>
      </c>
      <c r="Q446" s="183">
        <f t="shared" si="69"/>
        <v>1255848909</v>
      </c>
      <c r="R446" s="183">
        <f t="shared" si="70"/>
        <v>1255848909</v>
      </c>
      <c r="S446" s="250" t="s">
        <v>226</v>
      </c>
      <c r="T446" s="249">
        <f t="shared" si="77"/>
        <v>3</v>
      </c>
      <c r="U446" s="185" t="str">
        <f t="shared" si="71"/>
        <v>SUBDIRECCION DE GESTION CONTRACTUAL</v>
      </c>
      <c r="V446" s="249" t="str">
        <f t="shared" si="74"/>
        <v>CO-DC</v>
      </c>
      <c r="W446" s="249" t="str">
        <f t="shared" si="75"/>
        <v>Distrito Capital de Bogotá</v>
      </c>
      <c r="X446" s="197" t="s">
        <v>504</v>
      </c>
      <c r="Y446" s="187">
        <v>2427400</v>
      </c>
      <c r="Z446" s="201" t="s">
        <v>131</v>
      </c>
      <c r="AA446" s="252"/>
      <c r="AB446" s="252"/>
      <c r="AC446" s="252"/>
      <c r="AD446" s="252"/>
      <c r="AE446" s="252"/>
      <c r="AF446" s="252"/>
      <c r="AG446" s="252"/>
      <c r="AH446" s="252"/>
      <c r="AI446" s="252"/>
      <c r="AJ446" s="252"/>
      <c r="AK446" s="252"/>
      <c r="AL446" s="252"/>
      <c r="AM446" s="252"/>
      <c r="AN446" s="252"/>
      <c r="AO446" s="252"/>
      <c r="AP446" s="252"/>
      <c r="AQ446" s="252"/>
      <c r="AR446" s="252"/>
      <c r="AS446" s="252"/>
      <c r="AT446" s="252"/>
      <c r="AU446" s="195"/>
      <c r="AV446" s="195"/>
      <c r="AW446" s="195"/>
      <c r="AX446" s="195"/>
      <c r="AY446" s="195"/>
      <c r="AZ446" s="195"/>
      <c r="BA446" s="195"/>
      <c r="BB446" s="195"/>
      <c r="BC446" s="195"/>
      <c r="BD446" s="195"/>
      <c r="BE446" s="195"/>
      <c r="BF446" s="195"/>
      <c r="BG446" s="195"/>
      <c r="BH446" s="195"/>
      <c r="BI446" s="195"/>
      <c r="BJ446" s="195"/>
      <c r="BK446" s="195"/>
      <c r="BL446" s="195"/>
      <c r="BM446" s="195"/>
      <c r="BN446" s="195"/>
      <c r="BO446" s="195"/>
      <c r="BP446" s="195"/>
      <c r="BQ446" s="195"/>
      <c r="BR446" s="195"/>
      <c r="BS446" s="195"/>
      <c r="BT446" s="195"/>
      <c r="BU446" s="195"/>
      <c r="BV446" s="195"/>
      <c r="BW446" s="195"/>
      <c r="BX446" s="195"/>
      <c r="BY446" s="195"/>
      <c r="BZ446" s="195"/>
      <c r="CA446" s="195"/>
      <c r="CB446" s="195"/>
      <c r="CC446" s="195"/>
      <c r="CD446" s="195"/>
      <c r="CE446" s="195"/>
      <c r="CF446" s="195"/>
      <c r="CG446" s="195"/>
    </row>
    <row r="447" spans="1:85" s="185" customFormat="1" ht="12.75" customHeight="1" x14ac:dyDescent="0.2">
      <c r="A447" s="255" t="s">
        <v>126</v>
      </c>
      <c r="B447" s="187">
        <v>52</v>
      </c>
      <c r="C447" s="248" t="s">
        <v>129</v>
      </c>
      <c r="D447" s="197" t="s">
        <v>147</v>
      </c>
      <c r="E447" s="199"/>
      <c r="F447" s="199"/>
      <c r="G447" s="199"/>
      <c r="H447" s="197" t="s">
        <v>791</v>
      </c>
      <c r="I447" s="248" t="s">
        <v>545</v>
      </c>
      <c r="J447" s="187">
        <v>1</v>
      </c>
      <c r="K447" s="187">
        <v>1</v>
      </c>
      <c r="L447" s="187">
        <v>24</v>
      </c>
      <c r="M447" s="172">
        <f t="shared" si="68"/>
        <v>1</v>
      </c>
      <c r="N447" s="180" t="s">
        <v>148</v>
      </c>
      <c r="O447" s="181" t="str">
        <f>IF(ISBLANK(N447),"",VLOOKUP(N447,[2]Parámetros!$G$2:$H$23,2,FALSE))</f>
        <v>Contratación régimen especial - Régimen especial</v>
      </c>
      <c r="P447" s="249">
        <f t="shared" si="76"/>
        <v>1</v>
      </c>
      <c r="Q447" s="183">
        <f t="shared" si="69"/>
        <v>0</v>
      </c>
      <c r="R447" s="183">
        <f t="shared" si="70"/>
        <v>0</v>
      </c>
      <c r="S447" s="250" t="s">
        <v>223</v>
      </c>
      <c r="T447" s="249">
        <f t="shared" si="77"/>
        <v>0</v>
      </c>
      <c r="U447" s="185" t="str">
        <f t="shared" si="71"/>
        <v>SUBDIRECCION DE GESTION CONTRACTUAL</v>
      </c>
      <c r="V447" s="249" t="str">
        <f t="shared" si="74"/>
        <v>CO-DC</v>
      </c>
      <c r="W447" s="249" t="str">
        <f t="shared" si="75"/>
        <v>Distrito Capital de Bogotá</v>
      </c>
      <c r="X447" s="197" t="s">
        <v>504</v>
      </c>
      <c r="Y447" s="187">
        <v>2427400</v>
      </c>
      <c r="Z447" s="201" t="s">
        <v>131</v>
      </c>
      <c r="AA447" s="252"/>
      <c r="AB447" s="252"/>
      <c r="AC447" s="252"/>
      <c r="AD447" s="252"/>
      <c r="AE447" s="252"/>
      <c r="AF447" s="252"/>
      <c r="AG447" s="252"/>
      <c r="AH447" s="252"/>
      <c r="AI447" s="252"/>
      <c r="AJ447" s="252"/>
      <c r="AK447" s="252"/>
      <c r="AL447" s="252"/>
      <c r="AM447" s="252"/>
      <c r="AN447" s="252"/>
      <c r="AO447" s="252"/>
      <c r="AP447" s="252"/>
      <c r="AQ447" s="252"/>
      <c r="AR447" s="252"/>
      <c r="AS447" s="252"/>
      <c r="AT447" s="252"/>
      <c r="AU447" s="195"/>
      <c r="AV447" s="195"/>
      <c r="AW447" s="195"/>
      <c r="AX447" s="195"/>
      <c r="AY447" s="195"/>
      <c r="AZ447" s="195"/>
      <c r="BA447" s="195"/>
      <c r="BB447" s="195"/>
      <c r="BC447" s="195"/>
      <c r="BD447" s="195"/>
      <c r="BE447" s="195"/>
      <c r="BF447" s="195"/>
      <c r="BG447" s="195"/>
      <c r="BH447" s="195"/>
      <c r="BI447" s="195"/>
      <c r="BJ447" s="195"/>
      <c r="BK447" s="195"/>
      <c r="BL447" s="195"/>
      <c r="BM447" s="195"/>
      <c r="BN447" s="195"/>
      <c r="BO447" s="195"/>
      <c r="BP447" s="195"/>
      <c r="BQ447" s="195"/>
      <c r="BR447" s="195"/>
      <c r="BS447" s="195"/>
      <c r="BT447" s="195"/>
      <c r="BU447" s="195"/>
      <c r="BV447" s="195"/>
      <c r="BW447" s="195"/>
      <c r="BX447" s="195"/>
      <c r="BY447" s="195"/>
      <c r="BZ447" s="195"/>
      <c r="CA447" s="195"/>
      <c r="CB447" s="195"/>
      <c r="CC447" s="195"/>
      <c r="CD447" s="195"/>
      <c r="CE447" s="195"/>
      <c r="CF447" s="195"/>
      <c r="CG447" s="256"/>
    </row>
    <row r="448" spans="1:85" s="254" customFormat="1" ht="13.9" customHeight="1" x14ac:dyDescent="0.2">
      <c r="A448" s="255" t="s">
        <v>180</v>
      </c>
      <c r="B448" s="187">
        <v>1</v>
      </c>
      <c r="C448" s="248" t="s">
        <v>46</v>
      </c>
      <c r="D448" s="197" t="s">
        <v>58</v>
      </c>
      <c r="E448" s="199"/>
      <c r="F448" s="199">
        <v>451000000</v>
      </c>
      <c r="G448" s="199"/>
      <c r="H448" s="197">
        <v>80111600</v>
      </c>
      <c r="I448" s="248" t="s">
        <v>559</v>
      </c>
      <c r="J448" s="187">
        <v>1</v>
      </c>
      <c r="K448" s="187">
        <v>1</v>
      </c>
      <c r="L448" s="187">
        <v>12</v>
      </c>
      <c r="M448" s="172">
        <f t="shared" si="68"/>
        <v>1</v>
      </c>
      <c r="N448" s="180" t="s">
        <v>216</v>
      </c>
      <c r="O448" s="181" t="str">
        <f>IF(ISBLANK(N448),"",VLOOKUP(N448,[14]Parámetros!$G$2:$H$23,2,FALSE))</f>
        <v>Contratación directa.</v>
      </c>
      <c r="P448" s="249">
        <f t="shared" si="76"/>
        <v>1</v>
      </c>
      <c r="Q448" s="183">
        <f t="shared" si="69"/>
        <v>451000000</v>
      </c>
      <c r="R448" s="183">
        <f t="shared" si="70"/>
        <v>451000000</v>
      </c>
      <c r="S448" s="250" t="s">
        <v>223</v>
      </c>
      <c r="T448" s="249">
        <f t="shared" si="77"/>
        <v>0</v>
      </c>
      <c r="U448" s="185" t="str">
        <f t="shared" si="71"/>
        <v>SUBDIRECCION DE GESTION CONTRACTUAL</v>
      </c>
      <c r="V448" s="249" t="str">
        <f t="shared" si="74"/>
        <v>CO-DC</v>
      </c>
      <c r="W448" s="249" t="str">
        <f t="shared" si="75"/>
        <v>Distrito Capital de Bogotá</v>
      </c>
      <c r="X448" s="197" t="s">
        <v>678</v>
      </c>
      <c r="Y448" s="187">
        <v>2427400</v>
      </c>
      <c r="Z448" s="201" t="s">
        <v>560</v>
      </c>
      <c r="AA448" s="252"/>
      <c r="AB448" s="252"/>
      <c r="AC448" s="252"/>
      <c r="AD448" s="252"/>
      <c r="AE448" s="252"/>
      <c r="AF448" s="252"/>
      <c r="AG448" s="252"/>
      <c r="AH448" s="252"/>
      <c r="AI448" s="252"/>
      <c r="AJ448" s="252"/>
      <c r="AK448" s="252"/>
      <c r="AL448" s="252"/>
      <c r="AM448" s="252"/>
      <c r="AN448" s="252"/>
      <c r="AO448" s="252"/>
      <c r="AP448" s="252"/>
      <c r="AQ448" s="252"/>
      <c r="AR448" s="252"/>
      <c r="AS448" s="252"/>
      <c r="AT448" s="252"/>
      <c r="AU448" s="195"/>
      <c r="AV448" s="195"/>
      <c r="AW448" s="195"/>
      <c r="AX448" s="195"/>
      <c r="AY448" s="195"/>
      <c r="AZ448" s="195"/>
      <c r="BA448" s="195"/>
      <c r="BB448" s="195"/>
      <c r="BC448" s="195"/>
      <c r="BD448" s="195"/>
      <c r="BE448" s="195"/>
      <c r="BF448" s="195"/>
      <c r="BG448" s="195"/>
      <c r="BH448" s="195"/>
      <c r="BI448" s="195"/>
      <c r="BJ448" s="195"/>
      <c r="BK448" s="195"/>
      <c r="BL448" s="195"/>
      <c r="BM448" s="195"/>
      <c r="BN448" s="195"/>
      <c r="BO448" s="195"/>
      <c r="BP448" s="195"/>
      <c r="BQ448" s="195"/>
      <c r="BR448" s="195"/>
      <c r="BS448" s="195"/>
      <c r="BT448" s="195"/>
      <c r="BU448" s="195"/>
      <c r="BV448" s="195"/>
      <c r="BW448" s="195"/>
      <c r="BX448" s="195"/>
      <c r="BY448" s="195"/>
      <c r="BZ448" s="195"/>
      <c r="CA448" s="195"/>
      <c r="CB448" s="195"/>
      <c r="CC448" s="195"/>
      <c r="CD448" s="195"/>
      <c r="CE448" s="195"/>
      <c r="CF448" s="195"/>
      <c r="CG448" s="256"/>
    </row>
    <row r="449" spans="1:85" s="254" customFormat="1" ht="13.9" customHeight="1" x14ac:dyDescent="0.2">
      <c r="A449" s="255" t="s">
        <v>149</v>
      </c>
      <c r="B449" s="187">
        <v>1</v>
      </c>
      <c r="C449" s="248" t="s">
        <v>561</v>
      </c>
      <c r="D449" s="197" t="s">
        <v>153</v>
      </c>
      <c r="E449" s="199"/>
      <c r="F449" s="199">
        <v>600000000</v>
      </c>
      <c r="G449" s="199"/>
      <c r="H449" s="197">
        <v>80111600</v>
      </c>
      <c r="I449" s="248" t="s">
        <v>654</v>
      </c>
      <c r="J449" s="187">
        <v>1</v>
      </c>
      <c r="K449" s="187">
        <v>1</v>
      </c>
      <c r="L449" s="187">
        <v>12</v>
      </c>
      <c r="M449" s="172">
        <f t="shared" si="68"/>
        <v>1</v>
      </c>
      <c r="N449" s="180" t="s">
        <v>216</v>
      </c>
      <c r="O449" s="181" t="str">
        <f>IF(ISBLANK(N449),"",VLOOKUP(N449,[16]Parámetros!$G$2:$H$23,2,FALSE))</f>
        <v>Contratación directa.</v>
      </c>
      <c r="P449" s="249">
        <f t="shared" si="76"/>
        <v>1</v>
      </c>
      <c r="Q449" s="183">
        <f t="shared" si="69"/>
        <v>600000000</v>
      </c>
      <c r="R449" s="183">
        <f t="shared" si="70"/>
        <v>600000000</v>
      </c>
      <c r="S449" s="250" t="s">
        <v>223</v>
      </c>
      <c r="T449" s="249">
        <f t="shared" si="77"/>
        <v>0</v>
      </c>
      <c r="U449" s="185" t="str">
        <f t="shared" si="71"/>
        <v>SUBDIRECCION DE GESTION CONTRACTUAL</v>
      </c>
      <c r="V449" s="249" t="str">
        <f t="shared" si="74"/>
        <v>CO-DC</v>
      </c>
      <c r="W449" s="249" t="str">
        <f t="shared" si="75"/>
        <v>Distrito Capital de Bogotá</v>
      </c>
      <c r="X449" s="197" t="s">
        <v>151</v>
      </c>
      <c r="Y449" s="187">
        <v>2427400</v>
      </c>
      <c r="Z449" s="201" t="s">
        <v>152</v>
      </c>
      <c r="AA449" s="252"/>
      <c r="AB449" s="252"/>
      <c r="AC449" s="252"/>
      <c r="AD449" s="252"/>
      <c r="AE449" s="252"/>
      <c r="AF449" s="252"/>
      <c r="AG449" s="252"/>
      <c r="AH449" s="252"/>
      <c r="AI449" s="252"/>
      <c r="AJ449" s="252"/>
      <c r="AK449" s="252"/>
      <c r="AL449" s="252"/>
      <c r="AM449" s="252"/>
      <c r="AN449" s="252"/>
      <c r="AO449" s="252"/>
      <c r="AP449" s="252"/>
      <c r="AQ449" s="252"/>
      <c r="AR449" s="252"/>
      <c r="AS449" s="252"/>
      <c r="AT449" s="252"/>
      <c r="AU449" s="195"/>
      <c r="AV449" s="195"/>
      <c r="AW449" s="195"/>
      <c r="AX449" s="195"/>
      <c r="AY449" s="195"/>
      <c r="AZ449" s="195"/>
      <c r="BA449" s="195"/>
      <c r="BB449" s="195"/>
      <c r="BC449" s="195"/>
      <c r="BD449" s="195"/>
      <c r="BE449" s="195"/>
      <c r="BF449" s="195"/>
      <c r="BG449" s="195"/>
      <c r="BH449" s="195"/>
      <c r="BI449" s="195"/>
      <c r="BJ449" s="195"/>
      <c r="BK449" s="195"/>
      <c r="BL449" s="195"/>
      <c r="BM449" s="195"/>
      <c r="BN449" s="195"/>
      <c r="BO449" s="195"/>
      <c r="BP449" s="195"/>
      <c r="BQ449" s="195"/>
      <c r="BR449" s="195"/>
      <c r="BS449" s="195"/>
      <c r="BT449" s="195"/>
      <c r="BU449" s="195"/>
      <c r="BV449" s="195"/>
      <c r="BW449" s="195"/>
      <c r="BX449" s="195"/>
      <c r="BY449" s="195"/>
      <c r="BZ449" s="195"/>
      <c r="CA449" s="195"/>
      <c r="CB449" s="195"/>
      <c r="CC449" s="195"/>
      <c r="CD449" s="195"/>
      <c r="CE449" s="195"/>
      <c r="CF449" s="195"/>
      <c r="CG449" s="256"/>
    </row>
    <row r="450" spans="1:85" s="254" customFormat="1" ht="13.9" customHeight="1" x14ac:dyDescent="0.2">
      <c r="A450" s="255" t="s">
        <v>149</v>
      </c>
      <c r="B450" s="187">
        <v>2</v>
      </c>
      <c r="C450" s="248" t="s">
        <v>561</v>
      </c>
      <c r="D450" s="197" t="s">
        <v>153</v>
      </c>
      <c r="E450" s="199"/>
      <c r="F450" s="199">
        <v>270100000</v>
      </c>
      <c r="G450" s="199"/>
      <c r="H450" s="175" t="s">
        <v>801</v>
      </c>
      <c r="I450" s="248" t="s">
        <v>624</v>
      </c>
      <c r="J450" s="177">
        <v>2</v>
      </c>
      <c r="K450" s="178">
        <v>3</v>
      </c>
      <c r="L450" s="179">
        <v>9</v>
      </c>
      <c r="M450" s="172">
        <f t="shared" si="68"/>
        <v>1</v>
      </c>
      <c r="N450" s="180" t="s">
        <v>234</v>
      </c>
      <c r="O450" s="181" t="str">
        <f>IF(ISBLANK(N450),"",VLOOKUP(N450,[16]Parámetros!$G$2:$H$23,2,FALSE))</f>
        <v>Licitación pública</v>
      </c>
      <c r="P450" s="249">
        <f t="shared" si="76"/>
        <v>1</v>
      </c>
      <c r="Q450" s="183">
        <f t="shared" si="69"/>
        <v>270100000</v>
      </c>
      <c r="R450" s="183">
        <f t="shared" si="70"/>
        <v>270100000</v>
      </c>
      <c r="S450" s="250" t="s">
        <v>223</v>
      </c>
      <c r="T450" s="249">
        <f t="shared" si="77"/>
        <v>0</v>
      </c>
      <c r="U450" s="185" t="str">
        <f t="shared" si="71"/>
        <v>SUBDIRECCION DE GESTION CONTRACTUAL</v>
      </c>
      <c r="V450" s="249" t="str">
        <f t="shared" si="74"/>
        <v>CO-DC</v>
      </c>
      <c r="W450" s="249" t="str">
        <f t="shared" si="75"/>
        <v>Distrito Capital de Bogotá</v>
      </c>
      <c r="X450" s="197" t="s">
        <v>151</v>
      </c>
      <c r="Y450" s="187">
        <v>2427400</v>
      </c>
      <c r="Z450" s="201" t="s">
        <v>152</v>
      </c>
      <c r="AA450" s="252"/>
      <c r="AB450" s="252"/>
      <c r="AC450" s="252"/>
      <c r="AD450" s="252"/>
      <c r="AE450" s="252"/>
      <c r="AF450" s="252"/>
      <c r="AG450" s="252"/>
      <c r="AH450" s="252"/>
      <c r="AI450" s="252"/>
      <c r="AJ450" s="252"/>
      <c r="AK450" s="252"/>
      <c r="AL450" s="252"/>
      <c r="AM450" s="252"/>
      <c r="AN450" s="252"/>
      <c r="AO450" s="252"/>
      <c r="AP450" s="252"/>
      <c r="AQ450" s="252"/>
      <c r="AR450" s="252"/>
      <c r="AS450" s="252"/>
      <c r="AT450" s="252"/>
      <c r="AU450" s="195"/>
      <c r="AV450" s="195"/>
      <c r="AW450" s="195"/>
      <c r="AX450" s="195"/>
      <c r="AY450" s="195"/>
      <c r="AZ450" s="195"/>
      <c r="BA450" s="195"/>
      <c r="BB450" s="195"/>
      <c r="BC450" s="195"/>
      <c r="BD450" s="195"/>
      <c r="BE450" s="195"/>
      <c r="BF450" s="195"/>
      <c r="BG450" s="195"/>
      <c r="BH450" s="195"/>
      <c r="BI450" s="195"/>
      <c r="BJ450" s="195"/>
      <c r="BK450" s="195"/>
      <c r="BL450" s="195"/>
      <c r="BM450" s="195"/>
      <c r="BN450" s="195"/>
      <c r="BO450" s="195"/>
      <c r="BP450" s="195"/>
      <c r="BQ450" s="195"/>
      <c r="BR450" s="195"/>
      <c r="BS450" s="195"/>
      <c r="BT450" s="195"/>
      <c r="BU450" s="195"/>
      <c r="BV450" s="195"/>
      <c r="BW450" s="195"/>
      <c r="BX450" s="195"/>
      <c r="BY450" s="195"/>
      <c r="BZ450" s="195"/>
      <c r="CA450" s="195"/>
      <c r="CB450" s="195"/>
      <c r="CC450" s="195"/>
      <c r="CD450" s="195"/>
      <c r="CE450" s="195"/>
      <c r="CF450" s="195"/>
      <c r="CG450" s="256"/>
    </row>
    <row r="451" spans="1:85" s="254" customFormat="1" ht="13.9" customHeight="1" x14ac:dyDescent="0.2">
      <c r="A451" s="255" t="s">
        <v>149</v>
      </c>
      <c r="B451" s="187">
        <v>3</v>
      </c>
      <c r="C451" s="248" t="s">
        <v>561</v>
      </c>
      <c r="D451" s="197" t="s">
        <v>153</v>
      </c>
      <c r="E451" s="199"/>
      <c r="F451" s="199">
        <f>20000000+50000000</f>
        <v>70000000</v>
      </c>
      <c r="G451" s="199"/>
      <c r="H451" s="175" t="s">
        <v>42</v>
      </c>
      <c r="I451" s="248" t="s">
        <v>627</v>
      </c>
      <c r="J451" s="177">
        <v>3</v>
      </c>
      <c r="K451" s="178">
        <v>4</v>
      </c>
      <c r="L451" s="179">
        <v>9</v>
      </c>
      <c r="M451" s="172">
        <f t="shared" si="68"/>
        <v>1</v>
      </c>
      <c r="N451" s="180" t="s">
        <v>61</v>
      </c>
      <c r="O451" s="181" t="str">
        <f>IF(ISBLANK(N451),"",VLOOKUP(N451,[16]Parámetros!$G$2:$H$23,2,FALSE))</f>
        <v>Contratación régimen especial - Selección de comisionista</v>
      </c>
      <c r="P451" s="249">
        <f t="shared" si="76"/>
        <v>1</v>
      </c>
      <c r="Q451" s="183">
        <f t="shared" si="69"/>
        <v>70000000</v>
      </c>
      <c r="R451" s="183">
        <f t="shared" si="70"/>
        <v>70000000</v>
      </c>
      <c r="S451" s="250" t="s">
        <v>223</v>
      </c>
      <c r="T451" s="249">
        <f t="shared" si="77"/>
        <v>0</v>
      </c>
      <c r="U451" s="185" t="str">
        <f t="shared" si="71"/>
        <v>SUBDIRECCION DE GESTION CONTRACTUAL</v>
      </c>
      <c r="V451" s="172" t="str">
        <f t="shared" si="74"/>
        <v>CO-DC</v>
      </c>
      <c r="W451" s="185" t="str">
        <f t="shared" si="75"/>
        <v>Distrito Capital de Bogotá</v>
      </c>
      <c r="X451" s="186" t="s">
        <v>359</v>
      </c>
      <c r="Y451" s="187">
        <v>2427400</v>
      </c>
      <c r="Z451" s="201" t="s">
        <v>75</v>
      </c>
      <c r="AA451" s="252"/>
      <c r="AB451" s="252"/>
      <c r="AC451" s="252"/>
      <c r="AD451" s="252"/>
      <c r="AE451" s="252"/>
      <c r="AF451" s="252"/>
      <c r="AG451" s="252"/>
      <c r="AH451" s="252"/>
      <c r="AI451" s="252"/>
      <c r="AJ451" s="252"/>
      <c r="AK451" s="252"/>
      <c r="AL451" s="252"/>
      <c r="AM451" s="252"/>
      <c r="AN451" s="252"/>
      <c r="AO451" s="252"/>
      <c r="AP451" s="252"/>
      <c r="AQ451" s="252"/>
      <c r="AR451" s="252"/>
      <c r="AS451" s="252"/>
      <c r="AT451" s="252"/>
      <c r="AU451" s="195"/>
      <c r="AV451" s="195"/>
      <c r="AW451" s="195"/>
      <c r="AX451" s="195"/>
      <c r="AY451" s="195"/>
      <c r="AZ451" s="195"/>
      <c r="BA451" s="195"/>
      <c r="BB451" s="195"/>
      <c r="BC451" s="195"/>
      <c r="BD451" s="195"/>
      <c r="BE451" s="195"/>
      <c r="BF451" s="195"/>
      <c r="BG451" s="195"/>
      <c r="BH451" s="195"/>
      <c r="BI451" s="195"/>
      <c r="BJ451" s="195"/>
      <c r="BK451" s="195"/>
      <c r="BL451" s="195"/>
      <c r="BM451" s="195"/>
      <c r="BN451" s="195"/>
      <c r="BO451" s="195"/>
      <c r="BP451" s="195"/>
      <c r="BQ451" s="195"/>
      <c r="BR451" s="195"/>
      <c r="BS451" s="195"/>
      <c r="BT451" s="195"/>
      <c r="BU451" s="195"/>
      <c r="BV451" s="195"/>
      <c r="BW451" s="195"/>
      <c r="BX451" s="195"/>
      <c r="BY451" s="195"/>
      <c r="BZ451" s="195"/>
      <c r="CA451" s="195"/>
      <c r="CB451" s="195"/>
      <c r="CC451" s="195"/>
      <c r="CD451" s="195"/>
      <c r="CE451" s="195"/>
      <c r="CF451" s="195"/>
      <c r="CG451" s="256"/>
    </row>
    <row r="452" spans="1:85" s="254" customFormat="1" ht="13.9" customHeight="1" x14ac:dyDescent="0.2">
      <c r="A452" s="255" t="s">
        <v>149</v>
      </c>
      <c r="B452" s="187">
        <v>4</v>
      </c>
      <c r="C452" s="248" t="s">
        <v>561</v>
      </c>
      <c r="D452" s="197" t="s">
        <v>562</v>
      </c>
      <c r="E452" s="199"/>
      <c r="F452" s="199">
        <v>145200000</v>
      </c>
      <c r="G452" s="199"/>
      <c r="H452" s="197" t="s">
        <v>150</v>
      </c>
      <c r="I452" s="248" t="s">
        <v>656</v>
      </c>
      <c r="J452" s="187">
        <v>5</v>
      </c>
      <c r="K452" s="187">
        <v>5</v>
      </c>
      <c r="L452" s="187">
        <v>7</v>
      </c>
      <c r="M452" s="172">
        <f t="shared" si="68"/>
        <v>1</v>
      </c>
      <c r="N452" s="180" t="s">
        <v>148</v>
      </c>
      <c r="O452" s="181" t="str">
        <f>IF(ISBLANK(N452),"",VLOOKUP(N452,[16]Parámetros!$G$2:$H$23,2,FALSE))</f>
        <v>Contratación régimen especial - Régimen especial</v>
      </c>
      <c r="P452" s="249">
        <f t="shared" si="76"/>
        <v>1</v>
      </c>
      <c r="Q452" s="183">
        <f t="shared" si="69"/>
        <v>145200000</v>
      </c>
      <c r="R452" s="183">
        <f t="shared" si="70"/>
        <v>145200000</v>
      </c>
      <c r="S452" s="250" t="s">
        <v>223</v>
      </c>
      <c r="T452" s="249">
        <f t="shared" si="77"/>
        <v>0</v>
      </c>
      <c r="U452" s="185" t="str">
        <f t="shared" si="71"/>
        <v>SUBDIRECCION DE GESTION CONTRACTUAL</v>
      </c>
      <c r="V452" s="249" t="str">
        <f t="shared" si="74"/>
        <v>CO-DC</v>
      </c>
      <c r="W452" s="249" t="str">
        <f t="shared" si="75"/>
        <v>Distrito Capital de Bogotá</v>
      </c>
      <c r="X452" s="197" t="s">
        <v>151</v>
      </c>
      <c r="Y452" s="187">
        <v>2427401</v>
      </c>
      <c r="Z452" s="201" t="s">
        <v>152</v>
      </c>
      <c r="AA452" s="252"/>
      <c r="AB452" s="252"/>
      <c r="AC452" s="252"/>
      <c r="AD452" s="252"/>
      <c r="AE452" s="252"/>
      <c r="AF452" s="252"/>
      <c r="AG452" s="252"/>
      <c r="AH452" s="252"/>
      <c r="AI452" s="252"/>
      <c r="AJ452" s="252"/>
      <c r="AK452" s="252"/>
      <c r="AL452" s="252"/>
      <c r="AM452" s="252"/>
      <c r="AN452" s="252"/>
      <c r="AO452" s="252"/>
      <c r="AP452" s="252"/>
      <c r="AQ452" s="252"/>
      <c r="AR452" s="252"/>
      <c r="AS452" s="252"/>
      <c r="AT452" s="252"/>
      <c r="AU452" s="195"/>
      <c r="AV452" s="195"/>
      <c r="AW452" s="195"/>
      <c r="AX452" s="195"/>
      <c r="AY452" s="195"/>
      <c r="AZ452" s="195"/>
      <c r="BA452" s="195"/>
      <c r="BB452" s="195"/>
      <c r="BC452" s="195"/>
      <c r="BD452" s="195"/>
      <c r="BE452" s="195"/>
      <c r="BF452" s="195"/>
      <c r="BG452" s="195"/>
      <c r="BH452" s="195"/>
      <c r="BI452" s="195"/>
      <c r="BJ452" s="195"/>
      <c r="BK452" s="195"/>
      <c r="BL452" s="195"/>
      <c r="BM452" s="195"/>
      <c r="BN452" s="195"/>
      <c r="BO452" s="195"/>
      <c r="BP452" s="195"/>
      <c r="BQ452" s="195"/>
      <c r="BR452" s="195"/>
      <c r="BS452" s="195"/>
      <c r="BT452" s="195"/>
      <c r="BU452" s="195"/>
      <c r="BV452" s="195"/>
      <c r="BW452" s="195"/>
      <c r="BX452" s="195"/>
      <c r="BY452" s="195"/>
      <c r="BZ452" s="195"/>
      <c r="CA452" s="195"/>
      <c r="CB452" s="195"/>
      <c r="CC452" s="195"/>
      <c r="CD452" s="195"/>
      <c r="CE452" s="195"/>
      <c r="CF452" s="195"/>
      <c r="CG452" s="256"/>
    </row>
    <row r="453" spans="1:85" s="254" customFormat="1" ht="13.9" customHeight="1" x14ac:dyDescent="0.2">
      <c r="A453" s="255" t="s">
        <v>149</v>
      </c>
      <c r="B453" s="187">
        <v>5</v>
      </c>
      <c r="C453" s="248" t="s">
        <v>154</v>
      </c>
      <c r="D453" s="197" t="s">
        <v>563</v>
      </c>
      <c r="E453" s="199"/>
      <c r="F453" s="199">
        <v>500000000</v>
      </c>
      <c r="G453" s="199"/>
      <c r="H453" s="197" t="s">
        <v>851</v>
      </c>
      <c r="I453" s="248" t="s">
        <v>655</v>
      </c>
      <c r="J453" s="187">
        <v>3</v>
      </c>
      <c r="K453" s="187">
        <v>3</v>
      </c>
      <c r="L453" s="187">
        <v>9</v>
      </c>
      <c r="M453" s="172">
        <f t="shared" si="68"/>
        <v>1</v>
      </c>
      <c r="N453" s="180" t="s">
        <v>36</v>
      </c>
      <c r="O453" s="181" t="str">
        <f>IF(ISBLANK(N453),"",VLOOKUP(N453,[16]Parámetros!$G$2:$H$23,2,FALSE))</f>
        <v xml:space="preserve">Contratación directa (con ofertas) </v>
      </c>
      <c r="P453" s="249">
        <f t="shared" si="76"/>
        <v>1</v>
      </c>
      <c r="Q453" s="183">
        <f t="shared" si="69"/>
        <v>500000000</v>
      </c>
      <c r="R453" s="183">
        <f t="shared" si="70"/>
        <v>500000000</v>
      </c>
      <c r="S453" s="250" t="s">
        <v>223</v>
      </c>
      <c r="T453" s="249">
        <f t="shared" si="77"/>
        <v>0</v>
      </c>
      <c r="U453" s="185" t="str">
        <f t="shared" si="71"/>
        <v>SUBDIRECCION DE GESTION CONTRACTUAL</v>
      </c>
      <c r="V453" s="249" t="str">
        <f t="shared" si="74"/>
        <v>CO-DC</v>
      </c>
      <c r="W453" s="249" t="str">
        <f t="shared" si="75"/>
        <v>Distrito Capital de Bogotá</v>
      </c>
      <c r="X453" s="197" t="s">
        <v>151</v>
      </c>
      <c r="Y453" s="187">
        <v>2427401</v>
      </c>
      <c r="Z453" s="201" t="s">
        <v>152</v>
      </c>
      <c r="AA453" s="252"/>
      <c r="AB453" s="252"/>
      <c r="AC453" s="252"/>
      <c r="AD453" s="252"/>
      <c r="AE453" s="252"/>
      <c r="AF453" s="252"/>
      <c r="AG453" s="252"/>
      <c r="AH453" s="252"/>
      <c r="AI453" s="252"/>
      <c r="AJ453" s="252"/>
      <c r="AK453" s="252"/>
      <c r="AL453" s="252"/>
      <c r="AM453" s="252"/>
      <c r="AN453" s="252"/>
      <c r="AO453" s="252"/>
      <c r="AP453" s="252"/>
      <c r="AQ453" s="252"/>
      <c r="AR453" s="252"/>
      <c r="AS453" s="252"/>
      <c r="AT453" s="252"/>
      <c r="AU453" s="195"/>
      <c r="AV453" s="195"/>
      <c r="AW453" s="195"/>
      <c r="AX453" s="195"/>
      <c r="AY453" s="195"/>
      <c r="AZ453" s="195"/>
      <c r="BA453" s="195"/>
      <c r="BB453" s="195"/>
      <c r="BC453" s="195"/>
      <c r="BD453" s="195"/>
      <c r="BE453" s="195"/>
      <c r="BF453" s="195"/>
      <c r="BG453" s="195"/>
      <c r="BH453" s="195"/>
      <c r="BI453" s="195"/>
      <c r="BJ453" s="195"/>
      <c r="BK453" s="195"/>
      <c r="BL453" s="195"/>
      <c r="BM453" s="195"/>
      <c r="BN453" s="195"/>
      <c r="BO453" s="195"/>
      <c r="BP453" s="195"/>
      <c r="BQ453" s="195"/>
      <c r="BR453" s="195"/>
      <c r="BS453" s="195"/>
      <c r="BT453" s="195"/>
      <c r="BU453" s="195"/>
      <c r="BV453" s="195"/>
      <c r="BW453" s="195"/>
      <c r="BX453" s="195"/>
      <c r="BY453" s="195"/>
      <c r="BZ453" s="195"/>
      <c r="CA453" s="195"/>
      <c r="CB453" s="195"/>
      <c r="CC453" s="195"/>
      <c r="CD453" s="195"/>
      <c r="CE453" s="195"/>
      <c r="CF453" s="195"/>
      <c r="CG453" s="256"/>
    </row>
    <row r="454" spans="1:85" s="254" customFormat="1" ht="13.9" customHeight="1" x14ac:dyDescent="0.2">
      <c r="A454" s="255" t="s">
        <v>149</v>
      </c>
      <c r="B454" s="187">
        <v>6</v>
      </c>
      <c r="C454" s="248" t="s">
        <v>154</v>
      </c>
      <c r="D454" s="197" t="s">
        <v>563</v>
      </c>
      <c r="E454" s="199"/>
      <c r="F454" s="199">
        <f>500000000-400000000</f>
        <v>100000000</v>
      </c>
      <c r="G454" s="199"/>
      <c r="H454" s="197" t="s">
        <v>797</v>
      </c>
      <c r="I454" s="248" t="s">
        <v>657</v>
      </c>
      <c r="J454" s="187">
        <v>3</v>
      </c>
      <c r="K454" s="187">
        <v>3</v>
      </c>
      <c r="L454" s="187">
        <v>9</v>
      </c>
      <c r="M454" s="172">
        <f t="shared" si="68"/>
        <v>1</v>
      </c>
      <c r="N454" s="180" t="s">
        <v>36</v>
      </c>
      <c r="O454" s="181" t="str">
        <f>IF(ISBLANK(N454),"",VLOOKUP(N454,[16]Parámetros!$G$2:$H$23,2,FALSE))</f>
        <v xml:space="preserve">Contratación directa (con ofertas) </v>
      </c>
      <c r="P454" s="249">
        <f t="shared" si="76"/>
        <v>1</v>
      </c>
      <c r="Q454" s="183">
        <f t="shared" si="69"/>
        <v>100000000</v>
      </c>
      <c r="R454" s="183">
        <f t="shared" si="70"/>
        <v>100000000</v>
      </c>
      <c r="S454" s="250" t="s">
        <v>223</v>
      </c>
      <c r="T454" s="249">
        <f t="shared" si="77"/>
        <v>0</v>
      </c>
      <c r="U454" s="185" t="str">
        <f t="shared" si="71"/>
        <v>SUBDIRECCION DE GESTION CONTRACTUAL</v>
      </c>
      <c r="V454" s="249" t="str">
        <f t="shared" si="74"/>
        <v>CO-DC</v>
      </c>
      <c r="W454" s="249" t="str">
        <f t="shared" si="75"/>
        <v>Distrito Capital de Bogotá</v>
      </c>
      <c r="X454" s="197" t="s">
        <v>151</v>
      </c>
      <c r="Y454" s="187">
        <v>2427401</v>
      </c>
      <c r="Z454" s="201" t="s">
        <v>152</v>
      </c>
      <c r="AA454" s="252"/>
      <c r="AB454" s="252"/>
      <c r="AC454" s="252"/>
      <c r="AD454" s="252"/>
      <c r="AE454" s="252"/>
      <c r="AF454" s="252"/>
      <c r="AG454" s="252"/>
      <c r="AH454" s="252"/>
      <c r="AI454" s="252"/>
      <c r="AJ454" s="252"/>
      <c r="AK454" s="252"/>
      <c r="AL454" s="252"/>
      <c r="AM454" s="252"/>
      <c r="AN454" s="252"/>
      <c r="AO454" s="252"/>
      <c r="AP454" s="252"/>
      <c r="AQ454" s="252"/>
      <c r="AR454" s="252"/>
      <c r="AS454" s="252"/>
      <c r="AT454" s="252"/>
      <c r="AU454" s="195"/>
      <c r="AV454" s="195"/>
      <c r="AW454" s="195"/>
      <c r="AX454" s="195"/>
      <c r="AY454" s="195"/>
      <c r="AZ454" s="195"/>
      <c r="BA454" s="195"/>
      <c r="BB454" s="195"/>
      <c r="BC454" s="195"/>
      <c r="BD454" s="195"/>
      <c r="BE454" s="195"/>
      <c r="BF454" s="195"/>
      <c r="BG454" s="195"/>
      <c r="BH454" s="195"/>
      <c r="BI454" s="195"/>
      <c r="BJ454" s="195"/>
      <c r="BK454" s="195"/>
      <c r="BL454" s="195"/>
      <c r="BM454" s="195"/>
      <c r="BN454" s="195"/>
      <c r="BO454" s="195"/>
      <c r="BP454" s="195"/>
      <c r="BQ454" s="195"/>
      <c r="BR454" s="195"/>
      <c r="BS454" s="195"/>
      <c r="BT454" s="195"/>
      <c r="BU454" s="195"/>
      <c r="BV454" s="195"/>
      <c r="BW454" s="195"/>
      <c r="BX454" s="195"/>
      <c r="BY454" s="195"/>
      <c r="BZ454" s="195"/>
      <c r="CA454" s="195"/>
      <c r="CB454" s="195"/>
      <c r="CC454" s="195"/>
      <c r="CD454" s="195"/>
      <c r="CE454" s="195"/>
      <c r="CF454" s="195"/>
      <c r="CG454" s="256"/>
    </row>
    <row r="455" spans="1:85" s="254" customFormat="1" ht="13.9" customHeight="1" x14ac:dyDescent="0.2">
      <c r="A455" s="255" t="s">
        <v>149</v>
      </c>
      <c r="B455" s="187">
        <v>7</v>
      </c>
      <c r="C455" s="248" t="s">
        <v>564</v>
      </c>
      <c r="D455" s="197" t="s">
        <v>563</v>
      </c>
      <c r="E455" s="199"/>
      <c r="F455" s="199">
        <v>658100000</v>
      </c>
      <c r="G455" s="199"/>
      <c r="H455" s="197">
        <v>80111600</v>
      </c>
      <c r="I455" s="248" t="s">
        <v>658</v>
      </c>
      <c r="J455" s="187">
        <v>1</v>
      </c>
      <c r="K455" s="187">
        <v>1</v>
      </c>
      <c r="L455" s="187">
        <v>12</v>
      </c>
      <c r="M455" s="172">
        <f t="shared" si="68"/>
        <v>1</v>
      </c>
      <c r="N455" s="180" t="s">
        <v>216</v>
      </c>
      <c r="O455" s="181" t="str">
        <f>IF(ISBLANK(N455),"",VLOOKUP(N455,[16]Parámetros!$G$2:$H$23,2,FALSE))</f>
        <v>Contratación directa.</v>
      </c>
      <c r="P455" s="249">
        <f t="shared" si="76"/>
        <v>1</v>
      </c>
      <c r="Q455" s="183">
        <f t="shared" si="69"/>
        <v>658100000</v>
      </c>
      <c r="R455" s="183">
        <f t="shared" si="70"/>
        <v>658100000</v>
      </c>
      <c r="S455" s="250" t="s">
        <v>223</v>
      </c>
      <c r="T455" s="249">
        <f t="shared" si="77"/>
        <v>0</v>
      </c>
      <c r="U455" s="185" t="str">
        <f t="shared" si="71"/>
        <v>SUBDIRECCION DE GESTION CONTRACTUAL</v>
      </c>
      <c r="V455" s="249" t="str">
        <f t="shared" si="74"/>
        <v>CO-DC</v>
      </c>
      <c r="W455" s="249" t="str">
        <f t="shared" si="75"/>
        <v>Distrito Capital de Bogotá</v>
      </c>
      <c r="X455" s="197" t="s">
        <v>151</v>
      </c>
      <c r="Y455" s="187">
        <v>2427401</v>
      </c>
      <c r="Z455" s="201" t="s">
        <v>152</v>
      </c>
      <c r="AA455" s="252"/>
      <c r="AB455" s="252"/>
      <c r="AC455" s="252"/>
      <c r="AD455" s="252"/>
      <c r="AE455" s="252"/>
      <c r="AF455" s="252"/>
      <c r="AG455" s="252"/>
      <c r="AH455" s="252"/>
      <c r="AI455" s="252"/>
      <c r="AJ455" s="252"/>
      <c r="AK455" s="252"/>
      <c r="AL455" s="252"/>
      <c r="AM455" s="252"/>
      <c r="AN455" s="252"/>
      <c r="AO455" s="252"/>
      <c r="AP455" s="252"/>
      <c r="AQ455" s="252"/>
      <c r="AR455" s="252"/>
      <c r="AS455" s="252"/>
      <c r="AT455" s="252"/>
      <c r="AU455" s="195"/>
      <c r="AV455" s="195"/>
      <c r="AW455" s="195"/>
      <c r="AX455" s="195"/>
      <c r="AY455" s="195"/>
      <c r="AZ455" s="195"/>
      <c r="BA455" s="195"/>
      <c r="BB455" s="195"/>
      <c r="BC455" s="195"/>
      <c r="BD455" s="195"/>
      <c r="BE455" s="195"/>
      <c r="BF455" s="195"/>
      <c r="BG455" s="195"/>
      <c r="BH455" s="195"/>
      <c r="BI455" s="195"/>
      <c r="BJ455" s="195"/>
      <c r="BK455" s="195"/>
      <c r="BL455" s="195"/>
      <c r="BM455" s="195"/>
      <c r="BN455" s="195"/>
      <c r="BO455" s="195"/>
      <c r="BP455" s="195"/>
      <c r="BQ455" s="195"/>
      <c r="BR455" s="195"/>
      <c r="BS455" s="195"/>
      <c r="BT455" s="195"/>
      <c r="BU455" s="195"/>
      <c r="BV455" s="195"/>
      <c r="BW455" s="195"/>
      <c r="BX455" s="195"/>
      <c r="BY455" s="195"/>
      <c r="BZ455" s="195"/>
      <c r="CA455" s="195"/>
      <c r="CB455" s="195"/>
      <c r="CC455" s="195"/>
      <c r="CD455" s="195"/>
      <c r="CE455" s="195"/>
      <c r="CF455" s="195"/>
      <c r="CG455" s="256"/>
    </row>
    <row r="456" spans="1:85" s="254" customFormat="1" ht="13.9" customHeight="1" x14ac:dyDescent="0.2">
      <c r="A456" s="255" t="s">
        <v>149</v>
      </c>
      <c r="B456" s="187">
        <v>8</v>
      </c>
      <c r="C456" s="248" t="s">
        <v>565</v>
      </c>
      <c r="D456" s="197" t="s">
        <v>856</v>
      </c>
      <c r="E456" s="199"/>
      <c r="F456" s="199">
        <v>634400000</v>
      </c>
      <c r="G456" s="199"/>
      <c r="H456" s="197" t="s">
        <v>797</v>
      </c>
      <c r="I456" s="248" t="s">
        <v>657</v>
      </c>
      <c r="J456" s="187">
        <v>3</v>
      </c>
      <c r="K456" s="187">
        <v>3</v>
      </c>
      <c r="L456" s="187">
        <v>9</v>
      </c>
      <c r="M456" s="172">
        <f t="shared" si="68"/>
        <v>1</v>
      </c>
      <c r="N456" s="180" t="s">
        <v>36</v>
      </c>
      <c r="O456" s="181" t="str">
        <f>IF(ISBLANK(N456),"",VLOOKUP(N456,[16]Parámetros!$G$2:$H$23,2,FALSE))</f>
        <v xml:space="preserve">Contratación directa (con ofertas) </v>
      </c>
      <c r="P456" s="249">
        <f t="shared" si="76"/>
        <v>1</v>
      </c>
      <c r="Q456" s="183">
        <f t="shared" si="69"/>
        <v>634400000</v>
      </c>
      <c r="R456" s="183">
        <f t="shared" si="70"/>
        <v>634400000</v>
      </c>
      <c r="S456" s="250" t="s">
        <v>223</v>
      </c>
      <c r="T456" s="249">
        <f t="shared" si="77"/>
        <v>0</v>
      </c>
      <c r="U456" s="185" t="str">
        <f t="shared" si="71"/>
        <v>SUBDIRECCION DE GESTION CONTRACTUAL</v>
      </c>
      <c r="V456" s="249" t="str">
        <f t="shared" si="74"/>
        <v>CO-DC</v>
      </c>
      <c r="W456" s="249" t="str">
        <f t="shared" si="75"/>
        <v>Distrito Capital de Bogotá</v>
      </c>
      <c r="X456" s="197" t="s">
        <v>151</v>
      </c>
      <c r="Y456" s="187">
        <v>2427401</v>
      </c>
      <c r="Z456" s="201" t="s">
        <v>152</v>
      </c>
      <c r="AA456" s="252"/>
      <c r="AB456" s="252"/>
      <c r="AC456" s="252"/>
      <c r="AD456" s="252"/>
      <c r="AE456" s="252"/>
      <c r="AF456" s="252"/>
      <c r="AG456" s="252"/>
      <c r="AH456" s="252"/>
      <c r="AI456" s="252"/>
      <c r="AJ456" s="252"/>
      <c r="AK456" s="252"/>
      <c r="AL456" s="252"/>
      <c r="AM456" s="252"/>
      <c r="AN456" s="252"/>
      <c r="AO456" s="252"/>
      <c r="AP456" s="252"/>
      <c r="AQ456" s="252"/>
      <c r="AR456" s="252"/>
      <c r="AS456" s="252"/>
      <c r="AT456" s="252"/>
      <c r="AU456" s="195"/>
      <c r="AV456" s="195"/>
      <c r="AW456" s="195"/>
      <c r="AX456" s="195"/>
      <c r="AY456" s="195"/>
      <c r="AZ456" s="195"/>
      <c r="BA456" s="195"/>
      <c r="BB456" s="195"/>
      <c r="BC456" s="195"/>
      <c r="BD456" s="195"/>
      <c r="BE456" s="195"/>
      <c r="BF456" s="195"/>
      <c r="BG456" s="195"/>
      <c r="BH456" s="195"/>
      <c r="BI456" s="195"/>
      <c r="BJ456" s="195"/>
      <c r="BK456" s="195"/>
      <c r="BL456" s="195"/>
      <c r="BM456" s="195"/>
      <c r="BN456" s="195"/>
      <c r="BO456" s="195"/>
      <c r="BP456" s="195"/>
      <c r="BQ456" s="195"/>
      <c r="BR456" s="195"/>
      <c r="BS456" s="195"/>
      <c r="BT456" s="195"/>
      <c r="BU456" s="195"/>
      <c r="BV456" s="195"/>
      <c r="BW456" s="195"/>
      <c r="BX456" s="195"/>
      <c r="BY456" s="195"/>
      <c r="BZ456" s="195"/>
      <c r="CA456" s="195"/>
      <c r="CB456" s="195"/>
      <c r="CC456" s="195"/>
      <c r="CD456" s="195"/>
      <c r="CE456" s="195"/>
      <c r="CF456" s="195"/>
      <c r="CG456" s="256"/>
    </row>
    <row r="457" spans="1:85" s="254" customFormat="1" ht="13.9" customHeight="1" x14ac:dyDescent="0.2">
      <c r="A457" s="255" t="s">
        <v>149</v>
      </c>
      <c r="B457" s="187">
        <v>9</v>
      </c>
      <c r="C457" s="248" t="s">
        <v>566</v>
      </c>
      <c r="D457" s="197" t="s">
        <v>856</v>
      </c>
      <c r="E457" s="199"/>
      <c r="F457" s="199">
        <v>40000000</v>
      </c>
      <c r="G457" s="199"/>
      <c r="H457" s="197" t="s">
        <v>797</v>
      </c>
      <c r="I457" s="248" t="s">
        <v>657</v>
      </c>
      <c r="J457" s="187">
        <v>3</v>
      </c>
      <c r="K457" s="187">
        <v>3</v>
      </c>
      <c r="L457" s="187">
        <v>9</v>
      </c>
      <c r="M457" s="172">
        <f t="shared" si="68"/>
        <v>1</v>
      </c>
      <c r="N457" s="180" t="s">
        <v>36</v>
      </c>
      <c r="O457" s="181" t="str">
        <f>IF(ISBLANK(N457),"",VLOOKUP(N457,[16]Parámetros!$G$2:$H$23,2,FALSE))</f>
        <v xml:space="preserve">Contratación directa (con ofertas) </v>
      </c>
      <c r="P457" s="249">
        <f t="shared" si="76"/>
        <v>1</v>
      </c>
      <c r="Q457" s="183">
        <f t="shared" si="69"/>
        <v>40000000</v>
      </c>
      <c r="R457" s="183">
        <f t="shared" si="70"/>
        <v>40000000</v>
      </c>
      <c r="S457" s="250" t="s">
        <v>223</v>
      </c>
      <c r="T457" s="249">
        <f t="shared" si="77"/>
        <v>0</v>
      </c>
      <c r="U457" s="185" t="str">
        <f t="shared" si="71"/>
        <v>SUBDIRECCION DE GESTION CONTRACTUAL</v>
      </c>
      <c r="V457" s="249" t="str">
        <f t="shared" si="74"/>
        <v>CO-DC</v>
      </c>
      <c r="W457" s="249" t="str">
        <f t="shared" si="75"/>
        <v>Distrito Capital de Bogotá</v>
      </c>
      <c r="X457" s="197" t="s">
        <v>151</v>
      </c>
      <c r="Y457" s="187">
        <v>2427401</v>
      </c>
      <c r="Z457" s="201" t="s">
        <v>152</v>
      </c>
      <c r="AA457" s="252"/>
      <c r="AB457" s="252"/>
      <c r="AC457" s="252"/>
      <c r="AD457" s="252"/>
      <c r="AE457" s="252"/>
      <c r="AF457" s="252"/>
      <c r="AG457" s="252"/>
      <c r="AH457" s="252"/>
      <c r="AI457" s="252"/>
      <c r="AJ457" s="252"/>
      <c r="AK457" s="252"/>
      <c r="AL457" s="252"/>
      <c r="AM457" s="252"/>
      <c r="AN457" s="252"/>
      <c r="AO457" s="252"/>
      <c r="AP457" s="252"/>
      <c r="AQ457" s="252"/>
      <c r="AR457" s="252"/>
      <c r="AS457" s="252"/>
      <c r="AT457" s="252"/>
      <c r="AU457" s="195"/>
      <c r="AV457" s="195"/>
      <c r="AW457" s="195"/>
      <c r="AX457" s="195"/>
      <c r="AY457" s="195"/>
      <c r="AZ457" s="195"/>
      <c r="BA457" s="195"/>
      <c r="BB457" s="195"/>
      <c r="BC457" s="195"/>
      <c r="BD457" s="195"/>
      <c r="BE457" s="195"/>
      <c r="BF457" s="195"/>
      <c r="BG457" s="195"/>
      <c r="BH457" s="195"/>
      <c r="BI457" s="195"/>
      <c r="BJ457" s="195"/>
      <c r="BK457" s="195"/>
      <c r="BL457" s="195"/>
      <c r="BM457" s="195"/>
      <c r="BN457" s="195"/>
      <c r="BO457" s="195"/>
      <c r="BP457" s="195"/>
      <c r="BQ457" s="195"/>
      <c r="BR457" s="195"/>
      <c r="BS457" s="195"/>
      <c r="BT457" s="195"/>
      <c r="BU457" s="195"/>
      <c r="BV457" s="195"/>
      <c r="BW457" s="195"/>
      <c r="BX457" s="195"/>
      <c r="BY457" s="195"/>
      <c r="BZ457" s="195"/>
      <c r="CA457" s="195"/>
      <c r="CB457" s="195"/>
      <c r="CC457" s="195"/>
      <c r="CD457" s="195"/>
      <c r="CE457" s="195"/>
      <c r="CF457" s="195"/>
      <c r="CG457" s="256"/>
    </row>
    <row r="458" spans="1:85" s="254" customFormat="1" ht="13.9" customHeight="1" x14ac:dyDescent="0.2">
      <c r="A458" s="255" t="s">
        <v>149</v>
      </c>
      <c r="B458" s="187">
        <v>10</v>
      </c>
      <c r="C458" s="248" t="s">
        <v>567</v>
      </c>
      <c r="D458" s="197" t="s">
        <v>856</v>
      </c>
      <c r="E458" s="199"/>
      <c r="F458" s="199">
        <v>325600000</v>
      </c>
      <c r="G458" s="199"/>
      <c r="H458" s="197" t="s">
        <v>851</v>
      </c>
      <c r="I458" s="248" t="s">
        <v>655</v>
      </c>
      <c r="J458" s="187">
        <v>3</v>
      </c>
      <c r="K458" s="187">
        <v>3</v>
      </c>
      <c r="L458" s="187">
        <v>9</v>
      </c>
      <c r="M458" s="172">
        <f t="shared" si="68"/>
        <v>1</v>
      </c>
      <c r="N458" s="180" t="s">
        <v>36</v>
      </c>
      <c r="O458" s="181" t="str">
        <f>IF(ISBLANK(N458),"",VLOOKUP(N458,[16]Parámetros!$G$2:$H$23,2,FALSE))</f>
        <v xml:space="preserve">Contratación directa (con ofertas) </v>
      </c>
      <c r="P458" s="249">
        <f t="shared" si="76"/>
        <v>1</v>
      </c>
      <c r="Q458" s="183">
        <f t="shared" si="69"/>
        <v>325600000</v>
      </c>
      <c r="R458" s="183">
        <f t="shared" si="70"/>
        <v>325600000</v>
      </c>
      <c r="S458" s="250" t="s">
        <v>223</v>
      </c>
      <c r="T458" s="249">
        <f t="shared" si="77"/>
        <v>0</v>
      </c>
      <c r="U458" s="185" t="str">
        <f t="shared" si="71"/>
        <v>SUBDIRECCION DE GESTION CONTRACTUAL</v>
      </c>
      <c r="V458" s="249" t="str">
        <f t="shared" si="74"/>
        <v>CO-DC</v>
      </c>
      <c r="W458" s="249" t="str">
        <f t="shared" si="75"/>
        <v>Distrito Capital de Bogotá</v>
      </c>
      <c r="X458" s="197" t="s">
        <v>151</v>
      </c>
      <c r="Y458" s="187">
        <v>2427401</v>
      </c>
      <c r="Z458" s="201" t="s">
        <v>152</v>
      </c>
      <c r="AA458" s="252"/>
      <c r="AB458" s="252"/>
      <c r="AC458" s="252"/>
      <c r="AD458" s="252"/>
      <c r="AE458" s="252"/>
      <c r="AF458" s="252"/>
      <c r="AG458" s="252"/>
      <c r="AH458" s="252"/>
      <c r="AI458" s="252"/>
      <c r="AJ458" s="252"/>
      <c r="AK458" s="252"/>
      <c r="AL458" s="252"/>
      <c r="AM458" s="252"/>
      <c r="AN458" s="252"/>
      <c r="AO458" s="252"/>
      <c r="AP458" s="252"/>
      <c r="AQ458" s="252"/>
      <c r="AR458" s="252"/>
      <c r="AS458" s="252"/>
      <c r="AT458" s="252"/>
      <c r="AU458" s="195"/>
      <c r="AV458" s="195"/>
      <c r="AW458" s="195"/>
      <c r="AX458" s="195"/>
      <c r="AY458" s="195"/>
      <c r="AZ458" s="195"/>
      <c r="BA458" s="195"/>
      <c r="BB458" s="195"/>
      <c r="BC458" s="195"/>
      <c r="BD458" s="195"/>
      <c r="BE458" s="195"/>
      <c r="BF458" s="195"/>
      <c r="BG458" s="195"/>
      <c r="BH458" s="195"/>
      <c r="BI458" s="195"/>
      <c r="BJ458" s="195"/>
      <c r="BK458" s="195"/>
      <c r="BL458" s="195"/>
      <c r="BM458" s="195"/>
      <c r="BN458" s="195"/>
      <c r="BO458" s="195"/>
      <c r="BP458" s="195"/>
      <c r="BQ458" s="195"/>
      <c r="BR458" s="195"/>
      <c r="BS458" s="195"/>
      <c r="BT458" s="195"/>
      <c r="BU458" s="195"/>
      <c r="BV458" s="195"/>
      <c r="BW458" s="195"/>
      <c r="BX458" s="195"/>
      <c r="BY458" s="195"/>
      <c r="BZ458" s="195"/>
      <c r="CA458" s="195"/>
      <c r="CB458" s="195"/>
      <c r="CC458" s="195"/>
      <c r="CD458" s="195"/>
      <c r="CE458" s="195"/>
      <c r="CF458" s="195"/>
      <c r="CG458" s="256"/>
    </row>
    <row r="459" spans="1:85" s="254" customFormat="1" ht="13.9" customHeight="1" x14ac:dyDescent="0.2">
      <c r="A459" s="255" t="s">
        <v>149</v>
      </c>
      <c r="B459" s="187">
        <v>11</v>
      </c>
      <c r="C459" s="248" t="s">
        <v>155</v>
      </c>
      <c r="D459" s="197" t="s">
        <v>175</v>
      </c>
      <c r="E459" s="199"/>
      <c r="F459" s="199">
        <v>4950000000</v>
      </c>
      <c r="G459" s="199"/>
      <c r="H459" s="197">
        <v>80111600</v>
      </c>
      <c r="I459" s="248" t="s">
        <v>658</v>
      </c>
      <c r="J459" s="187">
        <v>1</v>
      </c>
      <c r="K459" s="187">
        <v>1</v>
      </c>
      <c r="L459" s="187">
        <v>12</v>
      </c>
      <c r="M459" s="172">
        <f t="shared" si="68"/>
        <v>1</v>
      </c>
      <c r="N459" s="180" t="s">
        <v>216</v>
      </c>
      <c r="O459" s="181" t="str">
        <f>IF(ISBLANK(N459),"",VLOOKUP(N459,[16]Parámetros!$G$2:$H$23,2,FALSE))</f>
        <v>Contratación directa.</v>
      </c>
      <c r="P459" s="249">
        <f t="shared" si="76"/>
        <v>1</v>
      </c>
      <c r="Q459" s="183">
        <f t="shared" si="69"/>
        <v>4950000000</v>
      </c>
      <c r="R459" s="183">
        <f t="shared" si="70"/>
        <v>4950000000</v>
      </c>
      <c r="S459" s="250" t="s">
        <v>223</v>
      </c>
      <c r="T459" s="249">
        <f t="shared" si="77"/>
        <v>0</v>
      </c>
      <c r="U459" s="185" t="str">
        <f t="shared" si="71"/>
        <v>SUBDIRECCION DE GESTION CONTRACTUAL</v>
      </c>
      <c r="V459" s="249" t="str">
        <f t="shared" si="74"/>
        <v>CO-DC</v>
      </c>
      <c r="W459" s="249" t="str">
        <f t="shared" si="75"/>
        <v>Distrito Capital de Bogotá</v>
      </c>
      <c r="X459" s="197" t="s">
        <v>151</v>
      </c>
      <c r="Y459" s="187">
        <v>2427401</v>
      </c>
      <c r="Z459" s="201" t="s">
        <v>152</v>
      </c>
      <c r="AA459" s="252"/>
      <c r="AB459" s="252"/>
      <c r="AC459" s="252"/>
      <c r="AD459" s="252"/>
      <c r="AE459" s="252"/>
      <c r="AF459" s="252"/>
      <c r="AG459" s="252"/>
      <c r="AH459" s="252"/>
      <c r="AI459" s="252"/>
      <c r="AJ459" s="252"/>
      <c r="AK459" s="252"/>
      <c r="AL459" s="252"/>
      <c r="AM459" s="252"/>
      <c r="AN459" s="252"/>
      <c r="AO459" s="252"/>
      <c r="AP459" s="252"/>
      <c r="AQ459" s="252"/>
      <c r="AR459" s="252"/>
      <c r="AS459" s="252"/>
      <c r="AT459" s="252"/>
      <c r="AU459" s="195"/>
      <c r="AV459" s="195"/>
      <c r="AW459" s="195"/>
      <c r="AX459" s="195"/>
      <c r="AY459" s="195"/>
      <c r="AZ459" s="195"/>
      <c r="BA459" s="195"/>
      <c r="BB459" s="195"/>
      <c r="BC459" s="195"/>
      <c r="BD459" s="195"/>
      <c r="BE459" s="195"/>
      <c r="BF459" s="195"/>
      <c r="BG459" s="195"/>
      <c r="BH459" s="195"/>
      <c r="BI459" s="195"/>
      <c r="BJ459" s="195"/>
      <c r="BK459" s="195"/>
      <c r="BL459" s="195"/>
      <c r="BM459" s="195"/>
      <c r="BN459" s="195"/>
      <c r="BO459" s="195"/>
      <c r="BP459" s="195"/>
      <c r="BQ459" s="195"/>
      <c r="BR459" s="195"/>
      <c r="BS459" s="195"/>
      <c r="BT459" s="195"/>
      <c r="BU459" s="195"/>
      <c r="BV459" s="195"/>
      <c r="BW459" s="195"/>
      <c r="BX459" s="195"/>
      <c r="BY459" s="195"/>
      <c r="BZ459" s="195"/>
      <c r="CA459" s="195"/>
      <c r="CB459" s="195"/>
      <c r="CC459" s="195"/>
      <c r="CD459" s="195"/>
      <c r="CE459" s="195"/>
      <c r="CF459" s="195"/>
      <c r="CG459" s="256"/>
    </row>
    <row r="460" spans="1:85" s="254" customFormat="1" ht="13.9" customHeight="1" x14ac:dyDescent="0.2">
      <c r="A460" s="255" t="s">
        <v>149</v>
      </c>
      <c r="B460" s="187">
        <v>12</v>
      </c>
      <c r="C460" s="248" t="s">
        <v>155</v>
      </c>
      <c r="D460" s="197" t="s">
        <v>175</v>
      </c>
      <c r="E460" s="199"/>
      <c r="F460" s="199">
        <v>80000000</v>
      </c>
      <c r="G460" s="199"/>
      <c r="H460" s="197" t="s">
        <v>51</v>
      </c>
      <c r="I460" s="248" t="s">
        <v>665</v>
      </c>
      <c r="J460" s="187">
        <v>4</v>
      </c>
      <c r="K460" s="187">
        <v>6</v>
      </c>
      <c r="L460" s="187">
        <v>1</v>
      </c>
      <c r="M460" s="172">
        <f t="shared" si="68"/>
        <v>1</v>
      </c>
      <c r="N460" s="180" t="s">
        <v>43</v>
      </c>
      <c r="O460" s="181" t="str">
        <f>IF(ISBLANK(N460),"",VLOOKUP(N460,[16]Parámetros!$G$2:$H$23,2,FALSE))</f>
        <v>Selección abreviada subasta inversa</v>
      </c>
      <c r="P460" s="249">
        <f t="shared" si="76"/>
        <v>1</v>
      </c>
      <c r="Q460" s="183">
        <f t="shared" si="69"/>
        <v>80000000</v>
      </c>
      <c r="R460" s="183">
        <f t="shared" si="70"/>
        <v>80000000</v>
      </c>
      <c r="S460" s="250" t="s">
        <v>223</v>
      </c>
      <c r="T460" s="249">
        <f t="shared" si="77"/>
        <v>0</v>
      </c>
      <c r="U460" s="185" t="str">
        <f t="shared" si="71"/>
        <v>SUBDIRECCION DE GESTION CONTRACTUAL</v>
      </c>
      <c r="V460" s="249" t="str">
        <f t="shared" si="74"/>
        <v>CO-DC</v>
      </c>
      <c r="W460" s="249" t="str">
        <f t="shared" si="75"/>
        <v>Distrito Capital de Bogotá</v>
      </c>
      <c r="X460" s="197" t="s">
        <v>73</v>
      </c>
      <c r="Y460" s="187">
        <v>2427400</v>
      </c>
      <c r="Z460" s="201" t="s">
        <v>74</v>
      </c>
      <c r="AA460" s="252"/>
      <c r="AB460" s="252"/>
      <c r="AC460" s="252"/>
      <c r="AD460" s="252"/>
      <c r="AE460" s="252"/>
      <c r="AF460" s="252"/>
      <c r="AG460" s="252"/>
      <c r="AH460" s="252"/>
      <c r="AI460" s="252"/>
      <c r="AJ460" s="252"/>
      <c r="AK460" s="252"/>
      <c r="AL460" s="252"/>
      <c r="AM460" s="252"/>
      <c r="AN460" s="252"/>
      <c r="AO460" s="252"/>
      <c r="AP460" s="252"/>
      <c r="AQ460" s="252"/>
      <c r="AR460" s="252"/>
      <c r="AS460" s="252"/>
      <c r="AT460" s="252"/>
      <c r="AU460" s="195"/>
      <c r="AV460" s="195"/>
      <c r="AW460" s="195"/>
      <c r="AX460" s="195"/>
      <c r="AY460" s="195"/>
      <c r="AZ460" s="195"/>
      <c r="BA460" s="195"/>
      <c r="BB460" s="195"/>
      <c r="BC460" s="195"/>
      <c r="BD460" s="195"/>
      <c r="BE460" s="195"/>
      <c r="BF460" s="195"/>
      <c r="BG460" s="195"/>
      <c r="BH460" s="195"/>
      <c r="BI460" s="195"/>
      <c r="BJ460" s="195"/>
      <c r="BK460" s="195"/>
      <c r="BL460" s="195"/>
      <c r="BM460" s="195"/>
      <c r="BN460" s="195"/>
      <c r="BO460" s="195"/>
      <c r="BP460" s="195"/>
      <c r="BQ460" s="195"/>
      <c r="BR460" s="195"/>
      <c r="BS460" s="195"/>
      <c r="BT460" s="195"/>
      <c r="BU460" s="195"/>
      <c r="BV460" s="195"/>
      <c r="BW460" s="195"/>
      <c r="BX460" s="195"/>
      <c r="BY460" s="195"/>
      <c r="BZ460" s="195"/>
      <c r="CA460" s="195"/>
      <c r="CB460" s="195"/>
      <c r="CC460" s="195"/>
      <c r="CD460" s="195"/>
      <c r="CE460" s="195"/>
      <c r="CF460" s="195"/>
      <c r="CG460" s="256"/>
    </row>
    <row r="461" spans="1:85" s="254" customFormat="1" ht="13.9" customHeight="1" x14ac:dyDescent="0.2">
      <c r="A461" s="255" t="s">
        <v>149</v>
      </c>
      <c r="B461" s="187">
        <v>13</v>
      </c>
      <c r="C461" s="248" t="s">
        <v>155</v>
      </c>
      <c r="D461" s="197" t="s">
        <v>175</v>
      </c>
      <c r="E461" s="199"/>
      <c r="F461" s="199">
        <v>100000000</v>
      </c>
      <c r="G461" s="199"/>
      <c r="H461" s="175" t="s">
        <v>250</v>
      </c>
      <c r="I461" s="248" t="s">
        <v>649</v>
      </c>
      <c r="J461" s="193">
        <v>3</v>
      </c>
      <c r="K461" s="193">
        <v>4</v>
      </c>
      <c r="L461" s="193">
        <v>8</v>
      </c>
      <c r="M461" s="172">
        <f t="shared" si="68"/>
        <v>1</v>
      </c>
      <c r="N461" s="180" t="s">
        <v>53</v>
      </c>
      <c r="O461" s="181" t="str">
        <f>IF(ISBLANK(N461),"",VLOOKUP(N461,[16]Parámetros!$G$2:$H$23,2,FALSE))</f>
        <v>Seléccion abreviada - acuerdo marco</v>
      </c>
      <c r="P461" s="249">
        <f t="shared" si="76"/>
        <v>1</v>
      </c>
      <c r="Q461" s="183">
        <f t="shared" si="69"/>
        <v>100000000</v>
      </c>
      <c r="R461" s="183">
        <f t="shared" si="70"/>
        <v>100000000</v>
      </c>
      <c r="S461" s="250" t="s">
        <v>223</v>
      </c>
      <c r="T461" s="249">
        <f t="shared" si="77"/>
        <v>0</v>
      </c>
      <c r="U461" s="185" t="str">
        <f t="shared" si="71"/>
        <v>SUBDIRECCION DE GESTION CONTRACTUAL</v>
      </c>
      <c r="V461" s="249" t="str">
        <f t="shared" si="74"/>
        <v>CO-DC</v>
      </c>
      <c r="W461" s="249" t="str">
        <f t="shared" si="75"/>
        <v>Distrito Capital de Bogotá</v>
      </c>
      <c r="X461" s="197" t="s">
        <v>77</v>
      </c>
      <c r="Y461" s="187">
        <v>2427400</v>
      </c>
      <c r="Z461" s="201" t="s">
        <v>78</v>
      </c>
      <c r="AA461" s="252"/>
      <c r="AB461" s="252"/>
      <c r="AC461" s="252"/>
      <c r="AD461" s="252"/>
      <c r="AE461" s="252"/>
      <c r="AF461" s="252"/>
      <c r="AG461" s="252"/>
      <c r="AH461" s="252"/>
      <c r="AI461" s="252"/>
      <c r="AJ461" s="252"/>
      <c r="AK461" s="252"/>
      <c r="AL461" s="252"/>
      <c r="AM461" s="252"/>
      <c r="AN461" s="252"/>
      <c r="AO461" s="252"/>
      <c r="AP461" s="252"/>
      <c r="AQ461" s="252"/>
      <c r="AR461" s="252"/>
      <c r="AS461" s="252"/>
      <c r="AT461" s="252"/>
      <c r="AU461" s="195"/>
      <c r="AV461" s="195"/>
      <c r="AW461" s="195"/>
      <c r="AX461" s="195"/>
      <c r="AY461" s="195"/>
      <c r="AZ461" s="195"/>
      <c r="BA461" s="195"/>
      <c r="BB461" s="195"/>
      <c r="BC461" s="195"/>
      <c r="BD461" s="195"/>
      <c r="BE461" s="195"/>
      <c r="BF461" s="195"/>
      <c r="BG461" s="195"/>
      <c r="BH461" s="195"/>
      <c r="BI461" s="195"/>
      <c r="BJ461" s="195"/>
      <c r="BK461" s="195"/>
      <c r="BL461" s="195"/>
      <c r="BM461" s="195"/>
      <c r="BN461" s="195"/>
      <c r="BO461" s="195"/>
      <c r="BP461" s="195"/>
      <c r="BQ461" s="195"/>
      <c r="BR461" s="195"/>
      <c r="BS461" s="195"/>
      <c r="BT461" s="195"/>
      <c r="BU461" s="195"/>
      <c r="BV461" s="195"/>
      <c r="BW461" s="195"/>
      <c r="BX461" s="195"/>
      <c r="BY461" s="195"/>
      <c r="BZ461" s="195"/>
      <c r="CA461" s="195"/>
      <c r="CB461" s="195"/>
      <c r="CC461" s="195"/>
      <c r="CD461" s="195"/>
      <c r="CE461" s="195"/>
      <c r="CF461" s="195"/>
      <c r="CG461" s="256"/>
    </row>
    <row r="462" spans="1:85" s="254" customFormat="1" ht="13.9" customHeight="1" x14ac:dyDescent="0.2">
      <c r="A462" s="255" t="s">
        <v>149</v>
      </c>
      <c r="B462" s="187">
        <v>14</v>
      </c>
      <c r="C462" s="248" t="s">
        <v>155</v>
      </c>
      <c r="D462" s="197" t="s">
        <v>175</v>
      </c>
      <c r="E462" s="199"/>
      <c r="F462" s="199">
        <v>100000000</v>
      </c>
      <c r="G462" s="199"/>
      <c r="H462" s="197" t="s">
        <v>568</v>
      </c>
      <c r="I462" s="248" t="s">
        <v>653</v>
      </c>
      <c r="J462" s="187">
        <v>3</v>
      </c>
      <c r="K462" s="187">
        <v>3</v>
      </c>
      <c r="L462" s="187">
        <v>5</v>
      </c>
      <c r="M462" s="172">
        <f t="shared" si="68"/>
        <v>1</v>
      </c>
      <c r="N462" s="180" t="s">
        <v>53</v>
      </c>
      <c r="O462" s="181" t="str">
        <f>IF(ISBLANK(N462),"",VLOOKUP(N462,[16]Parámetros!$G$2:$H$23,2,FALSE))</f>
        <v>Seléccion abreviada - acuerdo marco</v>
      </c>
      <c r="P462" s="249">
        <f t="shared" si="76"/>
        <v>1</v>
      </c>
      <c r="Q462" s="183">
        <f t="shared" si="69"/>
        <v>100000000</v>
      </c>
      <c r="R462" s="183">
        <f t="shared" si="70"/>
        <v>100000000</v>
      </c>
      <c r="S462" s="250" t="s">
        <v>223</v>
      </c>
      <c r="T462" s="249">
        <f t="shared" si="77"/>
        <v>0</v>
      </c>
      <c r="U462" s="185" t="str">
        <f t="shared" si="71"/>
        <v>SUBDIRECCION DE GESTION CONTRACTUAL</v>
      </c>
      <c r="V462" s="249" t="str">
        <f t="shared" si="74"/>
        <v>CO-DC</v>
      </c>
      <c r="W462" s="249" t="str">
        <f t="shared" si="75"/>
        <v>Distrito Capital de Bogotá</v>
      </c>
      <c r="X462" s="197" t="s">
        <v>151</v>
      </c>
      <c r="Y462" s="187">
        <v>2427401</v>
      </c>
      <c r="Z462" s="201" t="s">
        <v>152</v>
      </c>
      <c r="AA462" s="252"/>
      <c r="AB462" s="252"/>
      <c r="AC462" s="252"/>
      <c r="AD462" s="252"/>
      <c r="AE462" s="252"/>
      <c r="AF462" s="252"/>
      <c r="AG462" s="252"/>
      <c r="AH462" s="252"/>
      <c r="AI462" s="252"/>
      <c r="AJ462" s="252"/>
      <c r="AK462" s="252"/>
      <c r="AL462" s="252"/>
      <c r="AM462" s="252"/>
      <c r="AN462" s="252"/>
      <c r="AO462" s="252"/>
      <c r="AP462" s="252"/>
      <c r="AQ462" s="252"/>
      <c r="AR462" s="252"/>
      <c r="AS462" s="252"/>
      <c r="AT462" s="252"/>
      <c r="AU462" s="195"/>
      <c r="AV462" s="195"/>
      <c r="AW462" s="195"/>
      <c r="AX462" s="195"/>
      <c r="AY462" s="195"/>
      <c r="AZ462" s="195"/>
      <c r="BA462" s="195"/>
      <c r="BB462" s="195"/>
      <c r="BC462" s="195"/>
      <c r="BD462" s="195"/>
      <c r="BE462" s="195"/>
      <c r="BF462" s="195"/>
      <c r="BG462" s="195"/>
      <c r="BH462" s="195"/>
      <c r="BI462" s="195"/>
      <c r="BJ462" s="195"/>
      <c r="BK462" s="195"/>
      <c r="BL462" s="195"/>
      <c r="BM462" s="195"/>
      <c r="BN462" s="195"/>
      <c r="BO462" s="195"/>
      <c r="BP462" s="195"/>
      <c r="BQ462" s="195"/>
      <c r="BR462" s="195"/>
      <c r="BS462" s="195"/>
      <c r="BT462" s="195"/>
      <c r="BU462" s="195"/>
      <c r="BV462" s="195"/>
      <c r="BW462" s="195"/>
      <c r="BX462" s="195"/>
      <c r="BY462" s="195"/>
      <c r="BZ462" s="195"/>
      <c r="CA462" s="195"/>
      <c r="CB462" s="195"/>
      <c r="CC462" s="195"/>
      <c r="CD462" s="195"/>
      <c r="CE462" s="195"/>
      <c r="CF462" s="195"/>
      <c r="CG462" s="256"/>
    </row>
    <row r="463" spans="1:85" s="254" customFormat="1" ht="13.9" customHeight="1" x14ac:dyDescent="0.2">
      <c r="A463" s="255" t="s">
        <v>149</v>
      </c>
      <c r="B463" s="187">
        <v>15</v>
      </c>
      <c r="C463" s="248" t="s">
        <v>561</v>
      </c>
      <c r="D463" s="197" t="s">
        <v>153</v>
      </c>
      <c r="E463" s="199"/>
      <c r="F463" s="199">
        <v>89900000</v>
      </c>
      <c r="G463" s="199"/>
      <c r="H463" s="175" t="s">
        <v>801</v>
      </c>
      <c r="I463" s="248" t="s">
        <v>624</v>
      </c>
      <c r="J463" s="202">
        <v>1</v>
      </c>
      <c r="K463" s="202">
        <v>2</v>
      </c>
      <c r="L463" s="202">
        <v>3</v>
      </c>
      <c r="M463" s="172">
        <f t="shared" ref="M463:M526" si="78">IF(ISBLANK(J463),"",1)</f>
        <v>1</v>
      </c>
      <c r="N463" s="180" t="s">
        <v>36</v>
      </c>
      <c r="O463" s="181" t="str">
        <f>IF(ISBLANK(N463),"",VLOOKUP(N463,[16]Parámetros!$G$2:$H$23,2,FALSE))</f>
        <v xml:space="preserve">Contratación directa (con ofertas) </v>
      </c>
      <c r="P463" s="249">
        <v>1</v>
      </c>
      <c r="Q463" s="183">
        <f t="shared" ref="Q463:Q526" si="79">+E463+F463+G463</f>
        <v>89900000</v>
      </c>
      <c r="R463" s="183">
        <f t="shared" ref="R463:R526" si="80">+F463</f>
        <v>89900000</v>
      </c>
      <c r="S463" s="250" t="s">
        <v>223</v>
      </c>
      <c r="T463" s="249">
        <v>0</v>
      </c>
      <c r="U463" s="185" t="str">
        <f t="shared" ref="U463:U526" si="81">IF(ISBLANK(N463),"","SUBDIRECCION DE GESTION CONTRACTUAL")</f>
        <v>SUBDIRECCION DE GESTION CONTRACTUAL</v>
      </c>
      <c r="V463" s="249" t="str">
        <f t="shared" si="74"/>
        <v>CO-DC</v>
      </c>
      <c r="W463" s="249" t="str">
        <f t="shared" si="75"/>
        <v>Distrito Capital de Bogotá</v>
      </c>
      <c r="X463" s="197" t="s">
        <v>151</v>
      </c>
      <c r="Y463" s="187">
        <v>2427400</v>
      </c>
      <c r="Z463" s="201" t="s">
        <v>152</v>
      </c>
      <c r="AA463" s="252"/>
      <c r="AB463" s="252"/>
      <c r="AC463" s="252"/>
      <c r="AD463" s="252"/>
      <c r="AE463" s="252"/>
      <c r="AF463" s="252"/>
      <c r="AG463" s="252"/>
      <c r="AH463" s="252"/>
      <c r="AI463" s="252"/>
      <c r="AJ463" s="252"/>
      <c r="AK463" s="252"/>
      <c r="AL463" s="252"/>
      <c r="AM463" s="252"/>
      <c r="AN463" s="252"/>
      <c r="AO463" s="252"/>
      <c r="AP463" s="252"/>
      <c r="AQ463" s="252"/>
      <c r="AR463" s="252"/>
      <c r="AS463" s="252"/>
      <c r="AT463" s="252"/>
      <c r="AU463" s="195"/>
      <c r="AV463" s="195"/>
      <c r="AW463" s="195"/>
      <c r="AX463" s="195"/>
      <c r="AY463" s="195"/>
      <c r="AZ463" s="195"/>
      <c r="BA463" s="195"/>
      <c r="BB463" s="195"/>
      <c r="BC463" s="195"/>
      <c r="BD463" s="195"/>
      <c r="BE463" s="195"/>
      <c r="BF463" s="195"/>
      <c r="BG463" s="195"/>
      <c r="BH463" s="195"/>
      <c r="BI463" s="195"/>
      <c r="BJ463" s="195"/>
      <c r="BK463" s="195"/>
      <c r="BL463" s="195"/>
      <c r="BM463" s="195"/>
      <c r="BN463" s="195"/>
      <c r="BO463" s="195"/>
      <c r="BP463" s="195"/>
      <c r="BQ463" s="195"/>
      <c r="BR463" s="195"/>
      <c r="BS463" s="195"/>
      <c r="BT463" s="195"/>
      <c r="BU463" s="195"/>
      <c r="BV463" s="195"/>
      <c r="BW463" s="195"/>
      <c r="BX463" s="195"/>
      <c r="BY463" s="195"/>
      <c r="BZ463" s="195"/>
      <c r="CA463" s="195"/>
      <c r="CB463" s="195"/>
      <c r="CC463" s="195"/>
      <c r="CD463" s="195"/>
      <c r="CE463" s="195"/>
      <c r="CF463" s="195"/>
      <c r="CG463" s="256"/>
    </row>
    <row r="464" spans="1:85" s="254" customFormat="1" ht="13.9" customHeight="1" x14ac:dyDescent="0.2">
      <c r="A464" s="255" t="s">
        <v>149</v>
      </c>
      <c r="B464" s="187">
        <v>16</v>
      </c>
      <c r="C464" s="248" t="s">
        <v>155</v>
      </c>
      <c r="D464" s="197" t="s">
        <v>175</v>
      </c>
      <c r="E464" s="199"/>
      <c r="F464" s="199">
        <v>350000000</v>
      </c>
      <c r="G464" s="199"/>
      <c r="H464" s="175" t="s">
        <v>801</v>
      </c>
      <c r="I464" s="248" t="s">
        <v>624</v>
      </c>
      <c r="J464" s="177">
        <v>2</v>
      </c>
      <c r="K464" s="178">
        <v>3</v>
      </c>
      <c r="L464" s="179">
        <v>9</v>
      </c>
      <c r="M464" s="172">
        <f t="shared" si="78"/>
        <v>1</v>
      </c>
      <c r="N464" s="180" t="s">
        <v>234</v>
      </c>
      <c r="O464" s="181" t="str">
        <f>IF(ISBLANK(N464),"",VLOOKUP(N464,[16]Parámetros!$G$2:$H$23,2,FALSE))</f>
        <v>Licitación pública</v>
      </c>
      <c r="P464" s="249">
        <f>IF(ISBLANK(N464),"",1)</f>
        <v>1</v>
      </c>
      <c r="Q464" s="183">
        <f t="shared" si="79"/>
        <v>350000000</v>
      </c>
      <c r="R464" s="183">
        <f t="shared" si="80"/>
        <v>350000000</v>
      </c>
      <c r="S464" s="250" t="s">
        <v>223</v>
      </c>
      <c r="T464" s="249">
        <f>IF(ISBLANK(S464),"",IF(VALUE(S464)=0,0,IF(VALUE(S464)=1,3,"")))</f>
        <v>0</v>
      </c>
      <c r="U464" s="185" t="str">
        <f t="shared" si="81"/>
        <v>SUBDIRECCION DE GESTION CONTRACTUAL</v>
      </c>
      <c r="V464" s="249" t="str">
        <f t="shared" si="74"/>
        <v>CO-DC</v>
      </c>
      <c r="W464" s="249" t="str">
        <f t="shared" si="75"/>
        <v>Distrito Capital de Bogotá</v>
      </c>
      <c r="X464" s="197" t="s">
        <v>151</v>
      </c>
      <c r="Y464" s="187">
        <v>2427401</v>
      </c>
      <c r="Z464" s="201" t="s">
        <v>152</v>
      </c>
      <c r="AA464" s="252"/>
      <c r="AB464" s="252"/>
      <c r="AC464" s="252"/>
      <c r="AD464" s="252"/>
      <c r="AE464" s="252"/>
      <c r="AF464" s="252"/>
      <c r="AG464" s="252"/>
      <c r="AH464" s="252"/>
      <c r="AI464" s="252"/>
      <c r="AJ464" s="252"/>
      <c r="AK464" s="252"/>
      <c r="AL464" s="252"/>
      <c r="AM464" s="252"/>
      <c r="AN464" s="252"/>
      <c r="AO464" s="252"/>
      <c r="AP464" s="252"/>
      <c r="AQ464" s="252"/>
      <c r="AR464" s="252"/>
      <c r="AS464" s="252"/>
      <c r="AT464" s="252"/>
      <c r="AU464" s="195"/>
      <c r="AV464" s="195"/>
      <c r="AW464" s="195"/>
      <c r="AX464" s="195"/>
      <c r="AY464" s="195"/>
      <c r="AZ464" s="195"/>
      <c r="BA464" s="195"/>
      <c r="BB464" s="195"/>
      <c r="BC464" s="195"/>
      <c r="BD464" s="195"/>
      <c r="BE464" s="195"/>
      <c r="BF464" s="195"/>
      <c r="BG464" s="195"/>
      <c r="BH464" s="195"/>
      <c r="BI464" s="195"/>
      <c r="BJ464" s="195"/>
      <c r="BK464" s="195"/>
      <c r="BL464" s="195"/>
      <c r="BM464" s="195"/>
      <c r="BN464" s="195"/>
      <c r="BO464" s="195"/>
      <c r="BP464" s="195"/>
      <c r="BQ464" s="195"/>
      <c r="BR464" s="195"/>
      <c r="BS464" s="195"/>
      <c r="BT464" s="195"/>
      <c r="BU464" s="195"/>
      <c r="BV464" s="195"/>
      <c r="BW464" s="195"/>
      <c r="BX464" s="195"/>
      <c r="BY464" s="195"/>
      <c r="BZ464" s="195"/>
      <c r="CA464" s="195"/>
      <c r="CB464" s="195"/>
      <c r="CC464" s="195"/>
      <c r="CD464" s="195"/>
      <c r="CE464" s="195"/>
      <c r="CF464" s="195"/>
      <c r="CG464" s="256"/>
    </row>
    <row r="465" spans="1:85" s="254" customFormat="1" ht="13.9" customHeight="1" x14ac:dyDescent="0.2">
      <c r="A465" s="255" t="s">
        <v>149</v>
      </c>
      <c r="B465" s="187">
        <v>17</v>
      </c>
      <c r="C465" s="248" t="s">
        <v>155</v>
      </c>
      <c r="D465" s="197" t="s">
        <v>175</v>
      </c>
      <c r="E465" s="199"/>
      <c r="F465" s="199">
        <v>150000000</v>
      </c>
      <c r="G465" s="199"/>
      <c r="H465" s="175" t="s">
        <v>42</v>
      </c>
      <c r="I465" s="248" t="s">
        <v>627</v>
      </c>
      <c r="J465" s="177">
        <v>3</v>
      </c>
      <c r="K465" s="178">
        <v>4</v>
      </c>
      <c r="L465" s="179">
        <v>9</v>
      </c>
      <c r="M465" s="172">
        <f t="shared" si="78"/>
        <v>1</v>
      </c>
      <c r="N465" s="180" t="s">
        <v>61</v>
      </c>
      <c r="O465" s="181" t="str">
        <f>IF(ISBLANK(N465),"",VLOOKUP(N465,[16]Parámetros!$G$2:$H$23,2,FALSE))</f>
        <v>Contratación régimen especial - Selección de comisionista</v>
      </c>
      <c r="P465" s="249">
        <f>IF(ISBLANK(N465),"",1)</f>
        <v>1</v>
      </c>
      <c r="Q465" s="183">
        <f t="shared" si="79"/>
        <v>150000000</v>
      </c>
      <c r="R465" s="183">
        <f t="shared" si="80"/>
        <v>150000000</v>
      </c>
      <c r="S465" s="250" t="s">
        <v>223</v>
      </c>
      <c r="T465" s="249">
        <f>IF(ISBLANK(S465),"",IF(VALUE(S465)=0,0,IF(VALUE(S465)=1,3,"")))</f>
        <v>0</v>
      </c>
      <c r="U465" s="185" t="str">
        <f t="shared" si="81"/>
        <v>SUBDIRECCION DE GESTION CONTRACTUAL</v>
      </c>
      <c r="V465" s="172" t="str">
        <f t="shared" si="74"/>
        <v>CO-DC</v>
      </c>
      <c r="W465" s="185" t="str">
        <f t="shared" si="75"/>
        <v>Distrito Capital de Bogotá</v>
      </c>
      <c r="X465" s="186" t="s">
        <v>359</v>
      </c>
      <c r="Y465" s="187">
        <v>2427400</v>
      </c>
      <c r="Z465" s="201" t="s">
        <v>75</v>
      </c>
      <c r="AA465" s="252"/>
      <c r="AB465" s="252"/>
      <c r="AC465" s="252"/>
      <c r="AD465" s="252"/>
      <c r="AE465" s="252"/>
      <c r="AF465" s="252"/>
      <c r="AG465" s="252"/>
      <c r="AH465" s="252"/>
      <c r="AI465" s="252"/>
      <c r="AJ465" s="252"/>
      <c r="AK465" s="252"/>
      <c r="AL465" s="252"/>
      <c r="AM465" s="252"/>
      <c r="AN465" s="252"/>
      <c r="AO465" s="252"/>
      <c r="AP465" s="252"/>
      <c r="AQ465" s="252"/>
      <c r="AR465" s="252"/>
      <c r="AS465" s="252"/>
      <c r="AT465" s="252"/>
      <c r="AU465" s="195"/>
      <c r="AV465" s="195"/>
      <c r="AW465" s="195"/>
      <c r="AX465" s="195"/>
      <c r="AY465" s="195"/>
      <c r="AZ465" s="195"/>
      <c r="BA465" s="195"/>
      <c r="BB465" s="195"/>
      <c r="BC465" s="195"/>
      <c r="BD465" s="195"/>
      <c r="BE465" s="195"/>
      <c r="BF465" s="195"/>
      <c r="BG465" s="195"/>
      <c r="BH465" s="195"/>
      <c r="BI465" s="195"/>
      <c r="BJ465" s="195"/>
      <c r="BK465" s="195"/>
      <c r="BL465" s="195"/>
      <c r="BM465" s="195"/>
      <c r="BN465" s="195"/>
      <c r="BO465" s="195"/>
      <c r="BP465" s="195"/>
      <c r="BQ465" s="195"/>
      <c r="BR465" s="195"/>
      <c r="BS465" s="195"/>
      <c r="BT465" s="195"/>
      <c r="BU465" s="195"/>
      <c r="BV465" s="195"/>
      <c r="BW465" s="195"/>
      <c r="BX465" s="195"/>
      <c r="BY465" s="195"/>
      <c r="BZ465" s="195"/>
      <c r="CA465" s="195"/>
      <c r="CB465" s="195"/>
      <c r="CC465" s="195"/>
      <c r="CD465" s="195"/>
      <c r="CE465" s="195"/>
      <c r="CF465" s="195"/>
      <c r="CG465" s="256"/>
    </row>
    <row r="466" spans="1:85" s="254" customFormat="1" ht="13.9" customHeight="1" x14ac:dyDescent="0.2">
      <c r="A466" s="255" t="s">
        <v>149</v>
      </c>
      <c r="B466" s="187">
        <v>18</v>
      </c>
      <c r="C466" s="248" t="s">
        <v>155</v>
      </c>
      <c r="D466" s="197" t="s">
        <v>175</v>
      </c>
      <c r="E466" s="199"/>
      <c r="F466" s="199">
        <v>100000000</v>
      </c>
      <c r="G466" s="199"/>
      <c r="H466" s="175" t="s">
        <v>103</v>
      </c>
      <c r="I466" s="248" t="s">
        <v>638</v>
      </c>
      <c r="J466" s="177">
        <v>2</v>
      </c>
      <c r="K466" s="178">
        <v>3</v>
      </c>
      <c r="L466" s="179">
        <v>10</v>
      </c>
      <c r="M466" s="172">
        <f t="shared" si="78"/>
        <v>1</v>
      </c>
      <c r="N466" s="180" t="s">
        <v>36</v>
      </c>
      <c r="O466" s="181" t="str">
        <f>IF(ISBLANK(N466),"",VLOOKUP(N466,[1]Parámetros!$G$2:$H$23,2,FALSE))</f>
        <v xml:space="preserve">Contratación directa (con ofertas) </v>
      </c>
      <c r="P466" s="249">
        <v>1</v>
      </c>
      <c r="Q466" s="183">
        <f t="shared" si="79"/>
        <v>100000000</v>
      </c>
      <c r="R466" s="183">
        <f t="shared" si="80"/>
        <v>100000000</v>
      </c>
      <c r="S466" s="250" t="s">
        <v>226</v>
      </c>
      <c r="T466" s="249">
        <v>3</v>
      </c>
      <c r="U466" s="185" t="str">
        <f t="shared" si="81"/>
        <v>SUBDIRECCION DE GESTION CONTRACTUAL</v>
      </c>
      <c r="V466" s="249" t="s">
        <v>39</v>
      </c>
      <c r="W466" s="249" t="s">
        <v>38</v>
      </c>
      <c r="X466" s="197" t="s">
        <v>151</v>
      </c>
      <c r="Y466" s="187">
        <v>2427400</v>
      </c>
      <c r="Z466" s="201" t="s">
        <v>152</v>
      </c>
      <c r="AA466" s="252"/>
      <c r="AB466" s="252"/>
      <c r="AC466" s="252"/>
      <c r="AD466" s="252"/>
      <c r="AE466" s="252"/>
      <c r="AF466" s="252"/>
      <c r="AG466" s="252"/>
      <c r="AH466" s="252"/>
      <c r="AI466" s="252"/>
      <c r="AJ466" s="252"/>
      <c r="AK466" s="252"/>
      <c r="AL466" s="252"/>
      <c r="AM466" s="252"/>
      <c r="AN466" s="252"/>
      <c r="AO466" s="252"/>
      <c r="AP466" s="252"/>
      <c r="AQ466" s="252"/>
      <c r="AR466" s="252"/>
      <c r="AS466" s="252"/>
      <c r="AT466" s="252"/>
      <c r="AU466" s="195"/>
      <c r="AV466" s="195"/>
      <c r="AW466" s="195"/>
      <c r="AX466" s="195"/>
      <c r="AY466" s="195"/>
      <c r="AZ466" s="195"/>
      <c r="BA466" s="195"/>
      <c r="BB466" s="195"/>
      <c r="BC466" s="195"/>
      <c r="BD466" s="195"/>
      <c r="BE466" s="195"/>
      <c r="BF466" s="195"/>
      <c r="BG466" s="195"/>
      <c r="BH466" s="195"/>
      <c r="BI466" s="195"/>
      <c r="BJ466" s="195"/>
      <c r="BK466" s="195"/>
      <c r="BL466" s="195"/>
      <c r="BM466" s="195"/>
      <c r="BN466" s="195"/>
      <c r="BO466" s="195"/>
      <c r="BP466" s="195"/>
      <c r="BQ466" s="195"/>
      <c r="BR466" s="195"/>
      <c r="BS466" s="195"/>
      <c r="BT466" s="195"/>
      <c r="BU466" s="195"/>
      <c r="BV466" s="195"/>
      <c r="BW466" s="195"/>
      <c r="BX466" s="195"/>
      <c r="BY466" s="195"/>
      <c r="BZ466" s="195"/>
      <c r="CA466" s="195"/>
      <c r="CB466" s="195"/>
      <c r="CC466" s="195"/>
      <c r="CD466" s="195"/>
      <c r="CE466" s="195"/>
      <c r="CF466" s="195"/>
      <c r="CG466" s="256"/>
    </row>
    <row r="467" spans="1:85" s="254" customFormat="1" ht="13.9" customHeight="1" x14ac:dyDescent="0.2">
      <c r="A467" s="255" t="s">
        <v>149</v>
      </c>
      <c r="B467" s="187">
        <v>19</v>
      </c>
      <c r="C467" s="248" t="s">
        <v>155</v>
      </c>
      <c r="D467" s="197" t="s">
        <v>175</v>
      </c>
      <c r="E467" s="199"/>
      <c r="F467" s="199">
        <v>1500000000</v>
      </c>
      <c r="G467" s="199"/>
      <c r="H467" s="197" t="s">
        <v>851</v>
      </c>
      <c r="I467" s="248" t="s">
        <v>655</v>
      </c>
      <c r="J467" s="187">
        <v>3</v>
      </c>
      <c r="K467" s="187">
        <v>3</v>
      </c>
      <c r="L467" s="187">
        <v>9</v>
      </c>
      <c r="M467" s="172">
        <f t="shared" si="78"/>
        <v>1</v>
      </c>
      <c r="N467" s="180" t="s">
        <v>36</v>
      </c>
      <c r="O467" s="181" t="str">
        <f>IF(ISBLANK(N467),"",VLOOKUP(N467,[16]Parámetros!$G$2:$H$23,2,FALSE))</f>
        <v xml:space="preserve">Contratación directa (con ofertas) </v>
      </c>
      <c r="P467" s="249">
        <f>IF(ISBLANK(N467),"",1)</f>
        <v>1</v>
      </c>
      <c r="Q467" s="183">
        <f t="shared" si="79"/>
        <v>1500000000</v>
      </c>
      <c r="R467" s="183">
        <f t="shared" si="80"/>
        <v>1500000000</v>
      </c>
      <c r="S467" s="250" t="s">
        <v>223</v>
      </c>
      <c r="T467" s="249">
        <f>IF(ISBLANK(S467),"",IF(VALUE(S467)=0,0,IF(VALUE(S467)=1,3,"")))</f>
        <v>0</v>
      </c>
      <c r="U467" s="185" t="str">
        <f t="shared" si="81"/>
        <v>SUBDIRECCION DE GESTION CONTRACTUAL</v>
      </c>
      <c r="V467" s="249" t="str">
        <f t="shared" ref="V467:V489" si="82">IF(ISBLANK(N467),"","CO-DC")</f>
        <v>CO-DC</v>
      </c>
      <c r="W467" s="185" t="str">
        <f t="shared" ref="W467:W489" si="83">IF(ISBLANK(N467),"","Distrito Capital de Bogotá")</f>
        <v>Distrito Capital de Bogotá</v>
      </c>
      <c r="X467" s="197" t="s">
        <v>151</v>
      </c>
      <c r="Y467" s="187">
        <v>2427400</v>
      </c>
      <c r="Z467" s="258" t="s">
        <v>152</v>
      </c>
      <c r="AA467" s="252"/>
      <c r="AB467" s="252"/>
      <c r="AC467" s="252"/>
      <c r="AD467" s="252"/>
      <c r="AE467" s="252"/>
      <c r="AF467" s="252"/>
      <c r="AG467" s="252"/>
      <c r="AH467" s="252"/>
      <c r="AI467" s="252"/>
      <c r="AJ467" s="252"/>
      <c r="AK467" s="252"/>
      <c r="AL467" s="252"/>
      <c r="AM467" s="252"/>
      <c r="AN467" s="252"/>
      <c r="AO467" s="252"/>
      <c r="AP467" s="252"/>
      <c r="AQ467" s="252"/>
      <c r="AR467" s="252"/>
      <c r="AS467" s="252"/>
      <c r="AT467" s="252"/>
      <c r="AU467" s="195"/>
      <c r="AV467" s="195"/>
      <c r="AW467" s="195"/>
      <c r="AX467" s="195"/>
      <c r="AY467" s="195"/>
      <c r="AZ467" s="195"/>
      <c r="BA467" s="195"/>
      <c r="BB467" s="195"/>
      <c r="BC467" s="195"/>
      <c r="BD467" s="195"/>
      <c r="BE467" s="195"/>
      <c r="BF467" s="195"/>
      <c r="BG467" s="195"/>
      <c r="BH467" s="195"/>
      <c r="BI467" s="195"/>
      <c r="BJ467" s="195"/>
      <c r="BK467" s="195"/>
      <c r="BL467" s="195"/>
      <c r="BM467" s="195"/>
      <c r="BN467" s="195"/>
      <c r="BO467" s="195"/>
      <c r="BP467" s="195"/>
      <c r="BQ467" s="195"/>
      <c r="BR467" s="195"/>
      <c r="BS467" s="195"/>
      <c r="BT467" s="195"/>
      <c r="BU467" s="195"/>
      <c r="BV467" s="195"/>
      <c r="BW467" s="195"/>
      <c r="BX467" s="195"/>
      <c r="BY467" s="195"/>
      <c r="BZ467" s="195"/>
      <c r="CA467" s="195"/>
      <c r="CB467" s="195"/>
      <c r="CC467" s="195"/>
      <c r="CD467" s="195"/>
      <c r="CE467" s="195"/>
      <c r="CF467" s="195"/>
      <c r="CG467" s="256"/>
    </row>
    <row r="468" spans="1:85" s="254" customFormat="1" ht="13.9" customHeight="1" x14ac:dyDescent="0.2">
      <c r="A468" s="255" t="s">
        <v>149</v>
      </c>
      <c r="B468" s="187">
        <v>20</v>
      </c>
      <c r="C468" s="248" t="s">
        <v>155</v>
      </c>
      <c r="D468" s="197" t="s">
        <v>175</v>
      </c>
      <c r="E468" s="199"/>
      <c r="F468" s="199">
        <v>2500000000</v>
      </c>
      <c r="G468" s="199"/>
      <c r="H468" s="197" t="s">
        <v>852</v>
      </c>
      <c r="I468" s="248" t="s">
        <v>661</v>
      </c>
      <c r="J468" s="187">
        <v>4</v>
      </c>
      <c r="K468" s="187">
        <v>4</v>
      </c>
      <c r="L468" s="187">
        <v>8</v>
      </c>
      <c r="M468" s="172">
        <f t="shared" si="78"/>
        <v>1</v>
      </c>
      <c r="N468" s="180" t="s">
        <v>36</v>
      </c>
      <c r="O468" s="181" t="str">
        <f>IF(ISBLANK(N468),"",VLOOKUP(N468,[16]Parámetros!$G$2:$H$23,2,FALSE))</f>
        <v xml:space="preserve">Contratación directa (con ofertas) </v>
      </c>
      <c r="P468" s="249">
        <f>IF(ISBLANK(N468),"",1)</f>
        <v>1</v>
      </c>
      <c r="Q468" s="183">
        <f t="shared" si="79"/>
        <v>2500000000</v>
      </c>
      <c r="R468" s="183">
        <f t="shared" si="80"/>
        <v>2500000000</v>
      </c>
      <c r="S468" s="250" t="s">
        <v>223</v>
      </c>
      <c r="T468" s="249">
        <f>IF(ISBLANK(S468),"",IF(VALUE(S468)=0,0,IF(VALUE(S468)=1,3,"")))</f>
        <v>0</v>
      </c>
      <c r="U468" s="185" t="str">
        <f t="shared" si="81"/>
        <v>SUBDIRECCION DE GESTION CONTRACTUAL</v>
      </c>
      <c r="V468" s="249" t="str">
        <f t="shared" si="82"/>
        <v>CO-DC</v>
      </c>
      <c r="W468" s="249" t="str">
        <f t="shared" si="83"/>
        <v>Distrito Capital de Bogotá</v>
      </c>
      <c r="X468" s="197" t="s">
        <v>151</v>
      </c>
      <c r="Y468" s="187">
        <v>2427401</v>
      </c>
      <c r="Z468" s="201" t="s">
        <v>152</v>
      </c>
      <c r="AA468" s="252"/>
      <c r="AB468" s="252"/>
      <c r="AC468" s="252"/>
      <c r="AD468" s="252"/>
      <c r="AE468" s="252"/>
      <c r="AF468" s="252"/>
      <c r="AG468" s="252"/>
      <c r="AH468" s="252"/>
      <c r="AI468" s="252"/>
      <c r="AJ468" s="252"/>
      <c r="AK468" s="252"/>
      <c r="AL468" s="252"/>
      <c r="AM468" s="252"/>
      <c r="AN468" s="252"/>
      <c r="AO468" s="252"/>
      <c r="AP468" s="252"/>
      <c r="AQ468" s="252"/>
      <c r="AR468" s="252"/>
      <c r="AS468" s="252"/>
      <c r="AT468" s="252"/>
      <c r="AU468" s="195"/>
      <c r="AV468" s="195"/>
      <c r="AW468" s="195"/>
      <c r="AX468" s="195"/>
      <c r="AY468" s="195"/>
      <c r="AZ468" s="195"/>
      <c r="BA468" s="195"/>
      <c r="BB468" s="195"/>
      <c r="BC468" s="195"/>
      <c r="BD468" s="195"/>
      <c r="BE468" s="195"/>
      <c r="BF468" s="195"/>
      <c r="BG468" s="195"/>
      <c r="BH468" s="195"/>
      <c r="BI468" s="195"/>
      <c r="BJ468" s="195"/>
      <c r="BK468" s="195"/>
      <c r="BL468" s="195"/>
      <c r="BM468" s="195"/>
      <c r="BN468" s="195"/>
      <c r="BO468" s="195"/>
      <c r="BP468" s="195"/>
      <c r="BQ468" s="195"/>
      <c r="BR468" s="195"/>
      <c r="BS468" s="195"/>
      <c r="BT468" s="195"/>
      <c r="BU468" s="195"/>
      <c r="BV468" s="195"/>
      <c r="BW468" s="195"/>
      <c r="BX468" s="195"/>
      <c r="BY468" s="195"/>
      <c r="BZ468" s="195"/>
      <c r="CA468" s="195"/>
      <c r="CB468" s="195"/>
      <c r="CC468" s="195"/>
      <c r="CD468" s="195"/>
      <c r="CE468" s="195"/>
      <c r="CF468" s="195"/>
      <c r="CG468" s="256"/>
    </row>
    <row r="469" spans="1:85" s="254" customFormat="1" ht="13.9" customHeight="1" x14ac:dyDescent="0.2">
      <c r="A469" s="255" t="s">
        <v>149</v>
      </c>
      <c r="B469" s="187">
        <v>21</v>
      </c>
      <c r="C469" s="248" t="s">
        <v>155</v>
      </c>
      <c r="D469" s="197" t="s">
        <v>175</v>
      </c>
      <c r="E469" s="199"/>
      <c r="F469" s="199">
        <f>1500000000+750000000</f>
        <v>2250000000</v>
      </c>
      <c r="G469" s="199"/>
      <c r="H469" s="197" t="s">
        <v>853</v>
      </c>
      <c r="I469" s="248" t="s">
        <v>663</v>
      </c>
      <c r="J469" s="187">
        <v>4</v>
      </c>
      <c r="K469" s="187">
        <v>4</v>
      </c>
      <c r="L469" s="187">
        <v>8</v>
      </c>
      <c r="M469" s="172">
        <f t="shared" si="78"/>
        <v>1</v>
      </c>
      <c r="N469" s="180" t="s">
        <v>36</v>
      </c>
      <c r="O469" s="181" t="str">
        <f>IF(ISBLANK(N469),"",VLOOKUP(N469,[16]Parámetros!$G$2:$H$23,2,FALSE))</f>
        <v xml:space="preserve">Contratación directa (con ofertas) </v>
      </c>
      <c r="P469" s="249">
        <f>IF(ISBLANK(N469),"",1)</f>
        <v>1</v>
      </c>
      <c r="Q469" s="183">
        <f t="shared" si="79"/>
        <v>2250000000</v>
      </c>
      <c r="R469" s="183">
        <f t="shared" si="80"/>
        <v>2250000000</v>
      </c>
      <c r="S469" s="250" t="s">
        <v>223</v>
      </c>
      <c r="T469" s="249">
        <f>IF(ISBLANK(S469),"",IF(VALUE(S469)=0,0,IF(VALUE(S469)=1,3,"")))</f>
        <v>0</v>
      </c>
      <c r="U469" s="185" t="str">
        <f t="shared" si="81"/>
        <v>SUBDIRECCION DE GESTION CONTRACTUAL</v>
      </c>
      <c r="V469" s="249" t="str">
        <f t="shared" si="82"/>
        <v>CO-DC</v>
      </c>
      <c r="W469" s="249" t="str">
        <f t="shared" si="83"/>
        <v>Distrito Capital de Bogotá</v>
      </c>
      <c r="X469" s="197" t="s">
        <v>151</v>
      </c>
      <c r="Y469" s="187">
        <v>2427401</v>
      </c>
      <c r="Z469" s="201" t="s">
        <v>152</v>
      </c>
      <c r="AA469" s="252"/>
      <c r="AB469" s="252"/>
      <c r="AC469" s="252"/>
      <c r="AD469" s="252"/>
      <c r="AE469" s="252"/>
      <c r="AF469" s="252"/>
      <c r="AG469" s="252"/>
      <c r="AH469" s="252"/>
      <c r="AI469" s="252"/>
      <c r="AJ469" s="252"/>
      <c r="AK469" s="252"/>
      <c r="AL469" s="252"/>
      <c r="AM469" s="252"/>
      <c r="AN469" s="252"/>
      <c r="AO469" s="252"/>
      <c r="AP469" s="252"/>
      <c r="AQ469" s="252"/>
      <c r="AR469" s="252"/>
      <c r="AS469" s="252"/>
      <c r="AT469" s="252"/>
      <c r="AU469" s="195"/>
      <c r="AV469" s="195"/>
      <c r="AW469" s="195"/>
      <c r="AX469" s="195"/>
      <c r="AY469" s="195"/>
      <c r="AZ469" s="195"/>
      <c r="BA469" s="195"/>
      <c r="BB469" s="195"/>
      <c r="BC469" s="195"/>
      <c r="BD469" s="195"/>
      <c r="BE469" s="195"/>
      <c r="BF469" s="195"/>
      <c r="BG469" s="195"/>
      <c r="BH469" s="195"/>
      <c r="BI469" s="195"/>
      <c r="BJ469" s="195"/>
      <c r="BK469" s="195"/>
      <c r="BL469" s="195"/>
      <c r="BM469" s="195"/>
      <c r="BN469" s="195"/>
      <c r="BO469" s="195"/>
      <c r="BP469" s="195"/>
      <c r="BQ469" s="195"/>
      <c r="BR469" s="195"/>
      <c r="BS469" s="195"/>
      <c r="BT469" s="195"/>
      <c r="BU469" s="195"/>
      <c r="BV469" s="195"/>
      <c r="BW469" s="195"/>
      <c r="BX469" s="195"/>
      <c r="BY469" s="195"/>
      <c r="BZ469" s="195"/>
      <c r="CA469" s="195"/>
      <c r="CB469" s="195"/>
      <c r="CC469" s="195"/>
      <c r="CD469" s="195"/>
      <c r="CE469" s="195"/>
      <c r="CF469" s="195"/>
      <c r="CG469" s="256"/>
    </row>
    <row r="470" spans="1:85" s="254" customFormat="1" ht="13.9" customHeight="1" x14ac:dyDescent="0.2">
      <c r="A470" s="255" t="s">
        <v>149</v>
      </c>
      <c r="B470" s="187">
        <v>22</v>
      </c>
      <c r="C470" s="248" t="s">
        <v>621</v>
      </c>
      <c r="D470" s="197" t="s">
        <v>175</v>
      </c>
      <c r="E470" s="199"/>
      <c r="F470" s="199">
        <v>680000000</v>
      </c>
      <c r="G470" s="199"/>
      <c r="H470" s="197">
        <v>80111600</v>
      </c>
      <c r="I470" s="248" t="s">
        <v>658</v>
      </c>
      <c r="J470" s="187">
        <v>1</v>
      </c>
      <c r="K470" s="187">
        <v>1</v>
      </c>
      <c r="L470" s="187">
        <v>12</v>
      </c>
      <c r="M470" s="172">
        <f t="shared" si="78"/>
        <v>1</v>
      </c>
      <c r="N470" s="180" t="s">
        <v>216</v>
      </c>
      <c r="O470" s="181" t="str">
        <f>IF(ISBLANK(N470),"",VLOOKUP(N470,[16]Parámetros!$G$2:$H$23,2,FALSE))</f>
        <v>Contratación directa.</v>
      </c>
      <c r="P470" s="249">
        <f>IF(ISBLANK(N470),"",1)</f>
        <v>1</v>
      </c>
      <c r="Q470" s="183">
        <f t="shared" si="79"/>
        <v>680000000</v>
      </c>
      <c r="R470" s="183">
        <f t="shared" si="80"/>
        <v>680000000</v>
      </c>
      <c r="S470" s="250" t="s">
        <v>223</v>
      </c>
      <c r="T470" s="249">
        <f>IF(ISBLANK(S470),"",IF(VALUE(S470)=0,0,IF(VALUE(S470)=1,3,"")))</f>
        <v>0</v>
      </c>
      <c r="U470" s="185" t="str">
        <f t="shared" si="81"/>
        <v>SUBDIRECCION DE GESTION CONTRACTUAL</v>
      </c>
      <c r="V470" s="249" t="str">
        <f t="shared" si="82"/>
        <v>CO-DC</v>
      </c>
      <c r="W470" s="249" t="str">
        <f t="shared" si="83"/>
        <v>Distrito Capital de Bogotá</v>
      </c>
      <c r="X470" s="197" t="s">
        <v>151</v>
      </c>
      <c r="Y470" s="187">
        <v>2427401</v>
      </c>
      <c r="Z470" s="201" t="s">
        <v>152</v>
      </c>
      <c r="AA470" s="252"/>
      <c r="AB470" s="252"/>
      <c r="AC470" s="252"/>
      <c r="AD470" s="252"/>
      <c r="AE470" s="252"/>
      <c r="AF470" s="252"/>
      <c r="AG470" s="252"/>
      <c r="AH470" s="252"/>
      <c r="AI470" s="252"/>
      <c r="AJ470" s="252"/>
      <c r="AK470" s="252"/>
      <c r="AL470" s="252"/>
      <c r="AM470" s="252"/>
      <c r="AN470" s="252"/>
      <c r="AO470" s="252"/>
      <c r="AP470" s="252"/>
      <c r="AQ470" s="252"/>
      <c r="AR470" s="252"/>
      <c r="AS470" s="252"/>
      <c r="AT470" s="252"/>
      <c r="AU470" s="195"/>
      <c r="AV470" s="195"/>
      <c r="AW470" s="195"/>
      <c r="AX470" s="195"/>
      <c r="AY470" s="195"/>
      <c r="AZ470" s="195"/>
      <c r="BA470" s="195"/>
      <c r="BB470" s="195"/>
      <c r="BC470" s="195"/>
      <c r="BD470" s="195"/>
      <c r="BE470" s="195"/>
      <c r="BF470" s="195"/>
      <c r="BG470" s="195"/>
      <c r="BH470" s="195"/>
      <c r="BI470" s="195"/>
      <c r="BJ470" s="195"/>
      <c r="BK470" s="195"/>
      <c r="BL470" s="195"/>
      <c r="BM470" s="195"/>
      <c r="BN470" s="195"/>
      <c r="BO470" s="195"/>
      <c r="BP470" s="195"/>
      <c r="BQ470" s="195"/>
      <c r="BR470" s="195"/>
      <c r="BS470" s="195"/>
      <c r="BT470" s="195"/>
      <c r="BU470" s="195"/>
      <c r="BV470" s="195"/>
      <c r="BW470" s="195"/>
      <c r="BX470" s="195"/>
      <c r="BY470" s="195"/>
      <c r="BZ470" s="195"/>
      <c r="CA470" s="195"/>
      <c r="CB470" s="195"/>
      <c r="CC470" s="195"/>
      <c r="CD470" s="195"/>
      <c r="CE470" s="195"/>
      <c r="CF470" s="195"/>
      <c r="CG470" s="256"/>
    </row>
    <row r="471" spans="1:85" s="254" customFormat="1" ht="13.9" customHeight="1" x14ac:dyDescent="0.2">
      <c r="A471" s="255" t="s">
        <v>149</v>
      </c>
      <c r="B471" s="187">
        <v>23</v>
      </c>
      <c r="C471" s="248" t="s">
        <v>157</v>
      </c>
      <c r="D471" s="197" t="s">
        <v>175</v>
      </c>
      <c r="E471" s="199"/>
      <c r="F471" s="199">
        <v>620000000</v>
      </c>
      <c r="G471" s="199"/>
      <c r="H471" s="197" t="s">
        <v>852</v>
      </c>
      <c r="I471" s="248" t="s">
        <v>661</v>
      </c>
      <c r="J471" s="187">
        <v>4</v>
      </c>
      <c r="K471" s="187">
        <v>4</v>
      </c>
      <c r="L471" s="187">
        <v>8</v>
      </c>
      <c r="M471" s="172">
        <f t="shared" si="78"/>
        <v>1</v>
      </c>
      <c r="N471" s="180" t="s">
        <v>36</v>
      </c>
      <c r="O471" s="181" t="str">
        <f>IF(ISBLANK(N471),"",VLOOKUP(N471,[16]Parámetros!$G$2:$H$23,2,FALSE))</f>
        <v xml:space="preserve">Contratación directa (con ofertas) </v>
      </c>
      <c r="P471" s="249">
        <f>IF(ISBLANK(N471),"",1)</f>
        <v>1</v>
      </c>
      <c r="Q471" s="183">
        <f t="shared" si="79"/>
        <v>620000000</v>
      </c>
      <c r="R471" s="183">
        <f t="shared" si="80"/>
        <v>620000000</v>
      </c>
      <c r="S471" s="250" t="s">
        <v>223</v>
      </c>
      <c r="T471" s="249">
        <f>IF(ISBLANK(S471),"",IF(VALUE(S471)=0,0,IF(VALUE(S471)=1,3,"")))</f>
        <v>0</v>
      </c>
      <c r="U471" s="185" t="str">
        <f t="shared" si="81"/>
        <v>SUBDIRECCION DE GESTION CONTRACTUAL</v>
      </c>
      <c r="V471" s="249" t="str">
        <f t="shared" si="82"/>
        <v>CO-DC</v>
      </c>
      <c r="W471" s="249" t="str">
        <f t="shared" si="83"/>
        <v>Distrito Capital de Bogotá</v>
      </c>
      <c r="X471" s="197" t="s">
        <v>151</v>
      </c>
      <c r="Y471" s="187">
        <v>2427401</v>
      </c>
      <c r="Z471" s="201" t="s">
        <v>152</v>
      </c>
      <c r="AA471" s="252"/>
      <c r="AB471" s="252"/>
      <c r="AC471" s="252"/>
      <c r="AD471" s="252"/>
      <c r="AE471" s="252"/>
      <c r="AF471" s="252"/>
      <c r="AG471" s="252"/>
      <c r="AH471" s="252"/>
      <c r="AI471" s="252"/>
      <c r="AJ471" s="252"/>
      <c r="AK471" s="252"/>
      <c r="AL471" s="252"/>
      <c r="AM471" s="252"/>
      <c r="AN471" s="252"/>
      <c r="AO471" s="252"/>
      <c r="AP471" s="252"/>
      <c r="AQ471" s="252"/>
      <c r="AR471" s="252"/>
      <c r="AS471" s="252"/>
      <c r="AT471" s="252"/>
      <c r="AU471" s="195"/>
      <c r="AV471" s="195"/>
      <c r="AW471" s="195"/>
      <c r="AX471" s="195"/>
      <c r="AY471" s="195"/>
      <c r="AZ471" s="195"/>
      <c r="BA471" s="195"/>
      <c r="BB471" s="195"/>
      <c r="BC471" s="195"/>
      <c r="BD471" s="195"/>
      <c r="BE471" s="195"/>
      <c r="BF471" s="195"/>
      <c r="BG471" s="195"/>
      <c r="BH471" s="195"/>
      <c r="BI471" s="195"/>
      <c r="BJ471" s="195"/>
      <c r="BK471" s="195"/>
      <c r="BL471" s="195"/>
      <c r="BM471" s="195"/>
      <c r="BN471" s="195"/>
      <c r="BO471" s="195"/>
      <c r="BP471" s="195"/>
      <c r="BQ471" s="195"/>
      <c r="BR471" s="195"/>
      <c r="BS471" s="195"/>
      <c r="BT471" s="195"/>
      <c r="BU471" s="195"/>
      <c r="BV471" s="195"/>
      <c r="BW471" s="195"/>
      <c r="BX471" s="195"/>
      <c r="BY471" s="195"/>
      <c r="BZ471" s="195"/>
      <c r="CA471" s="195"/>
      <c r="CB471" s="195"/>
      <c r="CC471" s="195"/>
      <c r="CD471" s="195"/>
      <c r="CE471" s="195"/>
      <c r="CF471" s="195"/>
      <c r="CG471" s="256"/>
    </row>
    <row r="472" spans="1:85" s="254" customFormat="1" ht="13.9" customHeight="1" x14ac:dyDescent="0.2">
      <c r="A472" s="255" t="s">
        <v>149</v>
      </c>
      <c r="B472" s="187">
        <v>24</v>
      </c>
      <c r="C472" s="248" t="s">
        <v>155</v>
      </c>
      <c r="D472" s="197" t="s">
        <v>175</v>
      </c>
      <c r="E472" s="199"/>
      <c r="F472" s="199">
        <v>50000000</v>
      </c>
      <c r="G472" s="199"/>
      <c r="H472" s="175" t="s">
        <v>801</v>
      </c>
      <c r="I472" s="248" t="s">
        <v>624</v>
      </c>
      <c r="J472" s="202">
        <v>1</v>
      </c>
      <c r="K472" s="202">
        <v>2</v>
      </c>
      <c r="L472" s="202">
        <v>3</v>
      </c>
      <c r="M472" s="172">
        <f t="shared" si="78"/>
        <v>1</v>
      </c>
      <c r="N472" s="180" t="s">
        <v>36</v>
      </c>
      <c r="O472" s="181" t="str">
        <f>IF(ISBLANK(N472),"",VLOOKUP(N472,[16]Parámetros!$G$2:$H$23,2,FALSE))</f>
        <v xml:space="preserve">Contratación directa (con ofertas) </v>
      </c>
      <c r="P472" s="249">
        <v>1</v>
      </c>
      <c r="Q472" s="183">
        <f t="shared" si="79"/>
        <v>50000000</v>
      </c>
      <c r="R472" s="183">
        <f t="shared" si="80"/>
        <v>50000000</v>
      </c>
      <c r="S472" s="250" t="s">
        <v>223</v>
      </c>
      <c r="T472" s="249">
        <v>0</v>
      </c>
      <c r="U472" s="185" t="str">
        <f t="shared" si="81"/>
        <v>SUBDIRECCION DE GESTION CONTRACTUAL</v>
      </c>
      <c r="V472" s="249" t="str">
        <f t="shared" si="82"/>
        <v>CO-DC</v>
      </c>
      <c r="W472" s="249" t="str">
        <f t="shared" si="83"/>
        <v>Distrito Capital de Bogotá</v>
      </c>
      <c r="X472" s="197" t="s">
        <v>151</v>
      </c>
      <c r="Y472" s="187">
        <v>2427401</v>
      </c>
      <c r="Z472" s="201" t="s">
        <v>152</v>
      </c>
      <c r="AA472" s="252"/>
      <c r="AB472" s="252"/>
      <c r="AC472" s="252"/>
      <c r="AD472" s="252"/>
      <c r="AE472" s="252"/>
      <c r="AF472" s="252"/>
      <c r="AG472" s="252"/>
      <c r="AH472" s="252"/>
      <c r="AI472" s="252"/>
      <c r="AJ472" s="252"/>
      <c r="AK472" s="252"/>
      <c r="AL472" s="252"/>
      <c r="AM472" s="252"/>
      <c r="AN472" s="252"/>
      <c r="AO472" s="252"/>
      <c r="AP472" s="252"/>
      <c r="AQ472" s="252"/>
      <c r="AR472" s="252"/>
      <c r="AS472" s="252"/>
      <c r="AT472" s="252"/>
      <c r="AU472" s="195"/>
      <c r="AV472" s="195"/>
      <c r="AW472" s="195"/>
      <c r="AX472" s="195"/>
      <c r="AY472" s="195"/>
      <c r="AZ472" s="195"/>
      <c r="BA472" s="195"/>
      <c r="BB472" s="195"/>
      <c r="BC472" s="195"/>
      <c r="BD472" s="195"/>
      <c r="BE472" s="195"/>
      <c r="BF472" s="195"/>
      <c r="BG472" s="195"/>
      <c r="BH472" s="195"/>
      <c r="BI472" s="195"/>
      <c r="BJ472" s="195"/>
      <c r="BK472" s="195"/>
      <c r="BL472" s="195"/>
      <c r="BM472" s="195"/>
      <c r="BN472" s="195"/>
      <c r="BO472" s="195"/>
      <c r="BP472" s="195"/>
      <c r="BQ472" s="195"/>
      <c r="BR472" s="195"/>
      <c r="BS472" s="195"/>
      <c r="BT472" s="195"/>
      <c r="BU472" s="195"/>
      <c r="BV472" s="195"/>
      <c r="BW472" s="195"/>
      <c r="BX472" s="195"/>
      <c r="BY472" s="195"/>
      <c r="BZ472" s="195"/>
      <c r="CA472" s="195"/>
      <c r="CB472" s="195"/>
      <c r="CC472" s="195"/>
      <c r="CD472" s="195"/>
      <c r="CE472" s="195"/>
      <c r="CF472" s="195"/>
      <c r="CG472" s="256"/>
    </row>
    <row r="473" spans="1:85" s="254" customFormat="1" ht="13.9" customHeight="1" x14ac:dyDescent="0.2">
      <c r="A473" s="255" t="s">
        <v>149</v>
      </c>
      <c r="B473" s="187">
        <v>25</v>
      </c>
      <c r="C473" s="248" t="s">
        <v>157</v>
      </c>
      <c r="D473" s="197" t="s">
        <v>175</v>
      </c>
      <c r="E473" s="199"/>
      <c r="F473" s="199">
        <v>216000000</v>
      </c>
      <c r="G473" s="199"/>
      <c r="H473" s="197">
        <v>80111600</v>
      </c>
      <c r="I473" s="248" t="s">
        <v>658</v>
      </c>
      <c r="J473" s="187">
        <v>1</v>
      </c>
      <c r="K473" s="187">
        <v>1</v>
      </c>
      <c r="L473" s="187">
        <v>12</v>
      </c>
      <c r="M473" s="172">
        <f t="shared" si="78"/>
        <v>1</v>
      </c>
      <c r="N473" s="180" t="s">
        <v>216</v>
      </c>
      <c r="O473" s="181" t="str">
        <f>IF(ISBLANK(N473),"",VLOOKUP(N473,[16]Parámetros!$G$2:$H$23,2,FALSE))</f>
        <v>Contratación directa.</v>
      </c>
      <c r="P473" s="249">
        <f t="shared" ref="P473:P480" si="84">IF(ISBLANK(N473),"",1)</f>
        <v>1</v>
      </c>
      <c r="Q473" s="183">
        <f t="shared" si="79"/>
        <v>216000000</v>
      </c>
      <c r="R473" s="183">
        <f t="shared" si="80"/>
        <v>216000000</v>
      </c>
      <c r="S473" s="250" t="s">
        <v>223</v>
      </c>
      <c r="T473" s="249">
        <f t="shared" ref="T473:T480" si="85">IF(ISBLANK(S473),"",IF(VALUE(S473)=0,0,IF(VALUE(S473)=1,3,"")))</f>
        <v>0</v>
      </c>
      <c r="U473" s="185" t="str">
        <f t="shared" si="81"/>
        <v>SUBDIRECCION DE GESTION CONTRACTUAL</v>
      </c>
      <c r="V473" s="249" t="str">
        <f t="shared" si="82"/>
        <v>CO-DC</v>
      </c>
      <c r="W473" s="249" t="str">
        <f t="shared" si="83"/>
        <v>Distrito Capital de Bogotá</v>
      </c>
      <c r="X473" s="197" t="s">
        <v>151</v>
      </c>
      <c r="Y473" s="187">
        <v>2427401</v>
      </c>
      <c r="Z473" s="201" t="s">
        <v>152</v>
      </c>
      <c r="AA473" s="252"/>
      <c r="AB473" s="252"/>
      <c r="AC473" s="252"/>
      <c r="AD473" s="252"/>
      <c r="AE473" s="252"/>
      <c r="AF473" s="252"/>
      <c r="AG473" s="252"/>
      <c r="AH473" s="252"/>
      <c r="AI473" s="252"/>
      <c r="AJ473" s="252"/>
      <c r="AK473" s="252"/>
      <c r="AL473" s="252"/>
      <c r="AM473" s="252"/>
      <c r="AN473" s="252"/>
      <c r="AO473" s="252"/>
      <c r="AP473" s="252"/>
      <c r="AQ473" s="252"/>
      <c r="AR473" s="252"/>
      <c r="AS473" s="252"/>
      <c r="AT473" s="252"/>
      <c r="AU473" s="195"/>
      <c r="AV473" s="195"/>
      <c r="AW473" s="195"/>
      <c r="AX473" s="195"/>
      <c r="AY473" s="195"/>
      <c r="AZ473" s="195"/>
      <c r="BA473" s="195"/>
      <c r="BB473" s="195"/>
      <c r="BC473" s="195"/>
      <c r="BD473" s="195"/>
      <c r="BE473" s="195"/>
      <c r="BF473" s="195"/>
      <c r="BG473" s="195"/>
      <c r="BH473" s="195"/>
      <c r="BI473" s="195"/>
      <c r="BJ473" s="195"/>
      <c r="BK473" s="195"/>
      <c r="BL473" s="195"/>
      <c r="BM473" s="195"/>
      <c r="BN473" s="195"/>
      <c r="BO473" s="195"/>
      <c r="BP473" s="195"/>
      <c r="BQ473" s="195"/>
      <c r="BR473" s="195"/>
      <c r="BS473" s="195"/>
      <c r="BT473" s="195"/>
      <c r="BU473" s="195"/>
      <c r="BV473" s="195"/>
      <c r="BW473" s="195"/>
      <c r="BX473" s="195"/>
      <c r="BY473" s="195"/>
      <c r="BZ473" s="195"/>
      <c r="CA473" s="195"/>
      <c r="CB473" s="195"/>
      <c r="CC473" s="195"/>
      <c r="CD473" s="195"/>
      <c r="CE473" s="195"/>
      <c r="CF473" s="195"/>
      <c r="CG473" s="256"/>
    </row>
    <row r="474" spans="1:85" s="254" customFormat="1" ht="13.9" customHeight="1" x14ac:dyDescent="0.2">
      <c r="A474" s="255" t="s">
        <v>149</v>
      </c>
      <c r="B474" s="187">
        <v>26</v>
      </c>
      <c r="C474" s="248" t="s">
        <v>156</v>
      </c>
      <c r="D474" s="197" t="s">
        <v>175</v>
      </c>
      <c r="E474" s="199"/>
      <c r="F474" s="199">
        <v>420000000</v>
      </c>
      <c r="G474" s="199"/>
      <c r="H474" s="197">
        <v>80111600</v>
      </c>
      <c r="I474" s="248" t="s">
        <v>658</v>
      </c>
      <c r="J474" s="187">
        <v>1</v>
      </c>
      <c r="K474" s="187">
        <v>1</v>
      </c>
      <c r="L474" s="187">
        <v>12</v>
      </c>
      <c r="M474" s="172">
        <f t="shared" si="78"/>
        <v>1</v>
      </c>
      <c r="N474" s="180" t="s">
        <v>216</v>
      </c>
      <c r="O474" s="181" t="str">
        <f>IF(ISBLANK(N474),"",VLOOKUP(N474,[16]Parámetros!$G$2:$H$23,2,FALSE))</f>
        <v>Contratación directa.</v>
      </c>
      <c r="P474" s="249">
        <f t="shared" si="84"/>
        <v>1</v>
      </c>
      <c r="Q474" s="183">
        <f t="shared" si="79"/>
        <v>420000000</v>
      </c>
      <c r="R474" s="183">
        <f t="shared" si="80"/>
        <v>420000000</v>
      </c>
      <c r="S474" s="250" t="s">
        <v>223</v>
      </c>
      <c r="T474" s="249">
        <f t="shared" si="85"/>
        <v>0</v>
      </c>
      <c r="U474" s="185" t="str">
        <f t="shared" si="81"/>
        <v>SUBDIRECCION DE GESTION CONTRACTUAL</v>
      </c>
      <c r="V474" s="249" t="str">
        <f t="shared" si="82"/>
        <v>CO-DC</v>
      </c>
      <c r="W474" s="249" t="str">
        <f t="shared" si="83"/>
        <v>Distrito Capital de Bogotá</v>
      </c>
      <c r="X474" s="197" t="s">
        <v>151</v>
      </c>
      <c r="Y474" s="187">
        <v>2427401</v>
      </c>
      <c r="Z474" s="201" t="s">
        <v>152</v>
      </c>
      <c r="AA474" s="252"/>
      <c r="AB474" s="252"/>
      <c r="AC474" s="252"/>
      <c r="AD474" s="252"/>
      <c r="AE474" s="252"/>
      <c r="AF474" s="252"/>
      <c r="AG474" s="252"/>
      <c r="AH474" s="252"/>
      <c r="AI474" s="252"/>
      <c r="AJ474" s="252"/>
      <c r="AK474" s="252"/>
      <c r="AL474" s="252"/>
      <c r="AM474" s="252"/>
      <c r="AN474" s="252"/>
      <c r="AO474" s="252"/>
      <c r="AP474" s="252"/>
      <c r="AQ474" s="252"/>
      <c r="AR474" s="252"/>
      <c r="AS474" s="252"/>
      <c r="AT474" s="252"/>
      <c r="AU474" s="195"/>
      <c r="AV474" s="195"/>
      <c r="AW474" s="195"/>
      <c r="AX474" s="195"/>
      <c r="AY474" s="195"/>
      <c r="AZ474" s="195"/>
      <c r="BA474" s="195"/>
      <c r="BB474" s="195"/>
      <c r="BC474" s="195"/>
      <c r="BD474" s="195"/>
      <c r="BE474" s="195"/>
      <c r="BF474" s="195"/>
      <c r="BG474" s="195"/>
      <c r="BH474" s="195"/>
      <c r="BI474" s="195"/>
      <c r="BJ474" s="195"/>
      <c r="BK474" s="195"/>
      <c r="BL474" s="195"/>
      <c r="BM474" s="195"/>
      <c r="BN474" s="195"/>
      <c r="BO474" s="195"/>
      <c r="BP474" s="195"/>
      <c r="BQ474" s="195"/>
      <c r="BR474" s="195"/>
      <c r="BS474" s="195"/>
      <c r="BT474" s="195"/>
      <c r="BU474" s="195"/>
      <c r="BV474" s="195"/>
      <c r="BW474" s="195"/>
      <c r="BX474" s="195"/>
      <c r="BY474" s="195"/>
      <c r="BZ474" s="195"/>
      <c r="CA474" s="195"/>
      <c r="CB474" s="195"/>
      <c r="CC474" s="195"/>
      <c r="CD474" s="195"/>
      <c r="CE474" s="195"/>
      <c r="CF474" s="195"/>
      <c r="CG474" s="256"/>
    </row>
    <row r="475" spans="1:85" s="254" customFormat="1" ht="13.9" customHeight="1" x14ac:dyDescent="0.2">
      <c r="A475" s="255" t="s">
        <v>149</v>
      </c>
      <c r="B475" s="187">
        <v>27</v>
      </c>
      <c r="C475" s="248" t="s">
        <v>156</v>
      </c>
      <c r="D475" s="197" t="s">
        <v>175</v>
      </c>
      <c r="E475" s="199"/>
      <c r="F475" s="199">
        <v>426500000</v>
      </c>
      <c r="G475" s="199"/>
      <c r="H475" s="197" t="s">
        <v>851</v>
      </c>
      <c r="I475" s="248" t="s">
        <v>664</v>
      </c>
      <c r="J475" s="187">
        <v>3</v>
      </c>
      <c r="K475" s="187">
        <v>3</v>
      </c>
      <c r="L475" s="187">
        <v>9</v>
      </c>
      <c r="M475" s="172">
        <f t="shared" si="78"/>
        <v>1</v>
      </c>
      <c r="N475" s="180" t="s">
        <v>36</v>
      </c>
      <c r="O475" s="181" t="str">
        <f>IF(ISBLANK(N475),"",VLOOKUP(N475,[16]Parámetros!$G$2:$H$23,2,FALSE))</f>
        <v xml:space="preserve">Contratación directa (con ofertas) </v>
      </c>
      <c r="P475" s="249">
        <f t="shared" si="84"/>
        <v>1</v>
      </c>
      <c r="Q475" s="183">
        <f t="shared" si="79"/>
        <v>426500000</v>
      </c>
      <c r="R475" s="183">
        <f t="shared" si="80"/>
        <v>426500000</v>
      </c>
      <c r="S475" s="250" t="s">
        <v>223</v>
      </c>
      <c r="T475" s="249">
        <f t="shared" si="85"/>
        <v>0</v>
      </c>
      <c r="U475" s="185" t="str">
        <f t="shared" si="81"/>
        <v>SUBDIRECCION DE GESTION CONTRACTUAL</v>
      </c>
      <c r="V475" s="249" t="str">
        <f t="shared" si="82"/>
        <v>CO-DC</v>
      </c>
      <c r="W475" s="249" t="str">
        <f t="shared" si="83"/>
        <v>Distrito Capital de Bogotá</v>
      </c>
      <c r="X475" s="197" t="s">
        <v>151</v>
      </c>
      <c r="Y475" s="187">
        <v>2427401</v>
      </c>
      <c r="Z475" s="201" t="s">
        <v>152</v>
      </c>
      <c r="AA475" s="252"/>
      <c r="AB475" s="252"/>
      <c r="AC475" s="252"/>
      <c r="AD475" s="252"/>
      <c r="AE475" s="252"/>
      <c r="AF475" s="252"/>
      <c r="AG475" s="252"/>
      <c r="AH475" s="252"/>
      <c r="AI475" s="252"/>
      <c r="AJ475" s="252"/>
      <c r="AK475" s="252"/>
      <c r="AL475" s="252"/>
      <c r="AM475" s="252"/>
      <c r="AN475" s="252"/>
      <c r="AO475" s="252"/>
      <c r="AP475" s="252"/>
      <c r="AQ475" s="252"/>
      <c r="AR475" s="252"/>
      <c r="AS475" s="252"/>
      <c r="AT475" s="252"/>
      <c r="AU475" s="195"/>
      <c r="AV475" s="195"/>
      <c r="AW475" s="195"/>
      <c r="AX475" s="195"/>
      <c r="AY475" s="195"/>
      <c r="AZ475" s="195"/>
      <c r="BA475" s="195"/>
      <c r="BB475" s="195"/>
      <c r="BC475" s="195"/>
      <c r="BD475" s="195"/>
      <c r="BE475" s="195"/>
      <c r="BF475" s="195"/>
      <c r="BG475" s="195"/>
      <c r="BH475" s="195"/>
      <c r="BI475" s="195"/>
      <c r="BJ475" s="195"/>
      <c r="BK475" s="195"/>
      <c r="BL475" s="195"/>
      <c r="BM475" s="195"/>
      <c r="BN475" s="195"/>
      <c r="BO475" s="195"/>
      <c r="BP475" s="195"/>
      <c r="BQ475" s="195"/>
      <c r="BR475" s="195"/>
      <c r="BS475" s="195"/>
      <c r="BT475" s="195"/>
      <c r="BU475" s="195"/>
      <c r="BV475" s="195"/>
      <c r="BW475" s="195"/>
      <c r="BX475" s="195"/>
      <c r="BY475" s="195"/>
      <c r="BZ475" s="195"/>
      <c r="CA475" s="195"/>
      <c r="CB475" s="195"/>
      <c r="CC475" s="195"/>
      <c r="CD475" s="195"/>
      <c r="CE475" s="195"/>
      <c r="CF475" s="195"/>
      <c r="CG475" s="256"/>
    </row>
    <row r="476" spans="1:85" s="254" customFormat="1" ht="13.9" customHeight="1" x14ac:dyDescent="0.2">
      <c r="A476" s="255" t="s">
        <v>149</v>
      </c>
      <c r="B476" s="187">
        <v>28</v>
      </c>
      <c r="C476" s="248" t="s">
        <v>569</v>
      </c>
      <c r="D476" s="197" t="s">
        <v>857</v>
      </c>
      <c r="E476" s="199"/>
      <c r="F476" s="199">
        <v>864000000</v>
      </c>
      <c r="G476" s="199"/>
      <c r="H476" s="197" t="s">
        <v>796</v>
      </c>
      <c r="I476" s="248" t="s">
        <v>662</v>
      </c>
      <c r="J476" s="187">
        <v>3</v>
      </c>
      <c r="K476" s="187">
        <v>3</v>
      </c>
      <c r="L476" s="187">
        <v>9</v>
      </c>
      <c r="M476" s="172">
        <f t="shared" si="78"/>
        <v>1</v>
      </c>
      <c r="N476" s="180" t="s">
        <v>36</v>
      </c>
      <c r="O476" s="181" t="str">
        <f>IF(ISBLANK(N476),"",VLOOKUP(N476,[16]Parámetros!$G$2:$H$23,2,FALSE))</f>
        <v xml:space="preserve">Contratación directa (con ofertas) </v>
      </c>
      <c r="P476" s="249">
        <f t="shared" si="84"/>
        <v>1</v>
      </c>
      <c r="Q476" s="183">
        <f t="shared" si="79"/>
        <v>864000000</v>
      </c>
      <c r="R476" s="183">
        <f t="shared" si="80"/>
        <v>864000000</v>
      </c>
      <c r="S476" s="250" t="s">
        <v>223</v>
      </c>
      <c r="T476" s="249">
        <f t="shared" si="85"/>
        <v>0</v>
      </c>
      <c r="U476" s="185" t="str">
        <f t="shared" si="81"/>
        <v>SUBDIRECCION DE GESTION CONTRACTUAL</v>
      </c>
      <c r="V476" s="249" t="str">
        <f t="shared" si="82"/>
        <v>CO-DC</v>
      </c>
      <c r="W476" s="249" t="str">
        <f t="shared" si="83"/>
        <v>Distrito Capital de Bogotá</v>
      </c>
      <c r="X476" s="197" t="s">
        <v>151</v>
      </c>
      <c r="Y476" s="187">
        <v>2427401</v>
      </c>
      <c r="Z476" s="201" t="s">
        <v>152</v>
      </c>
      <c r="AA476" s="252"/>
      <c r="AB476" s="252"/>
      <c r="AC476" s="252"/>
      <c r="AD476" s="252"/>
      <c r="AE476" s="252"/>
      <c r="AF476" s="252"/>
      <c r="AG476" s="252"/>
      <c r="AH476" s="252"/>
      <c r="AI476" s="252"/>
      <c r="AJ476" s="252"/>
      <c r="AK476" s="252"/>
      <c r="AL476" s="252"/>
      <c r="AM476" s="252"/>
      <c r="AN476" s="252"/>
      <c r="AO476" s="252"/>
      <c r="AP476" s="252"/>
      <c r="AQ476" s="252"/>
      <c r="AR476" s="252"/>
      <c r="AS476" s="252"/>
      <c r="AT476" s="252"/>
      <c r="AU476" s="195"/>
      <c r="AV476" s="195"/>
      <c r="AW476" s="195"/>
      <c r="AX476" s="195"/>
      <c r="AY476" s="195"/>
      <c r="AZ476" s="195"/>
      <c r="BA476" s="195"/>
      <c r="BB476" s="195"/>
      <c r="BC476" s="195"/>
      <c r="BD476" s="195"/>
      <c r="BE476" s="195"/>
      <c r="BF476" s="195"/>
      <c r="BG476" s="195"/>
      <c r="BH476" s="195"/>
      <c r="BI476" s="195"/>
      <c r="BJ476" s="195"/>
      <c r="BK476" s="195"/>
      <c r="BL476" s="195"/>
      <c r="BM476" s="195"/>
      <c r="BN476" s="195"/>
      <c r="BO476" s="195"/>
      <c r="BP476" s="195"/>
      <c r="BQ476" s="195"/>
      <c r="BR476" s="195"/>
      <c r="BS476" s="195"/>
      <c r="BT476" s="195"/>
      <c r="BU476" s="195"/>
      <c r="BV476" s="195"/>
      <c r="BW476" s="195"/>
      <c r="BX476" s="195"/>
      <c r="BY476" s="195"/>
      <c r="BZ476" s="195"/>
      <c r="CA476" s="195"/>
      <c r="CB476" s="195"/>
      <c r="CC476" s="195"/>
      <c r="CD476" s="195"/>
      <c r="CE476" s="195"/>
      <c r="CF476" s="195"/>
      <c r="CG476" s="256"/>
    </row>
    <row r="477" spans="1:85" s="254" customFormat="1" ht="13.9" customHeight="1" x14ac:dyDescent="0.2">
      <c r="A477" s="255" t="s">
        <v>149</v>
      </c>
      <c r="B477" s="187">
        <v>29</v>
      </c>
      <c r="C477" s="248" t="s">
        <v>569</v>
      </c>
      <c r="D477" s="197" t="s">
        <v>857</v>
      </c>
      <c r="E477" s="199"/>
      <c r="F477" s="199">
        <v>288000000</v>
      </c>
      <c r="G477" s="199"/>
      <c r="H477" s="197">
        <v>80111600</v>
      </c>
      <c r="I477" s="248" t="s">
        <v>658</v>
      </c>
      <c r="J477" s="187">
        <v>1</v>
      </c>
      <c r="K477" s="187">
        <v>1</v>
      </c>
      <c r="L477" s="187">
        <v>12</v>
      </c>
      <c r="M477" s="172">
        <f t="shared" si="78"/>
        <v>1</v>
      </c>
      <c r="N477" s="180" t="s">
        <v>216</v>
      </c>
      <c r="O477" s="181" t="str">
        <f>IF(ISBLANK(N477),"",VLOOKUP(N477,[16]Parámetros!$G$2:$H$23,2,FALSE))</f>
        <v>Contratación directa.</v>
      </c>
      <c r="P477" s="249">
        <f t="shared" si="84"/>
        <v>1</v>
      </c>
      <c r="Q477" s="183">
        <f t="shared" si="79"/>
        <v>288000000</v>
      </c>
      <c r="R477" s="183">
        <f t="shared" si="80"/>
        <v>288000000</v>
      </c>
      <c r="S477" s="250" t="s">
        <v>223</v>
      </c>
      <c r="T477" s="249">
        <f t="shared" si="85"/>
        <v>0</v>
      </c>
      <c r="U477" s="185" t="str">
        <f t="shared" si="81"/>
        <v>SUBDIRECCION DE GESTION CONTRACTUAL</v>
      </c>
      <c r="V477" s="249" t="str">
        <f t="shared" si="82"/>
        <v>CO-DC</v>
      </c>
      <c r="W477" s="249" t="str">
        <f t="shared" si="83"/>
        <v>Distrito Capital de Bogotá</v>
      </c>
      <c r="X477" s="197" t="s">
        <v>151</v>
      </c>
      <c r="Y477" s="187">
        <v>2427401</v>
      </c>
      <c r="Z477" s="201" t="s">
        <v>152</v>
      </c>
      <c r="AA477" s="252"/>
      <c r="AB477" s="252"/>
      <c r="AC477" s="252"/>
      <c r="AD477" s="252"/>
      <c r="AE477" s="252"/>
      <c r="AF477" s="252"/>
      <c r="AG477" s="252"/>
      <c r="AH477" s="252"/>
      <c r="AI477" s="252"/>
      <c r="AJ477" s="252"/>
      <c r="AK477" s="252"/>
      <c r="AL477" s="252"/>
      <c r="AM477" s="252"/>
      <c r="AN477" s="252"/>
      <c r="AO477" s="252"/>
      <c r="AP477" s="252"/>
      <c r="AQ477" s="252"/>
      <c r="AR477" s="252"/>
      <c r="AS477" s="252"/>
      <c r="AT477" s="252"/>
      <c r="AU477" s="195"/>
      <c r="AV477" s="195"/>
      <c r="AW477" s="195"/>
      <c r="AX477" s="195"/>
      <c r="AY477" s="195"/>
      <c r="AZ477" s="195"/>
      <c r="BA477" s="195"/>
      <c r="BB477" s="195"/>
      <c r="BC477" s="195"/>
      <c r="BD477" s="195"/>
      <c r="BE477" s="195"/>
      <c r="BF477" s="195"/>
      <c r="BG477" s="195"/>
      <c r="BH477" s="195"/>
      <c r="BI477" s="195"/>
      <c r="BJ477" s="195"/>
      <c r="BK477" s="195"/>
      <c r="BL477" s="195"/>
      <c r="BM477" s="195"/>
      <c r="BN477" s="195"/>
      <c r="BO477" s="195"/>
      <c r="BP477" s="195"/>
      <c r="BQ477" s="195"/>
      <c r="BR477" s="195"/>
      <c r="BS477" s="195"/>
      <c r="BT477" s="195"/>
      <c r="BU477" s="195"/>
      <c r="BV477" s="195"/>
      <c r="BW477" s="195"/>
      <c r="BX477" s="195"/>
      <c r="BY477" s="195"/>
      <c r="BZ477" s="195"/>
      <c r="CA477" s="195"/>
      <c r="CB477" s="195"/>
      <c r="CC477" s="195"/>
      <c r="CD477" s="195"/>
      <c r="CE477" s="195"/>
      <c r="CF477" s="195"/>
      <c r="CG477" s="256"/>
    </row>
    <row r="478" spans="1:85" s="254" customFormat="1" ht="13.9" customHeight="1" x14ac:dyDescent="0.2">
      <c r="A478" s="255" t="s">
        <v>149</v>
      </c>
      <c r="B478" s="187">
        <v>30</v>
      </c>
      <c r="C478" s="248" t="s">
        <v>570</v>
      </c>
      <c r="D478" s="197" t="s">
        <v>857</v>
      </c>
      <c r="E478" s="199"/>
      <c r="F478" s="199">
        <v>1500000000</v>
      </c>
      <c r="G478" s="199"/>
      <c r="H478" s="197" t="s">
        <v>796</v>
      </c>
      <c r="I478" s="248" t="s">
        <v>662</v>
      </c>
      <c r="J478" s="187">
        <v>3</v>
      </c>
      <c r="K478" s="187">
        <v>3</v>
      </c>
      <c r="L478" s="187">
        <v>9</v>
      </c>
      <c r="M478" s="172">
        <f t="shared" si="78"/>
        <v>1</v>
      </c>
      <c r="N478" s="180" t="s">
        <v>36</v>
      </c>
      <c r="O478" s="181" t="str">
        <f>IF(ISBLANK(N478),"",VLOOKUP(N478,[16]Parámetros!$G$2:$H$23,2,FALSE))</f>
        <v xml:space="preserve">Contratación directa (con ofertas) </v>
      </c>
      <c r="P478" s="249">
        <f t="shared" si="84"/>
        <v>1</v>
      </c>
      <c r="Q478" s="183">
        <f t="shared" si="79"/>
        <v>1500000000</v>
      </c>
      <c r="R478" s="183">
        <f t="shared" si="80"/>
        <v>1500000000</v>
      </c>
      <c r="S478" s="250" t="s">
        <v>223</v>
      </c>
      <c r="T478" s="249">
        <f t="shared" si="85"/>
        <v>0</v>
      </c>
      <c r="U478" s="185" t="str">
        <f t="shared" si="81"/>
        <v>SUBDIRECCION DE GESTION CONTRACTUAL</v>
      </c>
      <c r="V478" s="249" t="str">
        <f t="shared" si="82"/>
        <v>CO-DC</v>
      </c>
      <c r="W478" s="249" t="str">
        <f t="shared" si="83"/>
        <v>Distrito Capital de Bogotá</v>
      </c>
      <c r="X478" s="197" t="s">
        <v>151</v>
      </c>
      <c r="Y478" s="187">
        <v>2427401</v>
      </c>
      <c r="Z478" s="201" t="s">
        <v>152</v>
      </c>
      <c r="AA478" s="252"/>
      <c r="AB478" s="252"/>
      <c r="AC478" s="252"/>
      <c r="AD478" s="252"/>
      <c r="AE478" s="252"/>
      <c r="AF478" s="252"/>
      <c r="AG478" s="252"/>
      <c r="AH478" s="252"/>
      <c r="AI478" s="252"/>
      <c r="AJ478" s="252"/>
      <c r="AK478" s="252"/>
      <c r="AL478" s="252"/>
      <c r="AM478" s="252"/>
      <c r="AN478" s="252"/>
      <c r="AO478" s="252"/>
      <c r="AP478" s="252"/>
      <c r="AQ478" s="252"/>
      <c r="AR478" s="252"/>
      <c r="AS478" s="252"/>
      <c r="AT478" s="252"/>
      <c r="AU478" s="195"/>
      <c r="AV478" s="195"/>
      <c r="AW478" s="195"/>
      <c r="AX478" s="195"/>
      <c r="AY478" s="195"/>
      <c r="AZ478" s="195"/>
      <c r="BA478" s="195"/>
      <c r="BB478" s="195"/>
      <c r="BC478" s="195"/>
      <c r="BD478" s="195"/>
      <c r="BE478" s="195"/>
      <c r="BF478" s="195"/>
      <c r="BG478" s="195"/>
      <c r="BH478" s="195"/>
      <c r="BI478" s="195"/>
      <c r="BJ478" s="195"/>
      <c r="BK478" s="195"/>
      <c r="BL478" s="195"/>
      <c r="BM478" s="195"/>
      <c r="BN478" s="195"/>
      <c r="BO478" s="195"/>
      <c r="BP478" s="195"/>
      <c r="BQ478" s="195"/>
      <c r="BR478" s="195"/>
      <c r="BS478" s="195"/>
      <c r="BT478" s="195"/>
      <c r="BU478" s="195"/>
      <c r="BV478" s="195"/>
      <c r="BW478" s="195"/>
      <c r="BX478" s="195"/>
      <c r="BY478" s="195"/>
      <c r="BZ478" s="195"/>
      <c r="CA478" s="195"/>
      <c r="CB478" s="195"/>
      <c r="CC478" s="195"/>
      <c r="CD478" s="195"/>
      <c r="CE478" s="195"/>
      <c r="CF478" s="195"/>
      <c r="CG478" s="256"/>
    </row>
    <row r="479" spans="1:85" s="254" customFormat="1" ht="13.9" customHeight="1" x14ac:dyDescent="0.2">
      <c r="A479" s="255" t="s">
        <v>149</v>
      </c>
      <c r="B479" s="187">
        <v>31</v>
      </c>
      <c r="C479" s="248" t="s">
        <v>570</v>
      </c>
      <c r="D479" s="197" t="s">
        <v>857</v>
      </c>
      <c r="E479" s="199"/>
      <c r="F479" s="199">
        <v>1500000000</v>
      </c>
      <c r="G479" s="199"/>
      <c r="H479" s="197" t="s">
        <v>851</v>
      </c>
      <c r="I479" s="248" t="s">
        <v>655</v>
      </c>
      <c r="J479" s="187">
        <v>3</v>
      </c>
      <c r="K479" s="187">
        <v>3</v>
      </c>
      <c r="L479" s="187">
        <v>9</v>
      </c>
      <c r="M479" s="172">
        <f t="shared" si="78"/>
        <v>1</v>
      </c>
      <c r="N479" s="180" t="s">
        <v>36</v>
      </c>
      <c r="O479" s="181" t="str">
        <f>IF(ISBLANK(N479),"",VLOOKUP(N479,[16]Parámetros!$G$2:$H$23,2,FALSE))</f>
        <v xml:space="preserve">Contratación directa (con ofertas) </v>
      </c>
      <c r="P479" s="249">
        <f t="shared" si="84"/>
        <v>1</v>
      </c>
      <c r="Q479" s="183">
        <f t="shared" si="79"/>
        <v>1500000000</v>
      </c>
      <c r="R479" s="183">
        <f t="shared" si="80"/>
        <v>1500000000</v>
      </c>
      <c r="S479" s="250" t="s">
        <v>223</v>
      </c>
      <c r="T479" s="249">
        <f t="shared" si="85"/>
        <v>0</v>
      </c>
      <c r="U479" s="185" t="str">
        <f t="shared" si="81"/>
        <v>SUBDIRECCION DE GESTION CONTRACTUAL</v>
      </c>
      <c r="V479" s="249" t="str">
        <f t="shared" si="82"/>
        <v>CO-DC</v>
      </c>
      <c r="W479" s="249" t="str">
        <f t="shared" si="83"/>
        <v>Distrito Capital de Bogotá</v>
      </c>
      <c r="X479" s="197" t="s">
        <v>151</v>
      </c>
      <c r="Y479" s="187">
        <v>2427401</v>
      </c>
      <c r="Z479" s="201" t="s">
        <v>152</v>
      </c>
      <c r="AA479" s="252"/>
      <c r="AB479" s="252"/>
      <c r="AC479" s="252"/>
      <c r="AD479" s="252"/>
      <c r="AE479" s="252"/>
      <c r="AF479" s="252"/>
      <c r="AG479" s="252"/>
      <c r="AH479" s="252"/>
      <c r="AI479" s="252"/>
      <c r="AJ479" s="252"/>
      <c r="AK479" s="252"/>
      <c r="AL479" s="252"/>
      <c r="AM479" s="252"/>
      <c r="AN479" s="252"/>
      <c r="AO479" s="252"/>
      <c r="AP479" s="252"/>
      <c r="AQ479" s="252"/>
      <c r="AR479" s="252"/>
      <c r="AS479" s="252"/>
      <c r="AT479" s="252"/>
      <c r="AU479" s="195"/>
      <c r="AV479" s="195"/>
      <c r="AW479" s="195"/>
      <c r="AX479" s="195"/>
      <c r="AY479" s="195"/>
      <c r="AZ479" s="195"/>
      <c r="BA479" s="195"/>
      <c r="BB479" s="195"/>
      <c r="BC479" s="195"/>
      <c r="BD479" s="195"/>
      <c r="BE479" s="195"/>
      <c r="BF479" s="195"/>
      <c r="BG479" s="195"/>
      <c r="BH479" s="195"/>
      <c r="BI479" s="195"/>
      <c r="BJ479" s="195"/>
      <c r="BK479" s="195"/>
      <c r="BL479" s="195"/>
      <c r="BM479" s="195"/>
      <c r="BN479" s="195"/>
      <c r="BO479" s="195"/>
      <c r="BP479" s="195"/>
      <c r="BQ479" s="195"/>
      <c r="BR479" s="195"/>
      <c r="BS479" s="195"/>
      <c r="BT479" s="195"/>
      <c r="BU479" s="195"/>
      <c r="BV479" s="195"/>
      <c r="BW479" s="195"/>
      <c r="BX479" s="195"/>
      <c r="BY479" s="195"/>
      <c r="BZ479" s="195"/>
      <c r="CA479" s="195"/>
      <c r="CB479" s="195"/>
      <c r="CC479" s="195"/>
      <c r="CD479" s="195"/>
      <c r="CE479" s="195"/>
      <c r="CF479" s="195"/>
      <c r="CG479" s="256"/>
    </row>
    <row r="480" spans="1:85" s="254" customFormat="1" ht="13.9" customHeight="1" x14ac:dyDescent="0.2">
      <c r="A480" s="255" t="s">
        <v>149</v>
      </c>
      <c r="B480" s="187">
        <v>32</v>
      </c>
      <c r="C480" s="248" t="s">
        <v>571</v>
      </c>
      <c r="D480" s="197" t="s">
        <v>857</v>
      </c>
      <c r="E480" s="199"/>
      <c r="F480" s="199">
        <v>3134000000</v>
      </c>
      <c r="G480" s="199"/>
      <c r="H480" s="197">
        <v>80111600</v>
      </c>
      <c r="I480" s="248" t="s">
        <v>658</v>
      </c>
      <c r="J480" s="187">
        <v>1</v>
      </c>
      <c r="K480" s="187">
        <v>1</v>
      </c>
      <c r="L480" s="187">
        <v>12</v>
      </c>
      <c r="M480" s="172">
        <f t="shared" si="78"/>
        <v>1</v>
      </c>
      <c r="N480" s="180" t="s">
        <v>216</v>
      </c>
      <c r="O480" s="181" t="str">
        <f>IF(ISBLANK(N480),"",VLOOKUP(N480,[16]Parámetros!$G$2:$H$23,2,FALSE))</f>
        <v>Contratación directa.</v>
      </c>
      <c r="P480" s="249">
        <f t="shared" si="84"/>
        <v>1</v>
      </c>
      <c r="Q480" s="183">
        <f t="shared" si="79"/>
        <v>3134000000</v>
      </c>
      <c r="R480" s="183">
        <f t="shared" si="80"/>
        <v>3134000000</v>
      </c>
      <c r="S480" s="250" t="s">
        <v>223</v>
      </c>
      <c r="T480" s="249">
        <f t="shared" si="85"/>
        <v>0</v>
      </c>
      <c r="U480" s="185" t="str">
        <f t="shared" si="81"/>
        <v>SUBDIRECCION DE GESTION CONTRACTUAL</v>
      </c>
      <c r="V480" s="249" t="str">
        <f t="shared" si="82"/>
        <v>CO-DC</v>
      </c>
      <c r="W480" s="249" t="str">
        <f t="shared" si="83"/>
        <v>Distrito Capital de Bogotá</v>
      </c>
      <c r="X480" s="197" t="s">
        <v>151</v>
      </c>
      <c r="Y480" s="187">
        <v>2427401</v>
      </c>
      <c r="Z480" s="201" t="s">
        <v>152</v>
      </c>
      <c r="AA480" s="252"/>
      <c r="AB480" s="252"/>
      <c r="AC480" s="252"/>
      <c r="AD480" s="252"/>
      <c r="AE480" s="252"/>
      <c r="AF480" s="252"/>
      <c r="AG480" s="252"/>
      <c r="AH480" s="252"/>
      <c r="AI480" s="252"/>
      <c r="AJ480" s="252"/>
      <c r="AK480" s="252"/>
      <c r="AL480" s="252"/>
      <c r="AM480" s="252"/>
      <c r="AN480" s="252"/>
      <c r="AO480" s="252"/>
      <c r="AP480" s="252"/>
      <c r="AQ480" s="252"/>
      <c r="AR480" s="252"/>
      <c r="AS480" s="252"/>
      <c r="AT480" s="252"/>
      <c r="AU480" s="195"/>
      <c r="AV480" s="195"/>
      <c r="AW480" s="195"/>
      <c r="AX480" s="195"/>
      <c r="AY480" s="195"/>
      <c r="AZ480" s="195"/>
      <c r="BA480" s="195"/>
      <c r="BB480" s="195"/>
      <c r="BC480" s="195"/>
      <c r="BD480" s="195"/>
      <c r="BE480" s="195"/>
      <c r="BF480" s="195"/>
      <c r="BG480" s="195"/>
      <c r="BH480" s="195"/>
      <c r="BI480" s="195"/>
      <c r="BJ480" s="195"/>
      <c r="BK480" s="195"/>
      <c r="BL480" s="195"/>
      <c r="BM480" s="195"/>
      <c r="BN480" s="195"/>
      <c r="BO480" s="195"/>
      <c r="BP480" s="195"/>
      <c r="BQ480" s="195"/>
      <c r="BR480" s="195"/>
      <c r="BS480" s="195"/>
      <c r="BT480" s="195"/>
      <c r="BU480" s="195"/>
      <c r="BV480" s="195"/>
      <c r="BW480" s="195"/>
      <c r="BX480" s="195"/>
      <c r="BY480" s="195"/>
      <c r="BZ480" s="195"/>
      <c r="CA480" s="195"/>
      <c r="CB480" s="195"/>
      <c r="CC480" s="195"/>
      <c r="CD480" s="195"/>
      <c r="CE480" s="195"/>
      <c r="CF480" s="195"/>
      <c r="CG480" s="256"/>
    </row>
    <row r="481" spans="1:85" s="254" customFormat="1" ht="13.9" customHeight="1" x14ac:dyDescent="0.2">
      <c r="A481" s="255" t="s">
        <v>149</v>
      </c>
      <c r="B481" s="187">
        <v>33</v>
      </c>
      <c r="C481" s="248" t="s">
        <v>571</v>
      </c>
      <c r="D481" s="197" t="s">
        <v>857</v>
      </c>
      <c r="E481" s="199"/>
      <c r="F481" s="199">
        <v>160100000</v>
      </c>
      <c r="G481" s="199"/>
      <c r="H481" s="175" t="s">
        <v>801</v>
      </c>
      <c r="I481" s="248" t="s">
        <v>624</v>
      </c>
      <c r="J481" s="202">
        <v>1</v>
      </c>
      <c r="K481" s="202">
        <v>2</v>
      </c>
      <c r="L481" s="202">
        <v>3</v>
      </c>
      <c r="M481" s="172">
        <f t="shared" si="78"/>
        <v>1</v>
      </c>
      <c r="N481" s="180" t="s">
        <v>36</v>
      </c>
      <c r="O481" s="181" t="str">
        <f>IF(ISBLANK(N481),"",VLOOKUP(N481,[16]Parámetros!$G$2:$H$23,2,FALSE))</f>
        <v xml:space="preserve">Contratación directa (con ofertas) </v>
      </c>
      <c r="P481" s="249">
        <v>1</v>
      </c>
      <c r="Q481" s="183">
        <f t="shared" si="79"/>
        <v>160100000</v>
      </c>
      <c r="R481" s="183">
        <f t="shared" si="80"/>
        <v>160100000</v>
      </c>
      <c r="S481" s="250" t="s">
        <v>223</v>
      </c>
      <c r="T481" s="249">
        <v>0</v>
      </c>
      <c r="U481" s="185" t="str">
        <f t="shared" si="81"/>
        <v>SUBDIRECCION DE GESTION CONTRACTUAL</v>
      </c>
      <c r="V481" s="249" t="str">
        <f t="shared" si="82"/>
        <v>CO-DC</v>
      </c>
      <c r="W481" s="249" t="str">
        <f t="shared" si="83"/>
        <v>Distrito Capital de Bogotá</v>
      </c>
      <c r="X481" s="197" t="s">
        <v>151</v>
      </c>
      <c r="Y481" s="187">
        <v>2427401</v>
      </c>
      <c r="Z481" s="201" t="s">
        <v>152</v>
      </c>
      <c r="AA481" s="252"/>
      <c r="AB481" s="252"/>
      <c r="AC481" s="252"/>
      <c r="AD481" s="252"/>
      <c r="AE481" s="252"/>
      <c r="AF481" s="252"/>
      <c r="AG481" s="252"/>
      <c r="AH481" s="252"/>
      <c r="AI481" s="252"/>
      <c r="AJ481" s="252"/>
      <c r="AK481" s="252"/>
      <c r="AL481" s="252"/>
      <c r="AM481" s="252"/>
      <c r="AN481" s="252"/>
      <c r="AO481" s="252"/>
      <c r="AP481" s="252"/>
      <c r="AQ481" s="252"/>
      <c r="AR481" s="252"/>
      <c r="AS481" s="252"/>
      <c r="AT481" s="252"/>
      <c r="AU481" s="195"/>
      <c r="AV481" s="195"/>
      <c r="AW481" s="195"/>
      <c r="AX481" s="195"/>
      <c r="AY481" s="195"/>
      <c r="AZ481" s="195"/>
      <c r="BA481" s="195"/>
      <c r="BB481" s="195"/>
      <c r="BC481" s="195"/>
      <c r="BD481" s="195"/>
      <c r="BE481" s="195"/>
      <c r="BF481" s="195"/>
      <c r="BG481" s="195"/>
      <c r="BH481" s="195"/>
      <c r="BI481" s="195"/>
      <c r="BJ481" s="195"/>
      <c r="BK481" s="195"/>
      <c r="BL481" s="195"/>
      <c r="BM481" s="195"/>
      <c r="BN481" s="195"/>
      <c r="BO481" s="195"/>
      <c r="BP481" s="195"/>
      <c r="BQ481" s="195"/>
      <c r="BR481" s="195"/>
      <c r="BS481" s="195"/>
      <c r="BT481" s="195"/>
      <c r="BU481" s="195"/>
      <c r="BV481" s="195"/>
      <c r="BW481" s="195"/>
      <c r="BX481" s="195"/>
      <c r="BY481" s="195"/>
      <c r="BZ481" s="195"/>
      <c r="CA481" s="195"/>
      <c r="CB481" s="195"/>
      <c r="CC481" s="195"/>
      <c r="CD481" s="195"/>
      <c r="CE481" s="195"/>
      <c r="CF481" s="195"/>
      <c r="CG481" s="256"/>
    </row>
    <row r="482" spans="1:85" s="254" customFormat="1" ht="13.9" customHeight="1" x14ac:dyDescent="0.2">
      <c r="A482" s="255" t="s">
        <v>149</v>
      </c>
      <c r="B482" s="187">
        <v>34</v>
      </c>
      <c r="C482" s="248" t="s">
        <v>571</v>
      </c>
      <c r="D482" s="197" t="s">
        <v>857</v>
      </c>
      <c r="E482" s="199"/>
      <c r="F482" s="199">
        <v>2739900000</v>
      </c>
      <c r="G482" s="199"/>
      <c r="H482" s="175" t="s">
        <v>801</v>
      </c>
      <c r="I482" s="248" t="s">
        <v>624</v>
      </c>
      <c r="J482" s="177">
        <v>2</v>
      </c>
      <c r="K482" s="178">
        <v>3</v>
      </c>
      <c r="L482" s="179">
        <v>9</v>
      </c>
      <c r="M482" s="172">
        <f t="shared" si="78"/>
        <v>1</v>
      </c>
      <c r="N482" s="180" t="s">
        <v>234</v>
      </c>
      <c r="O482" s="181" t="str">
        <f>IF(ISBLANK(N482),"",VLOOKUP(N482,[16]Parámetros!$G$2:$H$23,2,FALSE))</f>
        <v>Licitación pública</v>
      </c>
      <c r="P482" s="249">
        <f t="shared" ref="P482:P489" si="86">IF(ISBLANK(N482),"",1)</f>
        <v>1</v>
      </c>
      <c r="Q482" s="183">
        <f t="shared" si="79"/>
        <v>2739900000</v>
      </c>
      <c r="R482" s="183">
        <f t="shared" si="80"/>
        <v>2739900000</v>
      </c>
      <c r="S482" s="250" t="s">
        <v>223</v>
      </c>
      <c r="T482" s="249">
        <f t="shared" ref="T482:T513" si="87">IF(ISBLANK(S482),"",IF(VALUE(S482)=0,0,IF(VALUE(S482)=1,3,"")))</f>
        <v>0</v>
      </c>
      <c r="U482" s="185" t="str">
        <f t="shared" si="81"/>
        <v>SUBDIRECCION DE GESTION CONTRACTUAL</v>
      </c>
      <c r="V482" s="249" t="str">
        <f t="shared" si="82"/>
        <v>CO-DC</v>
      </c>
      <c r="W482" s="249" t="str">
        <f t="shared" si="83"/>
        <v>Distrito Capital de Bogotá</v>
      </c>
      <c r="X482" s="197" t="s">
        <v>151</v>
      </c>
      <c r="Y482" s="187">
        <v>2427401</v>
      </c>
      <c r="Z482" s="201" t="s">
        <v>152</v>
      </c>
      <c r="AA482" s="252"/>
      <c r="AB482" s="252"/>
      <c r="AC482" s="252"/>
      <c r="AD482" s="252"/>
      <c r="AE482" s="252"/>
      <c r="AF482" s="252"/>
      <c r="AG482" s="252"/>
      <c r="AH482" s="252"/>
      <c r="AI482" s="252"/>
      <c r="AJ482" s="252"/>
      <c r="AK482" s="252"/>
      <c r="AL482" s="252"/>
      <c r="AM482" s="252"/>
      <c r="AN482" s="252"/>
      <c r="AO482" s="252"/>
      <c r="AP482" s="252"/>
      <c r="AQ482" s="252"/>
      <c r="AR482" s="252"/>
      <c r="AS482" s="252"/>
      <c r="AT482" s="252"/>
      <c r="AU482" s="195"/>
      <c r="AV482" s="195"/>
      <c r="AW482" s="195"/>
      <c r="AX482" s="195"/>
      <c r="AY482" s="195"/>
      <c r="AZ482" s="195"/>
      <c r="BA482" s="195"/>
      <c r="BB482" s="195"/>
      <c r="BC482" s="195"/>
      <c r="BD482" s="195"/>
      <c r="BE482" s="195"/>
      <c r="BF482" s="195"/>
      <c r="BG482" s="195"/>
      <c r="BH482" s="195"/>
      <c r="BI482" s="195"/>
      <c r="BJ482" s="195"/>
      <c r="BK482" s="195"/>
      <c r="BL482" s="195"/>
      <c r="BM482" s="195"/>
      <c r="BN482" s="195"/>
      <c r="BO482" s="195"/>
      <c r="BP482" s="195"/>
      <c r="BQ482" s="195"/>
      <c r="BR482" s="195"/>
      <c r="BS482" s="195"/>
      <c r="BT482" s="195"/>
      <c r="BU482" s="195"/>
      <c r="BV482" s="195"/>
      <c r="BW482" s="195"/>
      <c r="BX482" s="195"/>
      <c r="BY482" s="195"/>
      <c r="BZ482" s="195"/>
      <c r="CA482" s="195"/>
      <c r="CB482" s="195"/>
      <c r="CC482" s="195"/>
      <c r="CD482" s="195"/>
      <c r="CE482" s="195"/>
      <c r="CF482" s="195"/>
      <c r="CG482" s="256"/>
    </row>
    <row r="483" spans="1:85" s="254" customFormat="1" ht="13.9" customHeight="1" x14ac:dyDescent="0.2">
      <c r="A483" s="255" t="s">
        <v>149</v>
      </c>
      <c r="B483" s="187">
        <v>35</v>
      </c>
      <c r="C483" s="248" t="s">
        <v>571</v>
      </c>
      <c r="D483" s="197" t="s">
        <v>857</v>
      </c>
      <c r="E483" s="199"/>
      <c r="F483" s="199">
        <v>450000000</v>
      </c>
      <c r="G483" s="199"/>
      <c r="H483" s="175" t="s">
        <v>42</v>
      </c>
      <c r="I483" s="248" t="s">
        <v>627</v>
      </c>
      <c r="J483" s="177">
        <v>3</v>
      </c>
      <c r="K483" s="178">
        <v>4</v>
      </c>
      <c r="L483" s="179">
        <v>9</v>
      </c>
      <c r="M483" s="172">
        <f t="shared" si="78"/>
        <v>1</v>
      </c>
      <c r="N483" s="180" t="s">
        <v>61</v>
      </c>
      <c r="O483" s="181" t="str">
        <f>IF(ISBLANK(N483),"",VLOOKUP(N483,[16]Parámetros!$G$2:$H$23,2,FALSE))</f>
        <v>Contratación régimen especial - Selección de comisionista</v>
      </c>
      <c r="P483" s="249">
        <f t="shared" si="86"/>
        <v>1</v>
      </c>
      <c r="Q483" s="183">
        <f t="shared" si="79"/>
        <v>450000000</v>
      </c>
      <c r="R483" s="183">
        <f t="shared" si="80"/>
        <v>450000000</v>
      </c>
      <c r="S483" s="250" t="s">
        <v>223</v>
      </c>
      <c r="T483" s="249">
        <f t="shared" si="87"/>
        <v>0</v>
      </c>
      <c r="U483" s="185" t="str">
        <f t="shared" si="81"/>
        <v>SUBDIRECCION DE GESTION CONTRACTUAL</v>
      </c>
      <c r="V483" s="172" t="str">
        <f t="shared" si="82"/>
        <v>CO-DC</v>
      </c>
      <c r="W483" s="185" t="str">
        <f t="shared" si="83"/>
        <v>Distrito Capital de Bogotá</v>
      </c>
      <c r="X483" s="186" t="s">
        <v>359</v>
      </c>
      <c r="Y483" s="187">
        <v>2427401</v>
      </c>
      <c r="Z483" s="201" t="s">
        <v>75</v>
      </c>
      <c r="AA483" s="252"/>
      <c r="AB483" s="252"/>
      <c r="AC483" s="252"/>
      <c r="AD483" s="252"/>
      <c r="AE483" s="252"/>
      <c r="AF483" s="252"/>
      <c r="AG483" s="252"/>
      <c r="AH483" s="252"/>
      <c r="AI483" s="252"/>
      <c r="AJ483" s="252"/>
      <c r="AK483" s="252"/>
      <c r="AL483" s="252"/>
      <c r="AM483" s="252"/>
      <c r="AN483" s="252"/>
      <c r="AO483" s="252"/>
      <c r="AP483" s="252"/>
      <c r="AQ483" s="252"/>
      <c r="AR483" s="252"/>
      <c r="AS483" s="252"/>
      <c r="AT483" s="252"/>
      <c r="AU483" s="195"/>
      <c r="AV483" s="195"/>
      <c r="AW483" s="195"/>
      <c r="AX483" s="195"/>
      <c r="AY483" s="195"/>
      <c r="AZ483" s="195"/>
      <c r="BA483" s="195"/>
      <c r="BB483" s="195"/>
      <c r="BC483" s="195"/>
      <c r="BD483" s="195"/>
      <c r="BE483" s="195"/>
      <c r="BF483" s="195"/>
      <c r="BG483" s="195"/>
      <c r="BH483" s="195"/>
      <c r="BI483" s="195"/>
      <c r="BJ483" s="195"/>
      <c r="BK483" s="195"/>
      <c r="BL483" s="195"/>
      <c r="BM483" s="195"/>
      <c r="BN483" s="195"/>
      <c r="BO483" s="195"/>
      <c r="BP483" s="195"/>
      <c r="BQ483" s="195"/>
      <c r="BR483" s="195"/>
      <c r="BS483" s="195"/>
      <c r="BT483" s="195"/>
      <c r="BU483" s="195"/>
      <c r="BV483" s="195"/>
      <c r="BW483" s="195"/>
      <c r="BX483" s="195"/>
      <c r="BY483" s="195"/>
      <c r="BZ483" s="195"/>
      <c r="CA483" s="195"/>
      <c r="CB483" s="195"/>
      <c r="CC483" s="195"/>
      <c r="CD483" s="195"/>
      <c r="CE483" s="195"/>
      <c r="CF483" s="195"/>
      <c r="CG483" s="256"/>
    </row>
    <row r="484" spans="1:85" s="254" customFormat="1" ht="13.9" customHeight="1" x14ac:dyDescent="0.2">
      <c r="A484" s="255" t="s">
        <v>149</v>
      </c>
      <c r="B484" s="187">
        <v>36</v>
      </c>
      <c r="C484" s="248" t="s">
        <v>571</v>
      </c>
      <c r="D484" s="197" t="s">
        <v>857</v>
      </c>
      <c r="E484" s="199"/>
      <c r="F484" s="199">
        <v>438000000</v>
      </c>
      <c r="G484" s="199"/>
      <c r="H484" s="197" t="s">
        <v>852</v>
      </c>
      <c r="I484" s="248" t="s">
        <v>661</v>
      </c>
      <c r="J484" s="187">
        <v>4</v>
      </c>
      <c r="K484" s="187">
        <v>4</v>
      </c>
      <c r="L484" s="187">
        <v>8</v>
      </c>
      <c r="M484" s="172">
        <f t="shared" si="78"/>
        <v>1</v>
      </c>
      <c r="N484" s="180" t="s">
        <v>36</v>
      </c>
      <c r="O484" s="181" t="str">
        <f>IF(ISBLANK(N484),"",VLOOKUP(N484,[16]Parámetros!$G$2:$H$23,2,FALSE))</f>
        <v xml:space="preserve">Contratación directa (con ofertas) </v>
      </c>
      <c r="P484" s="249">
        <f t="shared" si="86"/>
        <v>1</v>
      </c>
      <c r="Q484" s="183">
        <f t="shared" si="79"/>
        <v>438000000</v>
      </c>
      <c r="R484" s="183">
        <f t="shared" si="80"/>
        <v>438000000</v>
      </c>
      <c r="S484" s="250" t="s">
        <v>223</v>
      </c>
      <c r="T484" s="249">
        <f t="shared" si="87"/>
        <v>0</v>
      </c>
      <c r="U484" s="185" t="str">
        <f t="shared" si="81"/>
        <v>SUBDIRECCION DE GESTION CONTRACTUAL</v>
      </c>
      <c r="V484" s="249" t="str">
        <f t="shared" si="82"/>
        <v>CO-DC</v>
      </c>
      <c r="W484" s="249" t="str">
        <f t="shared" si="83"/>
        <v>Distrito Capital de Bogotá</v>
      </c>
      <c r="X484" s="197" t="s">
        <v>151</v>
      </c>
      <c r="Y484" s="187">
        <v>2427401</v>
      </c>
      <c r="Z484" s="201" t="s">
        <v>152</v>
      </c>
      <c r="AA484" s="252"/>
      <c r="AB484" s="252"/>
      <c r="AC484" s="252"/>
      <c r="AD484" s="252"/>
      <c r="AE484" s="252"/>
      <c r="AF484" s="252"/>
      <c r="AG484" s="252"/>
      <c r="AH484" s="252"/>
      <c r="AI484" s="252"/>
      <c r="AJ484" s="252"/>
      <c r="AK484" s="252"/>
      <c r="AL484" s="252"/>
      <c r="AM484" s="252"/>
      <c r="AN484" s="252"/>
      <c r="AO484" s="252"/>
      <c r="AP484" s="252"/>
      <c r="AQ484" s="252"/>
      <c r="AR484" s="252"/>
      <c r="AS484" s="252"/>
      <c r="AT484" s="252"/>
      <c r="AU484" s="195"/>
      <c r="AV484" s="195"/>
      <c r="AW484" s="195"/>
      <c r="AX484" s="195"/>
      <c r="AY484" s="195"/>
      <c r="AZ484" s="195"/>
      <c r="BA484" s="195"/>
      <c r="BB484" s="195"/>
      <c r="BC484" s="195"/>
      <c r="BD484" s="195"/>
      <c r="BE484" s="195"/>
      <c r="BF484" s="195"/>
      <c r="BG484" s="195"/>
      <c r="BH484" s="195"/>
      <c r="BI484" s="195"/>
      <c r="BJ484" s="195"/>
      <c r="BK484" s="195"/>
      <c r="BL484" s="195"/>
      <c r="BM484" s="195"/>
      <c r="BN484" s="195"/>
      <c r="BO484" s="195"/>
      <c r="BP484" s="195"/>
      <c r="BQ484" s="195"/>
      <c r="BR484" s="195"/>
      <c r="BS484" s="195"/>
      <c r="BT484" s="195"/>
      <c r="BU484" s="195"/>
      <c r="BV484" s="195"/>
      <c r="BW484" s="195"/>
      <c r="BX484" s="195"/>
      <c r="BY484" s="195"/>
      <c r="BZ484" s="195"/>
      <c r="CA484" s="195"/>
      <c r="CB484" s="195"/>
      <c r="CC484" s="195"/>
      <c r="CD484" s="195"/>
      <c r="CE484" s="195"/>
      <c r="CF484" s="195"/>
      <c r="CG484" s="256"/>
    </row>
    <row r="485" spans="1:85" s="254" customFormat="1" ht="13.9" customHeight="1" x14ac:dyDescent="0.2">
      <c r="A485" s="255" t="s">
        <v>149</v>
      </c>
      <c r="B485" s="187">
        <v>37</v>
      </c>
      <c r="C485" s="248" t="s">
        <v>572</v>
      </c>
      <c r="D485" s="197" t="s">
        <v>857</v>
      </c>
      <c r="E485" s="199"/>
      <c r="F485" s="199">
        <v>576000000</v>
      </c>
      <c r="G485" s="199"/>
      <c r="H485" s="197" t="s">
        <v>852</v>
      </c>
      <c r="I485" s="248" t="s">
        <v>661</v>
      </c>
      <c r="J485" s="187">
        <v>4</v>
      </c>
      <c r="K485" s="187">
        <v>4</v>
      </c>
      <c r="L485" s="187">
        <v>8</v>
      </c>
      <c r="M485" s="172">
        <f t="shared" si="78"/>
        <v>1</v>
      </c>
      <c r="N485" s="180" t="s">
        <v>36</v>
      </c>
      <c r="O485" s="181" t="str">
        <f>IF(ISBLANK(N485),"",VLOOKUP(N485,[16]Parámetros!$G$2:$H$23,2,FALSE))</f>
        <v xml:space="preserve">Contratación directa (con ofertas) </v>
      </c>
      <c r="P485" s="249">
        <f t="shared" si="86"/>
        <v>1</v>
      </c>
      <c r="Q485" s="183">
        <f t="shared" si="79"/>
        <v>576000000</v>
      </c>
      <c r="R485" s="183">
        <f t="shared" si="80"/>
        <v>576000000</v>
      </c>
      <c r="S485" s="250" t="s">
        <v>223</v>
      </c>
      <c r="T485" s="249">
        <f t="shared" si="87"/>
        <v>0</v>
      </c>
      <c r="U485" s="185" t="str">
        <f t="shared" si="81"/>
        <v>SUBDIRECCION DE GESTION CONTRACTUAL</v>
      </c>
      <c r="V485" s="249" t="str">
        <f t="shared" si="82"/>
        <v>CO-DC</v>
      </c>
      <c r="W485" s="249" t="str">
        <f t="shared" si="83"/>
        <v>Distrito Capital de Bogotá</v>
      </c>
      <c r="X485" s="197" t="s">
        <v>151</v>
      </c>
      <c r="Y485" s="187">
        <v>2427401</v>
      </c>
      <c r="Z485" s="201" t="s">
        <v>152</v>
      </c>
      <c r="AA485" s="252"/>
      <c r="AB485" s="252"/>
      <c r="AC485" s="252"/>
      <c r="AD485" s="252"/>
      <c r="AE485" s="252"/>
      <c r="AF485" s="252"/>
      <c r="AG485" s="252"/>
      <c r="AH485" s="252"/>
      <c r="AI485" s="252"/>
      <c r="AJ485" s="252"/>
      <c r="AK485" s="252"/>
      <c r="AL485" s="252"/>
      <c r="AM485" s="252"/>
      <c r="AN485" s="252"/>
      <c r="AO485" s="252"/>
      <c r="AP485" s="252"/>
      <c r="AQ485" s="252"/>
      <c r="AR485" s="252"/>
      <c r="AS485" s="252"/>
      <c r="AT485" s="252"/>
      <c r="AU485" s="195"/>
      <c r="AV485" s="195"/>
      <c r="AW485" s="195"/>
      <c r="AX485" s="195"/>
      <c r="AY485" s="195"/>
      <c r="AZ485" s="195"/>
      <c r="BA485" s="195"/>
      <c r="BB485" s="195"/>
      <c r="BC485" s="195"/>
      <c r="BD485" s="195"/>
      <c r="BE485" s="195"/>
      <c r="BF485" s="195"/>
      <c r="BG485" s="195"/>
      <c r="BH485" s="195"/>
      <c r="BI485" s="195"/>
      <c r="BJ485" s="195"/>
      <c r="BK485" s="195"/>
      <c r="BL485" s="195"/>
      <c r="BM485" s="195"/>
      <c r="BN485" s="195"/>
      <c r="BO485" s="195"/>
      <c r="BP485" s="195"/>
      <c r="BQ485" s="195"/>
      <c r="BR485" s="195"/>
      <c r="BS485" s="195"/>
      <c r="BT485" s="195"/>
      <c r="BU485" s="195"/>
      <c r="BV485" s="195"/>
      <c r="BW485" s="195"/>
      <c r="BX485" s="195"/>
      <c r="BY485" s="195"/>
      <c r="BZ485" s="195"/>
      <c r="CA485" s="195"/>
      <c r="CB485" s="195"/>
      <c r="CC485" s="195"/>
      <c r="CD485" s="195"/>
      <c r="CE485" s="195"/>
      <c r="CF485" s="195"/>
      <c r="CG485" s="256"/>
    </row>
    <row r="486" spans="1:85" s="254" customFormat="1" ht="13.9" customHeight="1" x14ac:dyDescent="0.2">
      <c r="A486" s="255" t="s">
        <v>149</v>
      </c>
      <c r="B486" s="187">
        <v>38</v>
      </c>
      <c r="C486" s="248" t="s">
        <v>572</v>
      </c>
      <c r="D486" s="197" t="s">
        <v>857</v>
      </c>
      <c r="E486" s="199"/>
      <c r="F486" s="199">
        <v>4000000000</v>
      </c>
      <c r="G486" s="199"/>
      <c r="H486" s="197" t="s">
        <v>854</v>
      </c>
      <c r="I486" s="248" t="s">
        <v>660</v>
      </c>
      <c r="J486" s="187">
        <v>4</v>
      </c>
      <c r="K486" s="187">
        <v>4</v>
      </c>
      <c r="L486" s="187">
        <v>8</v>
      </c>
      <c r="M486" s="172">
        <f t="shared" si="78"/>
        <v>1</v>
      </c>
      <c r="N486" s="180" t="s">
        <v>36</v>
      </c>
      <c r="O486" s="181" t="str">
        <f>IF(ISBLANK(N486),"",VLOOKUP(N486,[16]Parámetros!$G$2:$H$23,2,FALSE))</f>
        <v xml:space="preserve">Contratación directa (con ofertas) </v>
      </c>
      <c r="P486" s="249">
        <f t="shared" si="86"/>
        <v>1</v>
      </c>
      <c r="Q486" s="183">
        <f t="shared" si="79"/>
        <v>4000000000</v>
      </c>
      <c r="R486" s="183">
        <f t="shared" si="80"/>
        <v>4000000000</v>
      </c>
      <c r="S486" s="250" t="s">
        <v>223</v>
      </c>
      <c r="T486" s="249">
        <f t="shared" si="87"/>
        <v>0</v>
      </c>
      <c r="U486" s="185" t="str">
        <f t="shared" si="81"/>
        <v>SUBDIRECCION DE GESTION CONTRACTUAL</v>
      </c>
      <c r="V486" s="249" t="str">
        <f t="shared" si="82"/>
        <v>CO-DC</v>
      </c>
      <c r="W486" s="249" t="str">
        <f t="shared" si="83"/>
        <v>Distrito Capital de Bogotá</v>
      </c>
      <c r="X486" s="197" t="s">
        <v>151</v>
      </c>
      <c r="Y486" s="187">
        <v>2427401</v>
      </c>
      <c r="Z486" s="201" t="s">
        <v>152</v>
      </c>
      <c r="AA486" s="252"/>
      <c r="AB486" s="252"/>
      <c r="AC486" s="252"/>
      <c r="AD486" s="252"/>
      <c r="AE486" s="252"/>
      <c r="AF486" s="252"/>
      <c r="AG486" s="252"/>
      <c r="AH486" s="252"/>
      <c r="AI486" s="252"/>
      <c r="AJ486" s="252"/>
      <c r="AK486" s="252"/>
      <c r="AL486" s="252"/>
      <c r="AM486" s="252"/>
      <c r="AN486" s="252"/>
      <c r="AO486" s="252"/>
      <c r="AP486" s="252"/>
      <c r="AQ486" s="252"/>
      <c r="AR486" s="252"/>
      <c r="AS486" s="252"/>
      <c r="AT486" s="252"/>
      <c r="AU486" s="195"/>
      <c r="AV486" s="195"/>
      <c r="AW486" s="195"/>
      <c r="AX486" s="195"/>
      <c r="AY486" s="195"/>
      <c r="AZ486" s="195"/>
      <c r="BA486" s="195"/>
      <c r="BB486" s="195"/>
      <c r="BC486" s="195"/>
      <c r="BD486" s="195"/>
      <c r="BE486" s="195"/>
      <c r="BF486" s="195"/>
      <c r="BG486" s="195"/>
      <c r="BH486" s="195"/>
      <c r="BI486" s="195"/>
      <c r="BJ486" s="195"/>
      <c r="BK486" s="195"/>
      <c r="BL486" s="195"/>
      <c r="BM486" s="195"/>
      <c r="BN486" s="195"/>
      <c r="BO486" s="195"/>
      <c r="BP486" s="195"/>
      <c r="BQ486" s="195"/>
      <c r="BR486" s="195"/>
      <c r="BS486" s="195"/>
      <c r="BT486" s="195"/>
      <c r="BU486" s="195"/>
      <c r="BV486" s="195"/>
      <c r="BW486" s="195"/>
      <c r="BX486" s="195"/>
      <c r="BY486" s="195"/>
      <c r="BZ486" s="195"/>
      <c r="CA486" s="195"/>
      <c r="CB486" s="195"/>
      <c r="CC486" s="195"/>
      <c r="CD486" s="195"/>
      <c r="CE486" s="195"/>
      <c r="CF486" s="195"/>
      <c r="CG486" s="256"/>
    </row>
    <row r="487" spans="1:85" s="254" customFormat="1" ht="13.9" customHeight="1" x14ac:dyDescent="0.2">
      <c r="A487" s="255" t="s">
        <v>149</v>
      </c>
      <c r="B487" s="187">
        <v>39</v>
      </c>
      <c r="C487" s="248" t="s">
        <v>572</v>
      </c>
      <c r="D487" s="197" t="s">
        <v>857</v>
      </c>
      <c r="E487" s="199"/>
      <c r="F487" s="199">
        <v>4000000000</v>
      </c>
      <c r="G487" s="199"/>
      <c r="H487" s="197" t="s">
        <v>854</v>
      </c>
      <c r="I487" s="248" t="s">
        <v>660</v>
      </c>
      <c r="J487" s="187">
        <v>4</v>
      </c>
      <c r="K487" s="187">
        <v>4</v>
      </c>
      <c r="L487" s="187">
        <v>8</v>
      </c>
      <c r="M487" s="172">
        <f t="shared" si="78"/>
        <v>1</v>
      </c>
      <c r="N487" s="180" t="s">
        <v>36</v>
      </c>
      <c r="O487" s="181" t="str">
        <f>IF(ISBLANK(N487),"",VLOOKUP(N487,[16]Parámetros!$G$2:$H$23,2,FALSE))</f>
        <v xml:space="preserve">Contratación directa (con ofertas) </v>
      </c>
      <c r="P487" s="249">
        <f t="shared" si="86"/>
        <v>1</v>
      </c>
      <c r="Q487" s="183">
        <f t="shared" si="79"/>
        <v>4000000000</v>
      </c>
      <c r="R487" s="183">
        <f t="shared" si="80"/>
        <v>4000000000</v>
      </c>
      <c r="S487" s="250" t="s">
        <v>223</v>
      </c>
      <c r="T487" s="249">
        <f t="shared" si="87"/>
        <v>0</v>
      </c>
      <c r="U487" s="185" t="str">
        <f t="shared" si="81"/>
        <v>SUBDIRECCION DE GESTION CONTRACTUAL</v>
      </c>
      <c r="V487" s="249" t="str">
        <f t="shared" si="82"/>
        <v>CO-DC</v>
      </c>
      <c r="W487" s="249" t="str">
        <f t="shared" si="83"/>
        <v>Distrito Capital de Bogotá</v>
      </c>
      <c r="X487" s="197" t="s">
        <v>151</v>
      </c>
      <c r="Y487" s="187">
        <v>2427401</v>
      </c>
      <c r="Z487" s="201" t="s">
        <v>152</v>
      </c>
      <c r="AA487" s="252"/>
      <c r="AB487" s="252"/>
      <c r="AC487" s="252"/>
      <c r="AD487" s="252"/>
      <c r="AE487" s="252"/>
      <c r="AF487" s="252"/>
      <c r="AG487" s="252"/>
      <c r="AH487" s="252"/>
      <c r="AI487" s="252"/>
      <c r="AJ487" s="252"/>
      <c r="AK487" s="252"/>
      <c r="AL487" s="252"/>
      <c r="AM487" s="252"/>
      <c r="AN487" s="252"/>
      <c r="AO487" s="252"/>
      <c r="AP487" s="252"/>
      <c r="AQ487" s="252"/>
      <c r="AR487" s="252"/>
      <c r="AS487" s="252"/>
      <c r="AT487" s="252"/>
      <c r="AU487" s="195"/>
      <c r="AV487" s="195"/>
      <c r="AW487" s="195"/>
      <c r="AX487" s="195"/>
      <c r="AY487" s="195"/>
      <c r="AZ487" s="195"/>
      <c r="BA487" s="195"/>
      <c r="BB487" s="195"/>
      <c r="BC487" s="195"/>
      <c r="BD487" s="195"/>
      <c r="BE487" s="195"/>
      <c r="BF487" s="195"/>
      <c r="BG487" s="195"/>
      <c r="BH487" s="195"/>
      <c r="BI487" s="195"/>
      <c r="BJ487" s="195"/>
      <c r="BK487" s="195"/>
      <c r="BL487" s="195"/>
      <c r="BM487" s="195"/>
      <c r="BN487" s="195"/>
      <c r="BO487" s="195"/>
      <c r="BP487" s="195"/>
      <c r="BQ487" s="195"/>
      <c r="BR487" s="195"/>
      <c r="BS487" s="195"/>
      <c r="BT487" s="195"/>
      <c r="BU487" s="195"/>
      <c r="BV487" s="195"/>
      <c r="BW487" s="195"/>
      <c r="BX487" s="195"/>
      <c r="BY487" s="195"/>
      <c r="BZ487" s="195"/>
      <c r="CA487" s="195"/>
      <c r="CB487" s="195"/>
      <c r="CC487" s="195"/>
      <c r="CD487" s="195"/>
      <c r="CE487" s="195"/>
      <c r="CF487" s="195"/>
      <c r="CG487" s="256"/>
    </row>
    <row r="488" spans="1:85" s="189" customFormat="1" ht="12.75" customHeight="1" x14ac:dyDescent="0.2">
      <c r="A488" s="172" t="s">
        <v>149</v>
      </c>
      <c r="B488" s="172">
        <v>40</v>
      </c>
      <c r="C488" s="173" t="s">
        <v>155</v>
      </c>
      <c r="D488" s="173" t="s">
        <v>175</v>
      </c>
      <c r="E488" s="174"/>
      <c r="F488" s="174">
        <v>200000000</v>
      </c>
      <c r="G488" s="174"/>
      <c r="H488" s="175" t="s">
        <v>240</v>
      </c>
      <c r="I488" s="176" t="s">
        <v>659</v>
      </c>
      <c r="J488" s="193">
        <v>2</v>
      </c>
      <c r="K488" s="193">
        <v>3</v>
      </c>
      <c r="L488" s="193">
        <v>4</v>
      </c>
      <c r="M488" s="172">
        <f t="shared" si="78"/>
        <v>1</v>
      </c>
      <c r="N488" s="180" t="s">
        <v>43</v>
      </c>
      <c r="O488" s="181" t="str">
        <f>IF(ISBLANK(N488),"",VLOOKUP(N488,[16]Parámetros!$G$2:$H$23,2,FALSE))</f>
        <v>Selección abreviada subasta inversa</v>
      </c>
      <c r="P488" s="182">
        <f t="shared" si="86"/>
        <v>1</v>
      </c>
      <c r="Q488" s="183">
        <f t="shared" si="79"/>
        <v>200000000</v>
      </c>
      <c r="R488" s="183">
        <f t="shared" si="80"/>
        <v>200000000</v>
      </c>
      <c r="S488" s="184" t="s">
        <v>223</v>
      </c>
      <c r="T488" s="180">
        <f t="shared" si="87"/>
        <v>0</v>
      </c>
      <c r="U488" s="185" t="str">
        <f t="shared" si="81"/>
        <v>SUBDIRECCION DE GESTION CONTRACTUAL</v>
      </c>
      <c r="V488" s="172" t="str">
        <f t="shared" si="82"/>
        <v>CO-DC</v>
      </c>
      <c r="W488" s="185" t="str">
        <f t="shared" si="83"/>
        <v>Distrito Capital de Bogotá</v>
      </c>
      <c r="X488" s="186" t="s">
        <v>332</v>
      </c>
      <c r="Y488" s="172">
        <v>2427400</v>
      </c>
      <c r="Z488" s="188" t="s">
        <v>94</v>
      </c>
    </row>
    <row r="489" spans="1:85" s="254" customFormat="1" ht="13.9" customHeight="1" x14ac:dyDescent="0.2">
      <c r="A489" s="255" t="s">
        <v>149</v>
      </c>
      <c r="B489" s="187">
        <v>41</v>
      </c>
      <c r="C489" s="248" t="s">
        <v>154</v>
      </c>
      <c r="D489" s="197" t="s">
        <v>563</v>
      </c>
      <c r="E489" s="199"/>
      <c r="F489" s="199">
        <v>400000000</v>
      </c>
      <c r="G489" s="199"/>
      <c r="H489" s="175" t="s">
        <v>650</v>
      </c>
      <c r="I489" s="248" t="s">
        <v>666</v>
      </c>
      <c r="J489" s="177">
        <v>2</v>
      </c>
      <c r="K489" s="178">
        <v>2</v>
      </c>
      <c r="L489" s="179">
        <v>10</v>
      </c>
      <c r="M489" s="172">
        <f t="shared" si="78"/>
        <v>1</v>
      </c>
      <c r="N489" s="180" t="s">
        <v>36</v>
      </c>
      <c r="O489" s="181" t="str">
        <f>IF(ISBLANK(N489),"",VLOOKUP(N489,[16]Parámetros!$G$2:$H$23,2,FALSE))</f>
        <v xml:space="preserve">Contratación directa (con ofertas) </v>
      </c>
      <c r="P489" s="249">
        <f t="shared" si="86"/>
        <v>1</v>
      </c>
      <c r="Q489" s="183">
        <f t="shared" si="79"/>
        <v>400000000</v>
      </c>
      <c r="R489" s="183">
        <f t="shared" si="80"/>
        <v>400000000</v>
      </c>
      <c r="S489" s="250" t="s">
        <v>223</v>
      </c>
      <c r="T489" s="249">
        <f t="shared" si="87"/>
        <v>0</v>
      </c>
      <c r="U489" s="185" t="str">
        <f t="shared" si="81"/>
        <v>SUBDIRECCION DE GESTION CONTRACTUAL</v>
      </c>
      <c r="V489" s="172" t="str">
        <f t="shared" si="82"/>
        <v>CO-DC</v>
      </c>
      <c r="W489" s="249" t="str">
        <f t="shared" si="83"/>
        <v>Distrito Capital de Bogotá</v>
      </c>
      <c r="X489" s="186" t="s">
        <v>332</v>
      </c>
      <c r="Y489" s="172">
        <v>2427400</v>
      </c>
      <c r="Z489" s="188" t="s">
        <v>94</v>
      </c>
      <c r="AA489" s="252"/>
      <c r="AB489" s="252"/>
      <c r="AC489" s="252"/>
      <c r="AD489" s="252"/>
      <c r="AE489" s="252"/>
      <c r="AF489" s="252"/>
      <c r="AG489" s="252"/>
      <c r="AH489" s="252"/>
      <c r="AI489" s="252"/>
      <c r="AJ489" s="252"/>
      <c r="AK489" s="252"/>
      <c r="AL489" s="252"/>
      <c r="AM489" s="252"/>
      <c r="AN489" s="252"/>
      <c r="AO489" s="252"/>
      <c r="AP489" s="252"/>
      <c r="AQ489" s="252"/>
      <c r="AR489" s="252"/>
      <c r="AS489" s="252"/>
      <c r="AT489" s="252"/>
      <c r="AU489" s="195"/>
      <c r="AV489" s="195"/>
      <c r="AW489" s="195"/>
      <c r="AX489" s="195"/>
      <c r="AY489" s="195"/>
      <c r="AZ489" s="195"/>
      <c r="BA489" s="195"/>
      <c r="BB489" s="195"/>
      <c r="BC489" s="195"/>
      <c r="BD489" s="195"/>
      <c r="BE489" s="195"/>
      <c r="BF489" s="195"/>
      <c r="BG489" s="195"/>
      <c r="BH489" s="195"/>
      <c r="BI489" s="195"/>
      <c r="BJ489" s="195"/>
      <c r="BK489" s="195"/>
      <c r="BL489" s="195"/>
      <c r="BM489" s="195"/>
      <c r="BN489" s="195"/>
      <c r="BO489" s="195"/>
      <c r="BP489" s="195"/>
      <c r="BQ489" s="195"/>
      <c r="BR489" s="195"/>
      <c r="BS489" s="195"/>
      <c r="BT489" s="195"/>
      <c r="BU489" s="195"/>
      <c r="BV489" s="195"/>
      <c r="BW489" s="195"/>
      <c r="BX489" s="195"/>
      <c r="BY489" s="195"/>
      <c r="BZ489" s="195"/>
      <c r="CA489" s="195"/>
      <c r="CB489" s="195"/>
      <c r="CC489" s="195"/>
      <c r="CD489" s="195"/>
      <c r="CE489" s="195"/>
      <c r="CF489" s="195"/>
      <c r="CG489" s="256"/>
    </row>
    <row r="490" spans="1:85" s="254" customFormat="1" ht="13.9" customHeight="1" x14ac:dyDescent="0.2">
      <c r="A490" s="255" t="s">
        <v>162</v>
      </c>
      <c r="B490" s="187">
        <v>1</v>
      </c>
      <c r="C490" s="248" t="s">
        <v>163</v>
      </c>
      <c r="D490" s="197" t="s">
        <v>164</v>
      </c>
      <c r="E490" s="199"/>
      <c r="F490" s="199">
        <v>70103318</v>
      </c>
      <c r="G490" s="199"/>
      <c r="H490" s="197">
        <v>91111703</v>
      </c>
      <c r="I490" s="248" t="s">
        <v>573</v>
      </c>
      <c r="J490" s="187">
        <v>3</v>
      </c>
      <c r="K490" s="187">
        <v>3</v>
      </c>
      <c r="L490" s="187">
        <v>9</v>
      </c>
      <c r="M490" s="172">
        <f t="shared" si="78"/>
        <v>1</v>
      </c>
      <c r="N490" s="180" t="s">
        <v>53</v>
      </c>
      <c r="O490" s="181" t="s">
        <v>54</v>
      </c>
      <c r="P490" s="249">
        <v>1</v>
      </c>
      <c r="Q490" s="183">
        <f t="shared" si="79"/>
        <v>70103318</v>
      </c>
      <c r="R490" s="183">
        <f t="shared" si="80"/>
        <v>70103318</v>
      </c>
      <c r="S490" s="250" t="s">
        <v>223</v>
      </c>
      <c r="T490" s="249">
        <f t="shared" si="87"/>
        <v>0</v>
      </c>
      <c r="U490" s="185" t="str">
        <f t="shared" si="81"/>
        <v>SUBDIRECCION DE GESTION CONTRACTUAL</v>
      </c>
      <c r="V490" s="249" t="s">
        <v>39</v>
      </c>
      <c r="W490" s="249" t="s">
        <v>38</v>
      </c>
      <c r="X490" s="197" t="s">
        <v>574</v>
      </c>
      <c r="Y490" s="187">
        <v>2427400</v>
      </c>
      <c r="Z490" s="201" t="s">
        <v>575</v>
      </c>
      <c r="AA490" s="252"/>
      <c r="AB490" s="252"/>
      <c r="AC490" s="252"/>
      <c r="AD490" s="252"/>
      <c r="AE490" s="252"/>
      <c r="AF490" s="252"/>
      <c r="AG490" s="252"/>
      <c r="AH490" s="252"/>
      <c r="AI490" s="252"/>
      <c r="AJ490" s="252"/>
      <c r="AK490" s="252"/>
      <c r="AL490" s="252"/>
      <c r="AM490" s="252"/>
      <c r="AN490" s="252"/>
      <c r="AO490" s="252"/>
      <c r="AP490" s="252"/>
      <c r="AQ490" s="252"/>
      <c r="AR490" s="252"/>
      <c r="AS490" s="252"/>
      <c r="AT490" s="252"/>
      <c r="AU490" s="195"/>
      <c r="AV490" s="195"/>
      <c r="AW490" s="195"/>
      <c r="AX490" s="195"/>
      <c r="AY490" s="195"/>
      <c r="AZ490" s="195"/>
      <c r="BA490" s="195"/>
      <c r="BB490" s="195"/>
      <c r="BC490" s="195"/>
      <c r="BD490" s="195"/>
      <c r="BE490" s="195"/>
      <c r="BF490" s="195"/>
      <c r="BG490" s="195"/>
      <c r="BH490" s="195"/>
      <c r="BI490" s="195"/>
      <c r="BJ490" s="195"/>
      <c r="BK490" s="195"/>
      <c r="BL490" s="195"/>
      <c r="BM490" s="195"/>
      <c r="BN490" s="195"/>
      <c r="BO490" s="195"/>
      <c r="BP490" s="195"/>
      <c r="BQ490" s="195"/>
      <c r="BR490" s="195"/>
      <c r="BS490" s="195"/>
      <c r="BT490" s="195"/>
      <c r="BU490" s="195"/>
      <c r="BV490" s="195"/>
      <c r="BW490" s="195"/>
      <c r="BX490" s="195"/>
      <c r="BY490" s="195"/>
      <c r="BZ490" s="195"/>
      <c r="CA490" s="195"/>
      <c r="CB490" s="195"/>
      <c r="CC490" s="195"/>
      <c r="CD490" s="195"/>
      <c r="CE490" s="195"/>
      <c r="CF490" s="195"/>
      <c r="CG490" s="256"/>
    </row>
    <row r="491" spans="1:85" s="254" customFormat="1" ht="13.9" customHeight="1" x14ac:dyDescent="0.2">
      <c r="A491" s="255" t="s">
        <v>162</v>
      </c>
      <c r="B491" s="187">
        <v>2</v>
      </c>
      <c r="C491" s="248" t="s">
        <v>163</v>
      </c>
      <c r="D491" s="197" t="s">
        <v>164</v>
      </c>
      <c r="E491" s="199"/>
      <c r="F491" s="199">
        <v>40392945</v>
      </c>
      <c r="G491" s="199"/>
      <c r="H491" s="197">
        <v>91111703</v>
      </c>
      <c r="I491" s="248" t="s">
        <v>576</v>
      </c>
      <c r="J491" s="187">
        <v>2</v>
      </c>
      <c r="K491" s="187">
        <v>2</v>
      </c>
      <c r="L491" s="187">
        <v>2</v>
      </c>
      <c r="M491" s="172">
        <f t="shared" si="78"/>
        <v>1</v>
      </c>
      <c r="N491" s="180" t="s">
        <v>53</v>
      </c>
      <c r="O491" s="181" t="s">
        <v>54</v>
      </c>
      <c r="P491" s="249">
        <v>1</v>
      </c>
      <c r="Q491" s="183">
        <f t="shared" si="79"/>
        <v>40392945</v>
      </c>
      <c r="R491" s="183">
        <f t="shared" si="80"/>
        <v>40392945</v>
      </c>
      <c r="S491" s="250" t="s">
        <v>223</v>
      </c>
      <c r="T491" s="249">
        <f t="shared" si="87"/>
        <v>0</v>
      </c>
      <c r="U491" s="185" t="str">
        <f t="shared" si="81"/>
        <v>SUBDIRECCION DE GESTION CONTRACTUAL</v>
      </c>
      <c r="V491" s="249" t="s">
        <v>39</v>
      </c>
      <c r="W491" s="249" t="s">
        <v>38</v>
      </c>
      <c r="X491" s="197" t="s">
        <v>574</v>
      </c>
      <c r="Y491" s="187">
        <v>2427400</v>
      </c>
      <c r="Z491" s="201" t="s">
        <v>575</v>
      </c>
      <c r="AA491" s="252"/>
      <c r="AB491" s="252"/>
      <c r="AC491" s="252"/>
      <c r="AD491" s="252"/>
      <c r="AE491" s="252"/>
      <c r="AF491" s="252"/>
      <c r="AG491" s="252"/>
      <c r="AH491" s="252"/>
      <c r="AI491" s="252"/>
      <c r="AJ491" s="252"/>
      <c r="AK491" s="252"/>
      <c r="AL491" s="252"/>
      <c r="AM491" s="252"/>
      <c r="AN491" s="252"/>
      <c r="AO491" s="252"/>
      <c r="AP491" s="252"/>
      <c r="AQ491" s="252"/>
      <c r="AR491" s="252"/>
      <c r="AS491" s="252"/>
      <c r="AT491" s="252"/>
      <c r="AU491" s="195"/>
      <c r="AV491" s="195"/>
      <c r="AW491" s="195"/>
      <c r="AX491" s="195"/>
      <c r="AY491" s="195"/>
      <c r="AZ491" s="195"/>
      <c r="BA491" s="195"/>
      <c r="BB491" s="195"/>
      <c r="BC491" s="195"/>
      <c r="BD491" s="195"/>
      <c r="BE491" s="195"/>
      <c r="BF491" s="195"/>
      <c r="BG491" s="195"/>
      <c r="BH491" s="195"/>
      <c r="BI491" s="195"/>
      <c r="BJ491" s="195"/>
      <c r="BK491" s="195"/>
      <c r="BL491" s="195"/>
      <c r="BM491" s="195"/>
      <c r="BN491" s="195"/>
      <c r="BO491" s="195"/>
      <c r="BP491" s="195"/>
      <c r="BQ491" s="195"/>
      <c r="BR491" s="195"/>
      <c r="BS491" s="195"/>
      <c r="BT491" s="195"/>
      <c r="BU491" s="195"/>
      <c r="BV491" s="195"/>
      <c r="BW491" s="195"/>
      <c r="BX491" s="195"/>
      <c r="BY491" s="195"/>
      <c r="BZ491" s="195"/>
      <c r="CA491" s="195"/>
      <c r="CB491" s="195"/>
      <c r="CC491" s="195"/>
      <c r="CD491" s="195"/>
      <c r="CE491" s="195"/>
      <c r="CF491" s="195"/>
      <c r="CG491" s="256"/>
    </row>
    <row r="492" spans="1:85" s="254" customFormat="1" ht="13.9" customHeight="1" x14ac:dyDescent="0.2">
      <c r="A492" s="255" t="s">
        <v>162</v>
      </c>
      <c r="B492" s="187">
        <v>3</v>
      </c>
      <c r="C492" s="248" t="s">
        <v>165</v>
      </c>
      <c r="D492" s="197" t="s">
        <v>577</v>
      </c>
      <c r="E492" s="199"/>
      <c r="F492" s="199">
        <v>27037500</v>
      </c>
      <c r="G492" s="199"/>
      <c r="H492" s="197">
        <v>85122201</v>
      </c>
      <c r="I492" s="248" t="s">
        <v>578</v>
      </c>
      <c r="J492" s="187">
        <v>2</v>
      </c>
      <c r="K492" s="187">
        <v>2</v>
      </c>
      <c r="L492" s="187">
        <v>10</v>
      </c>
      <c r="M492" s="172">
        <f t="shared" si="78"/>
        <v>1</v>
      </c>
      <c r="N492" s="180" t="s">
        <v>48</v>
      </c>
      <c r="O492" s="181" t="s">
        <v>49</v>
      </c>
      <c r="P492" s="249">
        <v>1</v>
      </c>
      <c r="Q492" s="183">
        <f t="shared" si="79"/>
        <v>27037500</v>
      </c>
      <c r="R492" s="183">
        <f t="shared" si="80"/>
        <v>27037500</v>
      </c>
      <c r="S492" s="250" t="s">
        <v>223</v>
      </c>
      <c r="T492" s="249">
        <f t="shared" si="87"/>
        <v>0</v>
      </c>
      <c r="U492" s="185" t="str">
        <f t="shared" si="81"/>
        <v>SUBDIRECCION DE GESTION CONTRACTUAL</v>
      </c>
      <c r="V492" s="249" t="s">
        <v>39</v>
      </c>
      <c r="W492" s="249" t="s">
        <v>38</v>
      </c>
      <c r="X492" s="197" t="s">
        <v>676</v>
      </c>
      <c r="Y492" s="187">
        <v>2427400</v>
      </c>
      <c r="Z492" s="201" t="s">
        <v>168</v>
      </c>
      <c r="AA492" s="252"/>
      <c r="AB492" s="252"/>
      <c r="AC492" s="252"/>
      <c r="AD492" s="252"/>
      <c r="AE492" s="252"/>
      <c r="AF492" s="252"/>
      <c r="AG492" s="252"/>
      <c r="AH492" s="252"/>
      <c r="AI492" s="252"/>
      <c r="AJ492" s="252"/>
      <c r="AK492" s="252"/>
      <c r="AL492" s="252"/>
      <c r="AM492" s="252"/>
      <c r="AN492" s="252"/>
      <c r="AO492" s="252"/>
      <c r="AP492" s="252"/>
      <c r="AQ492" s="252"/>
      <c r="AR492" s="252"/>
      <c r="AS492" s="252"/>
      <c r="AT492" s="252"/>
      <c r="AU492" s="195"/>
      <c r="AV492" s="195"/>
      <c r="AW492" s="195"/>
      <c r="AX492" s="195"/>
      <c r="AY492" s="195"/>
      <c r="AZ492" s="195"/>
      <c r="BA492" s="195"/>
      <c r="BB492" s="195"/>
      <c r="BC492" s="195"/>
      <c r="BD492" s="195"/>
      <c r="BE492" s="195"/>
      <c r="BF492" s="195"/>
      <c r="BG492" s="195"/>
      <c r="BH492" s="195"/>
      <c r="BI492" s="195"/>
      <c r="BJ492" s="195"/>
      <c r="BK492" s="195"/>
      <c r="BL492" s="195"/>
      <c r="BM492" s="195"/>
      <c r="BN492" s="195"/>
      <c r="BO492" s="195"/>
      <c r="BP492" s="195"/>
      <c r="BQ492" s="195"/>
      <c r="BR492" s="195"/>
      <c r="BS492" s="195"/>
      <c r="BT492" s="195"/>
      <c r="BU492" s="195"/>
      <c r="BV492" s="195"/>
      <c r="BW492" s="195"/>
      <c r="BX492" s="195"/>
      <c r="BY492" s="195"/>
      <c r="BZ492" s="195"/>
      <c r="CA492" s="195"/>
      <c r="CB492" s="195"/>
      <c r="CC492" s="195"/>
      <c r="CD492" s="195"/>
      <c r="CE492" s="195"/>
      <c r="CF492" s="195"/>
      <c r="CG492" s="256"/>
    </row>
    <row r="493" spans="1:85" s="254" customFormat="1" ht="13.9" customHeight="1" x14ac:dyDescent="0.2">
      <c r="A493" s="255" t="s">
        <v>162</v>
      </c>
      <c r="B493" s="187">
        <v>4</v>
      </c>
      <c r="C493" s="248" t="s">
        <v>165</v>
      </c>
      <c r="D493" s="197" t="s">
        <v>577</v>
      </c>
      <c r="E493" s="199"/>
      <c r="F493" s="199">
        <v>79924680</v>
      </c>
      <c r="G493" s="199"/>
      <c r="H493" s="197">
        <v>85122201</v>
      </c>
      <c r="I493" s="248" t="s">
        <v>579</v>
      </c>
      <c r="J493" s="187">
        <v>3</v>
      </c>
      <c r="K493" s="187">
        <v>3</v>
      </c>
      <c r="L493" s="187">
        <v>5</v>
      </c>
      <c r="M493" s="172">
        <f t="shared" si="78"/>
        <v>1</v>
      </c>
      <c r="N493" s="180" t="s">
        <v>216</v>
      </c>
      <c r="O493" s="181" t="s">
        <v>293</v>
      </c>
      <c r="P493" s="249">
        <v>1</v>
      </c>
      <c r="Q493" s="183">
        <f t="shared" si="79"/>
        <v>79924680</v>
      </c>
      <c r="R493" s="183">
        <f t="shared" si="80"/>
        <v>79924680</v>
      </c>
      <c r="S493" s="250" t="s">
        <v>223</v>
      </c>
      <c r="T493" s="249">
        <f t="shared" si="87"/>
        <v>0</v>
      </c>
      <c r="U493" s="185" t="str">
        <f t="shared" si="81"/>
        <v>SUBDIRECCION DE GESTION CONTRACTUAL</v>
      </c>
      <c r="V493" s="249" t="s">
        <v>39</v>
      </c>
      <c r="W493" s="249" t="s">
        <v>38</v>
      </c>
      <c r="X493" s="197" t="s">
        <v>676</v>
      </c>
      <c r="Y493" s="187">
        <v>2427400</v>
      </c>
      <c r="Z493" s="201" t="s">
        <v>168</v>
      </c>
      <c r="AA493" s="252"/>
      <c r="AB493" s="252"/>
      <c r="AC493" s="252"/>
      <c r="AD493" s="252"/>
      <c r="AE493" s="252"/>
      <c r="AF493" s="252"/>
      <c r="AG493" s="252"/>
      <c r="AH493" s="252"/>
      <c r="AI493" s="252"/>
      <c r="AJ493" s="252"/>
      <c r="AK493" s="252"/>
      <c r="AL493" s="252"/>
      <c r="AM493" s="252"/>
      <c r="AN493" s="252"/>
      <c r="AO493" s="252"/>
      <c r="AP493" s="252"/>
      <c r="AQ493" s="252"/>
      <c r="AR493" s="252"/>
      <c r="AS493" s="252"/>
      <c r="AT493" s="252"/>
      <c r="AU493" s="195"/>
      <c r="AV493" s="195"/>
      <c r="AW493" s="195"/>
      <c r="AX493" s="195"/>
      <c r="AY493" s="195"/>
      <c r="AZ493" s="195"/>
      <c r="BA493" s="195"/>
      <c r="BB493" s="195"/>
      <c r="BC493" s="195"/>
      <c r="BD493" s="195"/>
      <c r="BE493" s="195"/>
      <c r="BF493" s="195"/>
      <c r="BG493" s="195"/>
      <c r="BH493" s="195"/>
      <c r="BI493" s="195"/>
      <c r="BJ493" s="195"/>
      <c r="BK493" s="195"/>
      <c r="BL493" s="195"/>
      <c r="BM493" s="195"/>
      <c r="BN493" s="195"/>
      <c r="BO493" s="195"/>
      <c r="BP493" s="195"/>
      <c r="BQ493" s="195"/>
      <c r="BR493" s="195"/>
      <c r="BS493" s="195"/>
      <c r="BT493" s="195"/>
      <c r="BU493" s="195"/>
      <c r="BV493" s="195"/>
      <c r="BW493" s="195"/>
      <c r="BX493" s="195"/>
      <c r="BY493" s="195"/>
      <c r="BZ493" s="195"/>
      <c r="CA493" s="195"/>
      <c r="CB493" s="195"/>
      <c r="CC493" s="195"/>
      <c r="CD493" s="195"/>
      <c r="CE493" s="195"/>
      <c r="CF493" s="195"/>
      <c r="CG493" s="256"/>
    </row>
    <row r="494" spans="1:85" s="254" customFormat="1" ht="13.9" customHeight="1" x14ac:dyDescent="0.2">
      <c r="A494" s="255" t="s">
        <v>162</v>
      </c>
      <c r="B494" s="187">
        <v>5</v>
      </c>
      <c r="C494" s="248" t="s">
        <v>165</v>
      </c>
      <c r="D494" s="197" t="s">
        <v>577</v>
      </c>
      <c r="E494" s="199"/>
      <c r="F494" s="199">
        <v>10500000</v>
      </c>
      <c r="G494" s="199"/>
      <c r="H494" s="197">
        <v>42172001</v>
      </c>
      <c r="I494" s="248" t="s">
        <v>580</v>
      </c>
      <c r="J494" s="187">
        <v>4</v>
      </c>
      <c r="K494" s="187">
        <v>4</v>
      </c>
      <c r="L494" s="187">
        <v>2</v>
      </c>
      <c r="M494" s="172">
        <f t="shared" si="78"/>
        <v>1</v>
      </c>
      <c r="N494" s="180" t="s">
        <v>48</v>
      </c>
      <c r="O494" s="181" t="s">
        <v>49</v>
      </c>
      <c r="P494" s="249">
        <v>1</v>
      </c>
      <c r="Q494" s="183">
        <f t="shared" si="79"/>
        <v>10500000</v>
      </c>
      <c r="R494" s="183">
        <f t="shared" si="80"/>
        <v>10500000</v>
      </c>
      <c r="S494" s="250" t="s">
        <v>223</v>
      </c>
      <c r="T494" s="249">
        <f t="shared" si="87"/>
        <v>0</v>
      </c>
      <c r="U494" s="185" t="str">
        <f t="shared" si="81"/>
        <v>SUBDIRECCION DE GESTION CONTRACTUAL</v>
      </c>
      <c r="V494" s="249" t="s">
        <v>39</v>
      </c>
      <c r="W494" s="249" t="s">
        <v>38</v>
      </c>
      <c r="X494" s="197" t="s">
        <v>676</v>
      </c>
      <c r="Y494" s="187">
        <v>2427400</v>
      </c>
      <c r="Z494" s="201" t="s">
        <v>168</v>
      </c>
      <c r="AA494" s="252"/>
      <c r="AB494" s="252"/>
      <c r="AC494" s="252"/>
      <c r="AD494" s="252"/>
      <c r="AE494" s="252"/>
      <c r="AF494" s="252"/>
      <c r="AG494" s="252"/>
      <c r="AH494" s="252"/>
      <c r="AI494" s="252"/>
      <c r="AJ494" s="252"/>
      <c r="AK494" s="252"/>
      <c r="AL494" s="252"/>
      <c r="AM494" s="252"/>
      <c r="AN494" s="252"/>
      <c r="AO494" s="252"/>
      <c r="AP494" s="252"/>
      <c r="AQ494" s="252"/>
      <c r="AR494" s="252"/>
      <c r="AS494" s="252"/>
      <c r="AT494" s="252"/>
      <c r="AU494" s="195"/>
      <c r="AV494" s="195"/>
      <c r="AW494" s="195"/>
      <c r="AX494" s="195"/>
      <c r="AY494" s="195"/>
      <c r="AZ494" s="195"/>
      <c r="BA494" s="195"/>
      <c r="BB494" s="195"/>
      <c r="BC494" s="195"/>
      <c r="BD494" s="195"/>
      <c r="BE494" s="195"/>
      <c r="BF494" s="195"/>
      <c r="BG494" s="195"/>
      <c r="BH494" s="195"/>
      <c r="BI494" s="195"/>
      <c r="BJ494" s="195"/>
      <c r="BK494" s="195"/>
      <c r="BL494" s="195"/>
      <c r="BM494" s="195"/>
      <c r="BN494" s="195"/>
      <c r="BO494" s="195"/>
      <c r="BP494" s="195"/>
      <c r="BQ494" s="195"/>
      <c r="BR494" s="195"/>
      <c r="BS494" s="195"/>
      <c r="BT494" s="195"/>
      <c r="BU494" s="195"/>
      <c r="BV494" s="195"/>
      <c r="BW494" s="195"/>
      <c r="BX494" s="195"/>
      <c r="BY494" s="195"/>
      <c r="BZ494" s="195"/>
      <c r="CA494" s="195"/>
      <c r="CB494" s="195"/>
      <c r="CC494" s="195"/>
      <c r="CD494" s="195"/>
      <c r="CE494" s="195"/>
      <c r="CF494" s="195"/>
      <c r="CG494" s="256"/>
    </row>
    <row r="495" spans="1:85" s="254" customFormat="1" ht="13.9" customHeight="1" x14ac:dyDescent="0.2">
      <c r="A495" s="255" t="s">
        <v>162</v>
      </c>
      <c r="B495" s="187">
        <v>6</v>
      </c>
      <c r="C495" s="248" t="s">
        <v>165</v>
      </c>
      <c r="D495" s="197" t="s">
        <v>577</v>
      </c>
      <c r="E495" s="199"/>
      <c r="F495" s="199">
        <v>20000000</v>
      </c>
      <c r="G495" s="199"/>
      <c r="H495" s="197">
        <v>46182205</v>
      </c>
      <c r="I495" s="248" t="s">
        <v>581</v>
      </c>
      <c r="J495" s="187">
        <v>5</v>
      </c>
      <c r="K495" s="187">
        <v>5</v>
      </c>
      <c r="L495" s="187">
        <v>3</v>
      </c>
      <c r="M495" s="172">
        <f t="shared" si="78"/>
        <v>1</v>
      </c>
      <c r="N495" s="180" t="s">
        <v>48</v>
      </c>
      <c r="O495" s="181" t="s">
        <v>49</v>
      </c>
      <c r="P495" s="249">
        <v>1</v>
      </c>
      <c r="Q495" s="183">
        <f t="shared" si="79"/>
        <v>20000000</v>
      </c>
      <c r="R495" s="183">
        <f t="shared" si="80"/>
        <v>20000000</v>
      </c>
      <c r="S495" s="250" t="s">
        <v>223</v>
      </c>
      <c r="T495" s="249">
        <f t="shared" si="87"/>
        <v>0</v>
      </c>
      <c r="U495" s="185" t="str">
        <f t="shared" si="81"/>
        <v>SUBDIRECCION DE GESTION CONTRACTUAL</v>
      </c>
      <c r="V495" s="249" t="s">
        <v>39</v>
      </c>
      <c r="W495" s="249" t="s">
        <v>38</v>
      </c>
      <c r="X495" s="197" t="s">
        <v>676</v>
      </c>
      <c r="Y495" s="187">
        <v>2427400</v>
      </c>
      <c r="Z495" s="201" t="s">
        <v>168</v>
      </c>
      <c r="AA495" s="252"/>
      <c r="AB495" s="252"/>
      <c r="AC495" s="252"/>
      <c r="AD495" s="252"/>
      <c r="AE495" s="252"/>
      <c r="AF495" s="252"/>
      <c r="AG495" s="252"/>
      <c r="AH495" s="252"/>
      <c r="AI495" s="252"/>
      <c r="AJ495" s="252"/>
      <c r="AK495" s="252"/>
      <c r="AL495" s="252"/>
      <c r="AM495" s="252"/>
      <c r="AN495" s="252"/>
      <c r="AO495" s="252"/>
      <c r="AP495" s="252"/>
      <c r="AQ495" s="252"/>
      <c r="AR495" s="252"/>
      <c r="AS495" s="252"/>
      <c r="AT495" s="252"/>
      <c r="AU495" s="195"/>
      <c r="AV495" s="195"/>
      <c r="AW495" s="195"/>
      <c r="AX495" s="195"/>
      <c r="AY495" s="195"/>
      <c r="AZ495" s="195"/>
      <c r="BA495" s="195"/>
      <c r="BB495" s="195"/>
      <c r="BC495" s="195"/>
      <c r="BD495" s="195"/>
      <c r="BE495" s="195"/>
      <c r="BF495" s="195"/>
      <c r="BG495" s="195"/>
      <c r="BH495" s="195"/>
      <c r="BI495" s="195"/>
      <c r="BJ495" s="195"/>
      <c r="BK495" s="195"/>
      <c r="BL495" s="195"/>
      <c r="BM495" s="195"/>
      <c r="BN495" s="195"/>
      <c r="BO495" s="195"/>
      <c r="BP495" s="195"/>
      <c r="BQ495" s="195"/>
      <c r="BR495" s="195"/>
      <c r="BS495" s="195"/>
      <c r="BT495" s="195"/>
      <c r="BU495" s="195"/>
      <c r="BV495" s="195"/>
      <c r="BW495" s="195"/>
      <c r="BX495" s="195"/>
      <c r="BY495" s="195"/>
      <c r="BZ495" s="195"/>
      <c r="CA495" s="195"/>
      <c r="CB495" s="195"/>
      <c r="CC495" s="195"/>
      <c r="CD495" s="195"/>
      <c r="CE495" s="195"/>
      <c r="CF495" s="195"/>
      <c r="CG495" s="256"/>
    </row>
    <row r="496" spans="1:85" s="254" customFormat="1" ht="13.9" customHeight="1" x14ac:dyDescent="0.2">
      <c r="A496" s="255" t="s">
        <v>162</v>
      </c>
      <c r="B496" s="187">
        <v>7</v>
      </c>
      <c r="C496" s="248" t="s">
        <v>165</v>
      </c>
      <c r="D496" s="197" t="s">
        <v>577</v>
      </c>
      <c r="E496" s="199"/>
      <c r="F496" s="199">
        <v>10300000</v>
      </c>
      <c r="G496" s="199"/>
      <c r="H496" s="197">
        <v>84111600</v>
      </c>
      <c r="I496" s="248" t="s">
        <v>582</v>
      </c>
      <c r="J496" s="187">
        <v>7</v>
      </c>
      <c r="K496" s="187">
        <v>7</v>
      </c>
      <c r="L496" s="187">
        <v>4</v>
      </c>
      <c r="M496" s="172">
        <f t="shared" si="78"/>
        <v>1</v>
      </c>
      <c r="N496" s="180" t="s">
        <v>48</v>
      </c>
      <c r="O496" s="181" t="s">
        <v>49</v>
      </c>
      <c r="P496" s="249">
        <v>1</v>
      </c>
      <c r="Q496" s="183">
        <f t="shared" si="79"/>
        <v>10300000</v>
      </c>
      <c r="R496" s="183">
        <f t="shared" si="80"/>
        <v>10300000</v>
      </c>
      <c r="S496" s="250" t="s">
        <v>223</v>
      </c>
      <c r="T496" s="249">
        <f t="shared" si="87"/>
        <v>0</v>
      </c>
      <c r="U496" s="185" t="str">
        <f t="shared" si="81"/>
        <v>SUBDIRECCION DE GESTION CONTRACTUAL</v>
      </c>
      <c r="V496" s="249" t="s">
        <v>39</v>
      </c>
      <c r="W496" s="249" t="s">
        <v>38</v>
      </c>
      <c r="X496" s="197" t="s">
        <v>676</v>
      </c>
      <c r="Y496" s="187">
        <v>2427400</v>
      </c>
      <c r="Z496" s="201" t="s">
        <v>168</v>
      </c>
      <c r="AA496" s="252"/>
      <c r="AB496" s="252"/>
      <c r="AC496" s="252"/>
      <c r="AD496" s="252"/>
      <c r="AE496" s="252"/>
      <c r="AF496" s="252"/>
      <c r="AG496" s="252"/>
      <c r="AH496" s="252"/>
      <c r="AI496" s="252"/>
      <c r="AJ496" s="252"/>
      <c r="AK496" s="252"/>
      <c r="AL496" s="252"/>
      <c r="AM496" s="252"/>
      <c r="AN496" s="252"/>
      <c r="AO496" s="252"/>
      <c r="AP496" s="252"/>
      <c r="AQ496" s="252"/>
      <c r="AR496" s="252"/>
      <c r="AS496" s="252"/>
      <c r="AT496" s="252"/>
      <c r="AU496" s="195"/>
      <c r="AV496" s="195"/>
      <c r="AW496" s="195"/>
      <c r="AX496" s="195"/>
      <c r="AY496" s="195"/>
      <c r="AZ496" s="195"/>
      <c r="BA496" s="195"/>
      <c r="BB496" s="195"/>
      <c r="BC496" s="195"/>
      <c r="BD496" s="195"/>
      <c r="BE496" s="195"/>
      <c r="BF496" s="195"/>
      <c r="BG496" s="195"/>
      <c r="BH496" s="195"/>
      <c r="BI496" s="195"/>
      <c r="BJ496" s="195"/>
      <c r="BK496" s="195"/>
      <c r="BL496" s="195"/>
      <c r="BM496" s="195"/>
      <c r="BN496" s="195"/>
      <c r="BO496" s="195"/>
      <c r="BP496" s="195"/>
      <c r="BQ496" s="195"/>
      <c r="BR496" s="195"/>
      <c r="BS496" s="195"/>
      <c r="BT496" s="195"/>
      <c r="BU496" s="195"/>
      <c r="BV496" s="195"/>
      <c r="BW496" s="195"/>
      <c r="BX496" s="195"/>
      <c r="BY496" s="195"/>
      <c r="BZ496" s="195"/>
      <c r="CA496" s="195"/>
      <c r="CB496" s="195"/>
      <c r="CC496" s="195"/>
      <c r="CD496" s="195"/>
      <c r="CE496" s="195"/>
      <c r="CF496" s="195"/>
      <c r="CG496" s="256"/>
    </row>
    <row r="497" spans="1:85" s="254" customFormat="1" ht="13.9" customHeight="1" x14ac:dyDescent="0.2">
      <c r="A497" s="255" t="s">
        <v>162</v>
      </c>
      <c r="B497" s="187">
        <v>8</v>
      </c>
      <c r="C497" s="248" t="s">
        <v>165</v>
      </c>
      <c r="D497" s="197" t="s">
        <v>577</v>
      </c>
      <c r="E497" s="199"/>
      <c r="F497" s="199">
        <v>13800700</v>
      </c>
      <c r="G497" s="199"/>
      <c r="H497" s="197">
        <v>85161502</v>
      </c>
      <c r="I497" s="248" t="s">
        <v>583</v>
      </c>
      <c r="J497" s="187">
        <v>3</v>
      </c>
      <c r="K497" s="187">
        <v>3</v>
      </c>
      <c r="L497" s="187">
        <v>3</v>
      </c>
      <c r="M497" s="172">
        <f t="shared" si="78"/>
        <v>1</v>
      </c>
      <c r="N497" s="180" t="s">
        <v>48</v>
      </c>
      <c r="O497" s="181" t="s">
        <v>49</v>
      </c>
      <c r="P497" s="249">
        <v>1</v>
      </c>
      <c r="Q497" s="183">
        <f t="shared" si="79"/>
        <v>13800700</v>
      </c>
      <c r="R497" s="183">
        <f t="shared" si="80"/>
        <v>13800700</v>
      </c>
      <c r="S497" s="250" t="s">
        <v>223</v>
      </c>
      <c r="T497" s="249">
        <f t="shared" si="87"/>
        <v>0</v>
      </c>
      <c r="U497" s="185" t="str">
        <f t="shared" si="81"/>
        <v>SUBDIRECCION DE GESTION CONTRACTUAL</v>
      </c>
      <c r="V497" s="249" t="s">
        <v>39</v>
      </c>
      <c r="W497" s="249" t="s">
        <v>38</v>
      </c>
      <c r="X497" s="197" t="s">
        <v>676</v>
      </c>
      <c r="Y497" s="187">
        <v>2427400</v>
      </c>
      <c r="Z497" s="201" t="s">
        <v>168</v>
      </c>
      <c r="AA497" s="252"/>
      <c r="AB497" s="252"/>
      <c r="AC497" s="252"/>
      <c r="AD497" s="252"/>
      <c r="AE497" s="252"/>
      <c r="AF497" s="252"/>
      <c r="AG497" s="252"/>
      <c r="AH497" s="252"/>
      <c r="AI497" s="252"/>
      <c r="AJ497" s="252"/>
      <c r="AK497" s="252"/>
      <c r="AL497" s="252"/>
      <c r="AM497" s="252"/>
      <c r="AN497" s="252"/>
      <c r="AO497" s="252"/>
      <c r="AP497" s="252"/>
      <c r="AQ497" s="252"/>
      <c r="AR497" s="252"/>
      <c r="AS497" s="252"/>
      <c r="AT497" s="252"/>
      <c r="AU497" s="195"/>
      <c r="AV497" s="195"/>
      <c r="AW497" s="195"/>
      <c r="AX497" s="195"/>
      <c r="AY497" s="195"/>
      <c r="AZ497" s="195"/>
      <c r="BA497" s="195"/>
      <c r="BB497" s="195"/>
      <c r="BC497" s="195"/>
      <c r="BD497" s="195"/>
      <c r="BE497" s="195"/>
      <c r="BF497" s="195"/>
      <c r="BG497" s="195"/>
      <c r="BH497" s="195"/>
      <c r="BI497" s="195"/>
      <c r="BJ497" s="195"/>
      <c r="BK497" s="195"/>
      <c r="BL497" s="195"/>
      <c r="BM497" s="195"/>
      <c r="BN497" s="195"/>
      <c r="BO497" s="195"/>
      <c r="BP497" s="195"/>
      <c r="BQ497" s="195"/>
      <c r="BR497" s="195"/>
      <c r="BS497" s="195"/>
      <c r="BT497" s="195"/>
      <c r="BU497" s="195"/>
      <c r="BV497" s="195"/>
      <c r="BW497" s="195"/>
      <c r="BX497" s="195"/>
      <c r="BY497" s="195"/>
      <c r="BZ497" s="195"/>
      <c r="CA497" s="195"/>
      <c r="CB497" s="195"/>
      <c r="CC497" s="195"/>
      <c r="CD497" s="195"/>
      <c r="CE497" s="195"/>
      <c r="CF497" s="195"/>
      <c r="CG497" s="256"/>
    </row>
    <row r="498" spans="1:85" s="254" customFormat="1" ht="13.9" customHeight="1" x14ac:dyDescent="0.2">
      <c r="A498" s="255" t="s">
        <v>162</v>
      </c>
      <c r="B498" s="187">
        <v>9</v>
      </c>
      <c r="C498" s="248" t="s">
        <v>165</v>
      </c>
      <c r="D498" s="197" t="s">
        <v>577</v>
      </c>
      <c r="E498" s="199"/>
      <c r="F498" s="199">
        <v>13000000</v>
      </c>
      <c r="G498" s="199"/>
      <c r="H498" s="197">
        <v>85122201</v>
      </c>
      <c r="I498" s="248" t="s">
        <v>584</v>
      </c>
      <c r="J498" s="187">
        <v>6</v>
      </c>
      <c r="K498" s="187">
        <v>6</v>
      </c>
      <c r="L498" s="187">
        <v>5</v>
      </c>
      <c r="M498" s="172">
        <f t="shared" si="78"/>
        <v>1</v>
      </c>
      <c r="N498" s="180" t="s">
        <v>48</v>
      </c>
      <c r="O498" s="181" t="s">
        <v>49</v>
      </c>
      <c r="P498" s="249">
        <v>1</v>
      </c>
      <c r="Q498" s="183">
        <f t="shared" si="79"/>
        <v>13000000</v>
      </c>
      <c r="R498" s="183">
        <f t="shared" si="80"/>
        <v>13000000</v>
      </c>
      <c r="S498" s="250" t="s">
        <v>223</v>
      </c>
      <c r="T498" s="249">
        <f t="shared" si="87"/>
        <v>0</v>
      </c>
      <c r="U498" s="185" t="str">
        <f t="shared" si="81"/>
        <v>SUBDIRECCION DE GESTION CONTRACTUAL</v>
      </c>
      <c r="V498" s="249" t="s">
        <v>39</v>
      </c>
      <c r="W498" s="249" t="s">
        <v>38</v>
      </c>
      <c r="X498" s="197" t="s">
        <v>676</v>
      </c>
      <c r="Y498" s="187">
        <v>2427400</v>
      </c>
      <c r="Z498" s="201" t="s">
        <v>168</v>
      </c>
      <c r="AA498" s="252"/>
      <c r="AB498" s="252"/>
      <c r="AC498" s="252"/>
      <c r="AD498" s="252"/>
      <c r="AE498" s="252"/>
      <c r="AF498" s="252"/>
      <c r="AG498" s="252"/>
      <c r="AH498" s="252"/>
      <c r="AI498" s="252"/>
      <c r="AJ498" s="252"/>
      <c r="AK498" s="252"/>
      <c r="AL498" s="252"/>
      <c r="AM498" s="252"/>
      <c r="AN498" s="252"/>
      <c r="AO498" s="252"/>
      <c r="AP498" s="252"/>
      <c r="AQ498" s="252"/>
      <c r="AR498" s="252"/>
      <c r="AS498" s="252"/>
      <c r="AT498" s="252"/>
      <c r="AU498" s="195"/>
      <c r="AV498" s="195"/>
      <c r="AW498" s="195"/>
      <c r="AX498" s="195"/>
      <c r="AY498" s="195"/>
      <c r="AZ498" s="195"/>
      <c r="BA498" s="195"/>
      <c r="BB498" s="195"/>
      <c r="BC498" s="195"/>
      <c r="BD498" s="195"/>
      <c r="BE498" s="195"/>
      <c r="BF498" s="195"/>
      <c r="BG498" s="195"/>
      <c r="BH498" s="195"/>
      <c r="BI498" s="195"/>
      <c r="BJ498" s="195"/>
      <c r="BK498" s="195"/>
      <c r="BL498" s="195"/>
      <c r="BM498" s="195"/>
      <c r="BN498" s="195"/>
      <c r="BO498" s="195"/>
      <c r="BP498" s="195"/>
      <c r="BQ498" s="195"/>
      <c r="BR498" s="195"/>
      <c r="BS498" s="195"/>
      <c r="BT498" s="195"/>
      <c r="BU498" s="195"/>
      <c r="BV498" s="195"/>
      <c r="BW498" s="195"/>
      <c r="BX498" s="195"/>
      <c r="BY498" s="195"/>
      <c r="BZ498" s="195"/>
      <c r="CA498" s="195"/>
      <c r="CB498" s="195"/>
      <c r="CC498" s="195"/>
      <c r="CD498" s="195"/>
      <c r="CE498" s="195"/>
      <c r="CF498" s="195"/>
      <c r="CG498" s="256"/>
    </row>
    <row r="499" spans="1:85" s="254" customFormat="1" ht="13.9" customHeight="1" x14ac:dyDescent="0.2">
      <c r="A499" s="255" t="s">
        <v>162</v>
      </c>
      <c r="B499" s="187">
        <v>10</v>
      </c>
      <c r="C499" s="248" t="s">
        <v>165</v>
      </c>
      <c r="D499" s="197" t="s">
        <v>166</v>
      </c>
      <c r="E499" s="199"/>
      <c r="F499" s="199">
        <v>38262898</v>
      </c>
      <c r="G499" s="199"/>
      <c r="H499" s="197">
        <v>86111604</v>
      </c>
      <c r="I499" s="248" t="s">
        <v>585</v>
      </c>
      <c r="J499" s="187">
        <v>2</v>
      </c>
      <c r="K499" s="187">
        <v>4</v>
      </c>
      <c r="L499" s="187">
        <v>8</v>
      </c>
      <c r="M499" s="172">
        <f t="shared" si="78"/>
        <v>1</v>
      </c>
      <c r="N499" s="180" t="s">
        <v>48</v>
      </c>
      <c r="O499" s="181" t="s">
        <v>49</v>
      </c>
      <c r="P499" s="249">
        <v>1</v>
      </c>
      <c r="Q499" s="183">
        <f t="shared" si="79"/>
        <v>38262898</v>
      </c>
      <c r="R499" s="183">
        <f t="shared" si="80"/>
        <v>38262898</v>
      </c>
      <c r="S499" s="250" t="s">
        <v>223</v>
      </c>
      <c r="T499" s="249">
        <f t="shared" si="87"/>
        <v>0</v>
      </c>
      <c r="U499" s="185" t="str">
        <f t="shared" si="81"/>
        <v>SUBDIRECCION DE GESTION CONTRACTUAL</v>
      </c>
      <c r="V499" s="249" t="s">
        <v>39</v>
      </c>
      <c r="W499" s="249" t="s">
        <v>38</v>
      </c>
      <c r="X499" s="197" t="s">
        <v>675</v>
      </c>
      <c r="Y499" s="187">
        <v>2427400</v>
      </c>
      <c r="Z499" s="201" t="s">
        <v>116</v>
      </c>
      <c r="AA499" s="252"/>
      <c r="AB499" s="252"/>
      <c r="AC499" s="252"/>
      <c r="AD499" s="252"/>
      <c r="AE499" s="252"/>
      <c r="AF499" s="252"/>
      <c r="AG499" s="252"/>
      <c r="AH499" s="252"/>
      <c r="AI499" s="252"/>
      <c r="AJ499" s="252"/>
      <c r="AK499" s="252"/>
      <c r="AL499" s="252"/>
      <c r="AM499" s="252"/>
      <c r="AN499" s="252"/>
      <c r="AO499" s="252"/>
      <c r="AP499" s="252"/>
      <c r="AQ499" s="252"/>
      <c r="AR499" s="252"/>
      <c r="AS499" s="252"/>
      <c r="AT499" s="252"/>
      <c r="AU499" s="195"/>
      <c r="AV499" s="195"/>
      <c r="AW499" s="195"/>
      <c r="AX499" s="195"/>
      <c r="AY499" s="195"/>
      <c r="AZ499" s="195"/>
      <c r="BA499" s="195"/>
      <c r="BB499" s="195"/>
      <c r="BC499" s="195"/>
      <c r="BD499" s="195"/>
      <c r="BE499" s="195"/>
      <c r="BF499" s="195"/>
      <c r="BG499" s="195"/>
      <c r="BH499" s="195"/>
      <c r="BI499" s="195"/>
      <c r="BJ499" s="195"/>
      <c r="BK499" s="195"/>
      <c r="BL499" s="195"/>
      <c r="BM499" s="195"/>
      <c r="BN499" s="195"/>
      <c r="BO499" s="195"/>
      <c r="BP499" s="195"/>
      <c r="BQ499" s="195"/>
      <c r="BR499" s="195"/>
      <c r="BS499" s="195"/>
      <c r="BT499" s="195"/>
      <c r="BU499" s="195"/>
      <c r="BV499" s="195"/>
      <c r="BW499" s="195"/>
      <c r="BX499" s="195"/>
      <c r="BY499" s="195"/>
      <c r="BZ499" s="195"/>
      <c r="CA499" s="195"/>
      <c r="CB499" s="195"/>
      <c r="CC499" s="195"/>
      <c r="CD499" s="195"/>
      <c r="CE499" s="195"/>
      <c r="CF499" s="195"/>
      <c r="CG499" s="256"/>
    </row>
    <row r="500" spans="1:85" s="254" customFormat="1" ht="13.9" customHeight="1" x14ac:dyDescent="0.2">
      <c r="A500" s="255" t="s">
        <v>162</v>
      </c>
      <c r="B500" s="187">
        <v>11</v>
      </c>
      <c r="C500" s="248" t="s">
        <v>165</v>
      </c>
      <c r="D500" s="197" t="s">
        <v>166</v>
      </c>
      <c r="E500" s="199"/>
      <c r="F500" s="199">
        <v>89280096</v>
      </c>
      <c r="G500" s="199"/>
      <c r="H500" s="197">
        <v>86111604</v>
      </c>
      <c r="I500" s="248" t="s">
        <v>586</v>
      </c>
      <c r="J500" s="187">
        <v>3</v>
      </c>
      <c r="K500" s="187">
        <v>4</v>
      </c>
      <c r="L500" s="187">
        <v>8</v>
      </c>
      <c r="M500" s="172">
        <f t="shared" si="78"/>
        <v>1</v>
      </c>
      <c r="N500" s="180" t="s">
        <v>36</v>
      </c>
      <c r="O500" s="181" t="s">
        <v>285</v>
      </c>
      <c r="P500" s="249">
        <v>1</v>
      </c>
      <c r="Q500" s="183">
        <f t="shared" si="79"/>
        <v>89280096</v>
      </c>
      <c r="R500" s="183">
        <f t="shared" si="80"/>
        <v>89280096</v>
      </c>
      <c r="S500" s="250" t="s">
        <v>223</v>
      </c>
      <c r="T500" s="249">
        <f t="shared" si="87"/>
        <v>0</v>
      </c>
      <c r="U500" s="185" t="str">
        <f t="shared" si="81"/>
        <v>SUBDIRECCION DE GESTION CONTRACTUAL</v>
      </c>
      <c r="V500" s="249" t="s">
        <v>39</v>
      </c>
      <c r="W500" s="249" t="s">
        <v>38</v>
      </c>
      <c r="X500" s="197" t="s">
        <v>675</v>
      </c>
      <c r="Y500" s="187">
        <v>2427400</v>
      </c>
      <c r="Z500" s="201" t="s">
        <v>116</v>
      </c>
      <c r="AA500" s="252"/>
      <c r="AB500" s="252"/>
      <c r="AC500" s="252"/>
      <c r="AD500" s="252"/>
      <c r="AE500" s="252"/>
      <c r="AF500" s="252"/>
      <c r="AG500" s="252"/>
      <c r="AH500" s="252"/>
      <c r="AI500" s="252"/>
      <c r="AJ500" s="252"/>
      <c r="AK500" s="252"/>
      <c r="AL500" s="252"/>
      <c r="AM500" s="252"/>
      <c r="AN500" s="252"/>
      <c r="AO500" s="252"/>
      <c r="AP500" s="252"/>
      <c r="AQ500" s="252"/>
      <c r="AR500" s="252"/>
      <c r="AS500" s="252"/>
      <c r="AT500" s="252"/>
      <c r="AU500" s="195"/>
      <c r="AV500" s="195"/>
      <c r="AW500" s="195"/>
      <c r="AX500" s="195"/>
      <c r="AY500" s="195"/>
      <c r="AZ500" s="195"/>
      <c r="BA500" s="195"/>
      <c r="BB500" s="195"/>
      <c r="BC500" s="195"/>
      <c r="BD500" s="195"/>
      <c r="BE500" s="195"/>
      <c r="BF500" s="195"/>
      <c r="BG500" s="195"/>
      <c r="BH500" s="195"/>
      <c r="BI500" s="195"/>
      <c r="BJ500" s="195"/>
      <c r="BK500" s="195"/>
      <c r="BL500" s="195"/>
      <c r="BM500" s="195"/>
      <c r="BN500" s="195"/>
      <c r="BO500" s="195"/>
      <c r="BP500" s="195"/>
      <c r="BQ500" s="195"/>
      <c r="BR500" s="195"/>
      <c r="BS500" s="195"/>
      <c r="BT500" s="195"/>
      <c r="BU500" s="195"/>
      <c r="BV500" s="195"/>
      <c r="BW500" s="195"/>
      <c r="BX500" s="195"/>
      <c r="BY500" s="195"/>
      <c r="BZ500" s="195"/>
      <c r="CA500" s="195"/>
      <c r="CB500" s="195"/>
      <c r="CC500" s="195"/>
      <c r="CD500" s="195"/>
      <c r="CE500" s="195"/>
      <c r="CF500" s="195"/>
      <c r="CG500" s="256"/>
    </row>
    <row r="501" spans="1:85" s="254" customFormat="1" ht="13.9" customHeight="1" x14ac:dyDescent="0.2">
      <c r="A501" s="255" t="s">
        <v>162</v>
      </c>
      <c r="B501" s="187">
        <v>12</v>
      </c>
      <c r="C501" s="248" t="s">
        <v>165</v>
      </c>
      <c r="D501" s="197" t="s">
        <v>167</v>
      </c>
      <c r="E501" s="199"/>
      <c r="F501" s="199">
        <v>211356248</v>
      </c>
      <c r="G501" s="199"/>
      <c r="H501" s="197">
        <v>93141506</v>
      </c>
      <c r="I501" s="248" t="s">
        <v>587</v>
      </c>
      <c r="J501" s="187">
        <v>4</v>
      </c>
      <c r="K501" s="187">
        <v>4</v>
      </c>
      <c r="L501" s="187">
        <v>8</v>
      </c>
      <c r="M501" s="172">
        <f t="shared" si="78"/>
        <v>1</v>
      </c>
      <c r="N501" s="180" t="s">
        <v>36</v>
      </c>
      <c r="O501" s="181" t="s">
        <v>285</v>
      </c>
      <c r="P501" s="249">
        <v>1</v>
      </c>
      <c r="Q501" s="183">
        <f t="shared" si="79"/>
        <v>211356248</v>
      </c>
      <c r="R501" s="183">
        <f t="shared" si="80"/>
        <v>211356248</v>
      </c>
      <c r="S501" s="250" t="s">
        <v>223</v>
      </c>
      <c r="T501" s="249">
        <f t="shared" si="87"/>
        <v>0</v>
      </c>
      <c r="U501" s="185" t="str">
        <f t="shared" si="81"/>
        <v>SUBDIRECCION DE GESTION CONTRACTUAL</v>
      </c>
      <c r="V501" s="249" t="s">
        <v>39</v>
      </c>
      <c r="W501" s="249" t="s">
        <v>38</v>
      </c>
      <c r="X501" s="197" t="s">
        <v>675</v>
      </c>
      <c r="Y501" s="187">
        <v>2427400</v>
      </c>
      <c r="Z501" s="201" t="s">
        <v>116</v>
      </c>
      <c r="AA501" s="252"/>
      <c r="AB501" s="252"/>
      <c r="AC501" s="252"/>
      <c r="AD501" s="252"/>
      <c r="AE501" s="252"/>
      <c r="AF501" s="252"/>
      <c r="AG501" s="252"/>
      <c r="AH501" s="252"/>
      <c r="AI501" s="252"/>
      <c r="AJ501" s="252"/>
      <c r="AK501" s="252"/>
      <c r="AL501" s="252"/>
      <c r="AM501" s="252"/>
      <c r="AN501" s="252"/>
      <c r="AO501" s="252"/>
      <c r="AP501" s="252"/>
      <c r="AQ501" s="252"/>
      <c r="AR501" s="252"/>
      <c r="AS501" s="252"/>
      <c r="AT501" s="252"/>
      <c r="AU501" s="195"/>
      <c r="AV501" s="195"/>
      <c r="AW501" s="195"/>
      <c r="AX501" s="195"/>
      <c r="AY501" s="195"/>
      <c r="AZ501" s="195"/>
      <c r="BA501" s="195"/>
      <c r="BB501" s="195"/>
      <c r="BC501" s="195"/>
      <c r="BD501" s="195"/>
      <c r="BE501" s="195"/>
      <c r="BF501" s="195"/>
      <c r="BG501" s="195"/>
      <c r="BH501" s="195"/>
      <c r="BI501" s="195"/>
      <c r="BJ501" s="195"/>
      <c r="BK501" s="195"/>
      <c r="BL501" s="195"/>
      <c r="BM501" s="195"/>
      <c r="BN501" s="195"/>
      <c r="BO501" s="195"/>
      <c r="BP501" s="195"/>
      <c r="BQ501" s="195"/>
      <c r="BR501" s="195"/>
      <c r="BS501" s="195"/>
      <c r="BT501" s="195"/>
      <c r="BU501" s="195"/>
      <c r="BV501" s="195"/>
      <c r="BW501" s="195"/>
      <c r="BX501" s="195"/>
      <c r="BY501" s="195"/>
      <c r="BZ501" s="195"/>
      <c r="CA501" s="195"/>
      <c r="CB501" s="195"/>
      <c r="CC501" s="195"/>
      <c r="CD501" s="195"/>
      <c r="CE501" s="195"/>
      <c r="CF501" s="195"/>
      <c r="CG501" s="256"/>
    </row>
    <row r="502" spans="1:85" s="254" customFormat="1" ht="13.9" customHeight="1" x14ac:dyDescent="0.2">
      <c r="A502" s="255" t="s">
        <v>162</v>
      </c>
      <c r="B502" s="187">
        <v>13</v>
      </c>
      <c r="C502" s="248" t="s">
        <v>588</v>
      </c>
      <c r="D502" s="197" t="s">
        <v>65</v>
      </c>
      <c r="E502" s="199"/>
      <c r="F502" s="199">
        <v>487520379</v>
      </c>
      <c r="G502" s="199"/>
      <c r="H502" s="175" t="s">
        <v>42</v>
      </c>
      <c r="I502" s="248" t="s">
        <v>589</v>
      </c>
      <c r="J502" s="177">
        <v>3</v>
      </c>
      <c r="K502" s="178">
        <v>4</v>
      </c>
      <c r="L502" s="179">
        <v>9</v>
      </c>
      <c r="M502" s="172">
        <f t="shared" si="78"/>
        <v>1</v>
      </c>
      <c r="N502" s="180" t="s">
        <v>61</v>
      </c>
      <c r="O502" s="181" t="str">
        <f>IF(ISBLANK(N502),"",VLOOKUP(N502,[16]Parámetros!$G$2:$H$23,2,FALSE))</f>
        <v>Contratación régimen especial - Selección de comisionista</v>
      </c>
      <c r="P502" s="249">
        <v>1</v>
      </c>
      <c r="Q502" s="183">
        <f t="shared" si="79"/>
        <v>487520379</v>
      </c>
      <c r="R502" s="183">
        <f t="shared" si="80"/>
        <v>487520379</v>
      </c>
      <c r="S502" s="250" t="s">
        <v>223</v>
      </c>
      <c r="T502" s="249">
        <f t="shared" si="87"/>
        <v>0</v>
      </c>
      <c r="U502" s="185" t="str">
        <f t="shared" si="81"/>
        <v>SUBDIRECCION DE GESTION CONTRACTUAL</v>
      </c>
      <c r="V502" s="172" t="str">
        <f t="shared" ref="V502:V533" si="88">IF(ISBLANK(N502),"","CO-DC")</f>
        <v>CO-DC</v>
      </c>
      <c r="W502" s="185" t="str">
        <f t="shared" ref="W502:W533" si="89">IF(ISBLANK(N502),"","Distrito Capital de Bogotá")</f>
        <v>Distrito Capital de Bogotá</v>
      </c>
      <c r="X502" s="186" t="s">
        <v>359</v>
      </c>
      <c r="Y502" s="187">
        <v>2427400</v>
      </c>
      <c r="Z502" s="201" t="s">
        <v>75</v>
      </c>
      <c r="AA502" s="252"/>
      <c r="AB502" s="252"/>
      <c r="AC502" s="252"/>
      <c r="AD502" s="252"/>
      <c r="AE502" s="252"/>
      <c r="AF502" s="252"/>
      <c r="AG502" s="252"/>
      <c r="AH502" s="252"/>
      <c r="AI502" s="252"/>
      <c r="AJ502" s="252"/>
      <c r="AK502" s="252"/>
      <c r="AL502" s="252"/>
      <c r="AM502" s="252"/>
      <c r="AN502" s="252"/>
      <c r="AO502" s="252"/>
      <c r="AP502" s="252"/>
      <c r="AQ502" s="252"/>
      <c r="AR502" s="252"/>
      <c r="AS502" s="252"/>
      <c r="AT502" s="252"/>
      <c r="AU502" s="195"/>
      <c r="AV502" s="195"/>
      <c r="AW502" s="195"/>
      <c r="AX502" s="195"/>
      <c r="AY502" s="195"/>
      <c r="AZ502" s="195"/>
      <c r="BA502" s="195"/>
      <c r="BB502" s="195"/>
      <c r="BC502" s="195"/>
      <c r="BD502" s="195"/>
      <c r="BE502" s="195"/>
      <c r="BF502" s="195"/>
      <c r="BG502" s="195"/>
      <c r="BH502" s="195"/>
      <c r="BI502" s="195"/>
      <c r="BJ502" s="195"/>
      <c r="BK502" s="195"/>
      <c r="BL502" s="195"/>
      <c r="BM502" s="195"/>
      <c r="BN502" s="195"/>
      <c r="BO502" s="195"/>
      <c r="BP502" s="195"/>
      <c r="BQ502" s="195"/>
      <c r="BR502" s="195"/>
      <c r="BS502" s="195"/>
      <c r="BT502" s="195"/>
      <c r="BU502" s="195"/>
      <c r="BV502" s="195"/>
      <c r="BW502" s="195"/>
      <c r="BX502" s="195"/>
      <c r="BY502" s="195"/>
      <c r="BZ502" s="195"/>
      <c r="CA502" s="195"/>
      <c r="CB502" s="195"/>
      <c r="CC502" s="195"/>
      <c r="CD502" s="195"/>
      <c r="CE502" s="195"/>
      <c r="CF502" s="195"/>
      <c r="CG502" s="256"/>
    </row>
    <row r="503" spans="1:85" s="254" customFormat="1" ht="13.9" customHeight="1" x14ac:dyDescent="0.2">
      <c r="A503" s="255" t="s">
        <v>158</v>
      </c>
      <c r="B503" s="187">
        <v>1</v>
      </c>
      <c r="C503" s="248" t="s">
        <v>622</v>
      </c>
      <c r="D503" s="197" t="s">
        <v>159</v>
      </c>
      <c r="E503" s="199"/>
      <c r="F503" s="199">
        <v>3707485959</v>
      </c>
      <c r="G503" s="199"/>
      <c r="H503" s="197" t="s">
        <v>798</v>
      </c>
      <c r="I503" s="248" t="s">
        <v>590</v>
      </c>
      <c r="J503" s="187">
        <v>1</v>
      </c>
      <c r="K503" s="187">
        <v>1</v>
      </c>
      <c r="L503" s="187">
        <v>12</v>
      </c>
      <c r="M503" s="172">
        <f t="shared" si="78"/>
        <v>1</v>
      </c>
      <c r="N503" s="180" t="s">
        <v>36</v>
      </c>
      <c r="O503" s="181" t="str">
        <f>IF(ISBLANK(N503),"",VLOOKUP(N503,[17]Parámetros!$G$2:$H$23,2,FALSE))</f>
        <v xml:space="preserve">Contratación directa (con ofertas) </v>
      </c>
      <c r="P503" s="249">
        <f t="shared" ref="P503:P534" si="90">IF(ISBLANK(N503),"",1)</f>
        <v>1</v>
      </c>
      <c r="Q503" s="183">
        <f t="shared" si="79"/>
        <v>3707485959</v>
      </c>
      <c r="R503" s="183">
        <f t="shared" si="80"/>
        <v>3707485959</v>
      </c>
      <c r="S503" s="250" t="s">
        <v>223</v>
      </c>
      <c r="T503" s="249">
        <f t="shared" si="87"/>
        <v>0</v>
      </c>
      <c r="U503" s="185" t="str">
        <f t="shared" si="81"/>
        <v>SUBDIRECCION DE GESTION CONTRACTUAL</v>
      </c>
      <c r="V503" s="249" t="str">
        <f t="shared" si="88"/>
        <v>CO-DC</v>
      </c>
      <c r="W503" s="249" t="str">
        <f t="shared" si="89"/>
        <v>Distrito Capital de Bogotá</v>
      </c>
      <c r="X503" s="197" t="s">
        <v>591</v>
      </c>
      <c r="Y503" s="187">
        <v>2427400</v>
      </c>
      <c r="Z503" s="201" t="s">
        <v>160</v>
      </c>
      <c r="AA503" s="252"/>
      <c r="AB503" s="252"/>
      <c r="AC503" s="252"/>
      <c r="AD503" s="252"/>
      <c r="AE503" s="252"/>
      <c r="AF503" s="252"/>
      <c r="AG503" s="252"/>
      <c r="AH503" s="252"/>
      <c r="AI503" s="252"/>
      <c r="AJ503" s="252"/>
      <c r="AK503" s="252"/>
      <c r="AL503" s="252"/>
      <c r="AM503" s="252"/>
      <c r="AN503" s="252"/>
      <c r="AO503" s="252"/>
      <c r="AP503" s="252"/>
      <c r="AQ503" s="252"/>
      <c r="AR503" s="252"/>
      <c r="AS503" s="252"/>
      <c r="AT503" s="252"/>
      <c r="AU503" s="195"/>
      <c r="AV503" s="195"/>
      <c r="AW503" s="195"/>
      <c r="AX503" s="195"/>
      <c r="AY503" s="195"/>
      <c r="AZ503" s="195"/>
      <c r="BA503" s="195"/>
      <c r="BB503" s="195"/>
      <c r="BC503" s="195"/>
      <c r="BD503" s="195"/>
      <c r="BE503" s="195"/>
      <c r="BF503" s="195"/>
      <c r="BG503" s="195"/>
      <c r="BH503" s="195"/>
      <c r="BI503" s="195"/>
      <c r="BJ503" s="195"/>
      <c r="BK503" s="195"/>
      <c r="BL503" s="195"/>
      <c r="BM503" s="195"/>
      <c r="BN503" s="195"/>
      <c r="BO503" s="195"/>
      <c r="BP503" s="195"/>
      <c r="BQ503" s="195"/>
      <c r="BR503" s="195"/>
      <c r="BS503" s="195"/>
      <c r="BT503" s="195"/>
      <c r="BU503" s="195"/>
      <c r="BV503" s="195"/>
      <c r="BW503" s="195"/>
      <c r="BX503" s="195"/>
      <c r="BY503" s="195"/>
      <c r="BZ503" s="195"/>
      <c r="CA503" s="195"/>
      <c r="CB503" s="195"/>
      <c r="CC503" s="195"/>
      <c r="CD503" s="195"/>
      <c r="CE503" s="195"/>
      <c r="CF503" s="195"/>
      <c r="CG503" s="256"/>
    </row>
    <row r="504" spans="1:85" s="254" customFormat="1" ht="13.9" customHeight="1" x14ac:dyDescent="0.2">
      <c r="A504" s="255" t="s">
        <v>158</v>
      </c>
      <c r="B504" s="187">
        <v>2</v>
      </c>
      <c r="C504" s="248" t="s">
        <v>622</v>
      </c>
      <c r="D504" s="197" t="s">
        <v>159</v>
      </c>
      <c r="E504" s="199"/>
      <c r="F504" s="199">
        <v>4613461369</v>
      </c>
      <c r="G504" s="199"/>
      <c r="H504" s="197">
        <v>45121500</v>
      </c>
      <c r="I504" s="248" t="s">
        <v>592</v>
      </c>
      <c r="J504" s="187">
        <v>1</v>
      </c>
      <c r="K504" s="187">
        <v>1</v>
      </c>
      <c r="L504" s="187">
        <v>12</v>
      </c>
      <c r="M504" s="172">
        <f t="shared" si="78"/>
        <v>1</v>
      </c>
      <c r="N504" s="180" t="s">
        <v>36</v>
      </c>
      <c r="O504" s="181" t="str">
        <f>IF(ISBLANK(N504),"",VLOOKUP(N504,[17]Parámetros!$G$2:$H$23,2,FALSE))</f>
        <v xml:space="preserve">Contratación directa (con ofertas) </v>
      </c>
      <c r="P504" s="249">
        <f t="shared" si="90"/>
        <v>1</v>
      </c>
      <c r="Q504" s="183">
        <f t="shared" si="79"/>
        <v>4613461369</v>
      </c>
      <c r="R504" s="183">
        <f t="shared" si="80"/>
        <v>4613461369</v>
      </c>
      <c r="S504" s="250" t="s">
        <v>223</v>
      </c>
      <c r="T504" s="249">
        <f t="shared" si="87"/>
        <v>0</v>
      </c>
      <c r="U504" s="185" t="str">
        <f t="shared" si="81"/>
        <v>SUBDIRECCION DE GESTION CONTRACTUAL</v>
      </c>
      <c r="V504" s="249" t="str">
        <f t="shared" si="88"/>
        <v>CO-DC</v>
      </c>
      <c r="W504" s="249" t="str">
        <f t="shared" si="89"/>
        <v>Distrito Capital de Bogotá</v>
      </c>
      <c r="X504" s="197" t="s">
        <v>591</v>
      </c>
      <c r="Y504" s="187">
        <v>2427400</v>
      </c>
      <c r="Z504" s="201" t="s">
        <v>160</v>
      </c>
      <c r="AA504" s="252"/>
      <c r="AB504" s="252"/>
      <c r="AC504" s="252"/>
      <c r="AD504" s="252"/>
      <c r="AE504" s="252"/>
      <c r="AF504" s="252"/>
      <c r="AG504" s="252"/>
      <c r="AH504" s="252"/>
      <c r="AI504" s="252"/>
      <c r="AJ504" s="252"/>
      <c r="AK504" s="252"/>
      <c r="AL504" s="252"/>
      <c r="AM504" s="252"/>
      <c r="AN504" s="252"/>
      <c r="AO504" s="252"/>
      <c r="AP504" s="252"/>
      <c r="AQ504" s="252"/>
      <c r="AR504" s="252"/>
      <c r="AS504" s="252"/>
      <c r="AT504" s="252"/>
      <c r="AU504" s="195"/>
      <c r="AV504" s="195"/>
      <c r="AW504" s="195"/>
      <c r="AX504" s="195"/>
      <c r="AY504" s="195"/>
      <c r="AZ504" s="195"/>
      <c r="BA504" s="195"/>
      <c r="BB504" s="195"/>
      <c r="BC504" s="195"/>
      <c r="BD504" s="195"/>
      <c r="BE504" s="195"/>
      <c r="BF504" s="195"/>
      <c r="BG504" s="195"/>
      <c r="BH504" s="195"/>
      <c r="BI504" s="195"/>
      <c r="BJ504" s="195"/>
      <c r="BK504" s="195"/>
      <c r="BL504" s="195"/>
      <c r="BM504" s="195"/>
      <c r="BN504" s="195"/>
      <c r="BO504" s="195"/>
      <c r="BP504" s="195"/>
      <c r="BQ504" s="195"/>
      <c r="BR504" s="195"/>
      <c r="BS504" s="195"/>
      <c r="BT504" s="195"/>
      <c r="BU504" s="195"/>
      <c r="BV504" s="195"/>
      <c r="BW504" s="195"/>
      <c r="BX504" s="195"/>
      <c r="BY504" s="195"/>
      <c r="BZ504" s="195"/>
      <c r="CA504" s="195"/>
      <c r="CB504" s="195"/>
      <c r="CC504" s="195"/>
      <c r="CD504" s="195"/>
      <c r="CE504" s="195"/>
      <c r="CF504" s="195"/>
      <c r="CG504" s="256"/>
    </row>
    <row r="505" spans="1:85" s="254" customFormat="1" ht="13.9" customHeight="1" x14ac:dyDescent="0.2">
      <c r="A505" s="255" t="s">
        <v>158</v>
      </c>
      <c r="B505" s="187">
        <v>3</v>
      </c>
      <c r="C505" s="248" t="s">
        <v>622</v>
      </c>
      <c r="D505" s="197" t="s">
        <v>159</v>
      </c>
      <c r="E505" s="199"/>
      <c r="F505" s="199">
        <v>7993465398.3800001</v>
      </c>
      <c r="G505" s="199"/>
      <c r="H505" s="197" t="s">
        <v>798</v>
      </c>
      <c r="I505" s="248" t="s">
        <v>593</v>
      </c>
      <c r="J505" s="187">
        <v>1</v>
      </c>
      <c r="K505" s="187">
        <v>1</v>
      </c>
      <c r="L505" s="187">
        <v>12</v>
      </c>
      <c r="M505" s="172">
        <f t="shared" si="78"/>
        <v>1</v>
      </c>
      <c r="N505" s="180" t="s">
        <v>36</v>
      </c>
      <c r="O505" s="181" t="str">
        <f>IF(ISBLANK(N505),"",VLOOKUP(N505,[17]Parámetros!$G$2:$H$23,2,FALSE))</f>
        <v xml:space="preserve">Contratación directa (con ofertas) </v>
      </c>
      <c r="P505" s="249">
        <f t="shared" si="90"/>
        <v>1</v>
      </c>
      <c r="Q505" s="183">
        <f t="shared" si="79"/>
        <v>7993465398.3800001</v>
      </c>
      <c r="R505" s="183">
        <f t="shared" si="80"/>
        <v>7993465398.3800001</v>
      </c>
      <c r="S505" s="250" t="s">
        <v>223</v>
      </c>
      <c r="T505" s="249">
        <f t="shared" si="87"/>
        <v>0</v>
      </c>
      <c r="U505" s="185" t="str">
        <f t="shared" si="81"/>
        <v>SUBDIRECCION DE GESTION CONTRACTUAL</v>
      </c>
      <c r="V505" s="249" t="str">
        <f t="shared" si="88"/>
        <v>CO-DC</v>
      </c>
      <c r="W505" s="249" t="str">
        <f t="shared" si="89"/>
        <v>Distrito Capital de Bogotá</v>
      </c>
      <c r="X505" s="197" t="s">
        <v>591</v>
      </c>
      <c r="Y505" s="187">
        <v>2427400</v>
      </c>
      <c r="Z505" s="201" t="s">
        <v>160</v>
      </c>
      <c r="AA505" s="252"/>
      <c r="AB505" s="252"/>
      <c r="AC505" s="252"/>
      <c r="AD505" s="252"/>
      <c r="AE505" s="252"/>
      <c r="AF505" s="252"/>
      <c r="AG505" s="252"/>
      <c r="AH505" s="252"/>
      <c r="AI505" s="252"/>
      <c r="AJ505" s="252"/>
      <c r="AK505" s="252"/>
      <c r="AL505" s="252"/>
      <c r="AM505" s="252"/>
      <c r="AN505" s="252"/>
      <c r="AO505" s="252"/>
      <c r="AP505" s="252"/>
      <c r="AQ505" s="252"/>
      <c r="AR505" s="252"/>
      <c r="AS505" s="252"/>
      <c r="AT505" s="252"/>
      <c r="AU505" s="195"/>
      <c r="AV505" s="195"/>
      <c r="AW505" s="195"/>
      <c r="AX505" s="195"/>
      <c r="AY505" s="195"/>
      <c r="AZ505" s="195"/>
      <c r="BA505" s="195"/>
      <c r="BB505" s="195"/>
      <c r="BC505" s="195"/>
      <c r="BD505" s="195"/>
      <c r="BE505" s="195"/>
      <c r="BF505" s="195"/>
      <c r="BG505" s="195"/>
      <c r="BH505" s="195"/>
      <c r="BI505" s="195"/>
      <c r="BJ505" s="195"/>
      <c r="BK505" s="195"/>
      <c r="BL505" s="195"/>
      <c r="BM505" s="195"/>
      <c r="BN505" s="195"/>
      <c r="BO505" s="195"/>
      <c r="BP505" s="195"/>
      <c r="BQ505" s="195"/>
      <c r="BR505" s="195"/>
      <c r="BS505" s="195"/>
      <c r="BT505" s="195"/>
      <c r="BU505" s="195"/>
      <c r="BV505" s="195"/>
      <c r="BW505" s="195"/>
      <c r="BX505" s="195"/>
      <c r="BY505" s="195"/>
      <c r="BZ505" s="195"/>
      <c r="CA505" s="195"/>
      <c r="CB505" s="195"/>
      <c r="CC505" s="195"/>
      <c r="CD505" s="195"/>
      <c r="CE505" s="195"/>
      <c r="CF505" s="195"/>
      <c r="CG505" s="256"/>
    </row>
    <row r="506" spans="1:85" s="254" customFormat="1" ht="13.9" customHeight="1" x14ac:dyDescent="0.2">
      <c r="A506" s="255" t="s">
        <v>158</v>
      </c>
      <c r="B506" s="187">
        <v>4</v>
      </c>
      <c r="C506" s="248" t="s">
        <v>622</v>
      </c>
      <c r="D506" s="197" t="s">
        <v>159</v>
      </c>
      <c r="E506" s="199"/>
      <c r="F506" s="199">
        <v>4200003823</v>
      </c>
      <c r="G506" s="199"/>
      <c r="H506" s="197">
        <v>45121500</v>
      </c>
      <c r="I506" s="248" t="s">
        <v>594</v>
      </c>
      <c r="J506" s="187">
        <v>1</v>
      </c>
      <c r="K506" s="187">
        <v>1</v>
      </c>
      <c r="L506" s="187">
        <v>12</v>
      </c>
      <c r="M506" s="172">
        <f t="shared" si="78"/>
        <v>1</v>
      </c>
      <c r="N506" s="180" t="s">
        <v>36</v>
      </c>
      <c r="O506" s="181" t="str">
        <f>IF(ISBLANK(N506),"",VLOOKUP(N506,[17]Parámetros!$G$2:$H$23,2,FALSE))</f>
        <v xml:space="preserve">Contratación directa (con ofertas) </v>
      </c>
      <c r="P506" s="249">
        <f t="shared" si="90"/>
        <v>1</v>
      </c>
      <c r="Q506" s="183">
        <f t="shared" si="79"/>
        <v>4200003823</v>
      </c>
      <c r="R506" s="183">
        <f t="shared" si="80"/>
        <v>4200003823</v>
      </c>
      <c r="S506" s="250" t="s">
        <v>223</v>
      </c>
      <c r="T506" s="249">
        <f t="shared" si="87"/>
        <v>0</v>
      </c>
      <c r="U506" s="185" t="str">
        <f t="shared" si="81"/>
        <v>SUBDIRECCION DE GESTION CONTRACTUAL</v>
      </c>
      <c r="V506" s="249" t="str">
        <f t="shared" si="88"/>
        <v>CO-DC</v>
      </c>
      <c r="W506" s="249" t="str">
        <f t="shared" si="89"/>
        <v>Distrito Capital de Bogotá</v>
      </c>
      <c r="X506" s="197" t="s">
        <v>591</v>
      </c>
      <c r="Y506" s="187">
        <v>2427400</v>
      </c>
      <c r="Z506" s="201" t="s">
        <v>160</v>
      </c>
      <c r="AA506" s="252"/>
      <c r="AB506" s="252"/>
      <c r="AC506" s="252"/>
      <c r="AD506" s="252"/>
      <c r="AE506" s="252"/>
      <c r="AF506" s="252"/>
      <c r="AG506" s="252"/>
      <c r="AH506" s="252"/>
      <c r="AI506" s="252"/>
      <c r="AJ506" s="252"/>
      <c r="AK506" s="252"/>
      <c r="AL506" s="252"/>
      <c r="AM506" s="252"/>
      <c r="AN506" s="252"/>
      <c r="AO506" s="252"/>
      <c r="AP506" s="252"/>
      <c r="AQ506" s="252"/>
      <c r="AR506" s="252"/>
      <c r="AS506" s="252"/>
      <c r="AT506" s="252"/>
      <c r="AU506" s="195"/>
      <c r="AV506" s="195"/>
      <c r="AW506" s="195"/>
      <c r="AX506" s="195"/>
      <c r="AY506" s="195"/>
      <c r="AZ506" s="195"/>
      <c r="BA506" s="195"/>
      <c r="BB506" s="195"/>
      <c r="BC506" s="195"/>
      <c r="BD506" s="195"/>
      <c r="BE506" s="195"/>
      <c r="BF506" s="195"/>
      <c r="BG506" s="195"/>
      <c r="BH506" s="195"/>
      <c r="BI506" s="195"/>
      <c r="BJ506" s="195"/>
      <c r="BK506" s="195"/>
      <c r="BL506" s="195"/>
      <c r="BM506" s="195"/>
      <c r="BN506" s="195"/>
      <c r="BO506" s="195"/>
      <c r="BP506" s="195"/>
      <c r="BQ506" s="195"/>
      <c r="BR506" s="195"/>
      <c r="BS506" s="195"/>
      <c r="BT506" s="195"/>
      <c r="BU506" s="195"/>
      <c r="BV506" s="195"/>
      <c r="BW506" s="195"/>
      <c r="BX506" s="195"/>
      <c r="BY506" s="195"/>
      <c r="BZ506" s="195"/>
      <c r="CA506" s="195"/>
      <c r="CB506" s="195"/>
      <c r="CC506" s="195"/>
      <c r="CD506" s="195"/>
      <c r="CE506" s="195"/>
      <c r="CF506" s="195"/>
      <c r="CG506" s="256"/>
    </row>
    <row r="507" spans="1:85" s="254" customFormat="1" ht="13.9" customHeight="1" x14ac:dyDescent="0.2">
      <c r="A507" s="255" t="s">
        <v>158</v>
      </c>
      <c r="B507" s="187">
        <v>5</v>
      </c>
      <c r="C507" s="248" t="s">
        <v>622</v>
      </c>
      <c r="D507" s="197" t="s">
        <v>159</v>
      </c>
      <c r="E507" s="199"/>
      <c r="F507" s="199">
        <v>1906418842</v>
      </c>
      <c r="G507" s="199"/>
      <c r="H507" s="197" t="s">
        <v>794</v>
      </c>
      <c r="I507" s="248" t="s">
        <v>595</v>
      </c>
      <c r="J507" s="187">
        <v>1</v>
      </c>
      <c r="K507" s="187">
        <v>1</v>
      </c>
      <c r="L507" s="187">
        <v>12</v>
      </c>
      <c r="M507" s="172">
        <f t="shared" si="78"/>
        <v>1</v>
      </c>
      <c r="N507" s="180" t="s">
        <v>36</v>
      </c>
      <c r="O507" s="181" t="str">
        <f>IF(ISBLANK(N507),"",VLOOKUP(N507,[17]Parámetros!$G$2:$H$23,2,FALSE))</f>
        <v xml:space="preserve">Contratación directa (con ofertas) </v>
      </c>
      <c r="P507" s="249">
        <f t="shared" si="90"/>
        <v>1</v>
      </c>
      <c r="Q507" s="183">
        <f t="shared" si="79"/>
        <v>1906418842</v>
      </c>
      <c r="R507" s="183">
        <f t="shared" si="80"/>
        <v>1906418842</v>
      </c>
      <c r="S507" s="250" t="s">
        <v>223</v>
      </c>
      <c r="T507" s="249">
        <f t="shared" si="87"/>
        <v>0</v>
      </c>
      <c r="U507" s="185" t="str">
        <f t="shared" si="81"/>
        <v>SUBDIRECCION DE GESTION CONTRACTUAL</v>
      </c>
      <c r="V507" s="249" t="str">
        <f t="shared" si="88"/>
        <v>CO-DC</v>
      </c>
      <c r="W507" s="249" t="str">
        <f t="shared" si="89"/>
        <v>Distrito Capital de Bogotá</v>
      </c>
      <c r="X507" s="197" t="s">
        <v>591</v>
      </c>
      <c r="Y507" s="187">
        <v>2427400</v>
      </c>
      <c r="Z507" s="201" t="s">
        <v>160</v>
      </c>
      <c r="AA507" s="252"/>
      <c r="AB507" s="252"/>
      <c r="AC507" s="252"/>
      <c r="AD507" s="252"/>
      <c r="AE507" s="252"/>
      <c r="AF507" s="252"/>
      <c r="AG507" s="252"/>
      <c r="AH507" s="252"/>
      <c r="AI507" s="252"/>
      <c r="AJ507" s="252"/>
      <c r="AK507" s="252"/>
      <c r="AL507" s="252"/>
      <c r="AM507" s="252"/>
      <c r="AN507" s="252"/>
      <c r="AO507" s="252"/>
      <c r="AP507" s="252"/>
      <c r="AQ507" s="252"/>
      <c r="AR507" s="252"/>
      <c r="AS507" s="252"/>
      <c r="AT507" s="252"/>
      <c r="AU507" s="195"/>
      <c r="AV507" s="195"/>
      <c r="AW507" s="195"/>
      <c r="AX507" s="195"/>
      <c r="AY507" s="195"/>
      <c r="AZ507" s="195"/>
      <c r="BA507" s="195"/>
      <c r="BB507" s="195"/>
      <c r="BC507" s="195"/>
      <c r="BD507" s="195"/>
      <c r="BE507" s="195"/>
      <c r="BF507" s="195"/>
      <c r="BG507" s="195"/>
      <c r="BH507" s="195"/>
      <c r="BI507" s="195"/>
      <c r="BJ507" s="195"/>
      <c r="BK507" s="195"/>
      <c r="BL507" s="195"/>
      <c r="BM507" s="195"/>
      <c r="BN507" s="195"/>
      <c r="BO507" s="195"/>
      <c r="BP507" s="195"/>
      <c r="BQ507" s="195"/>
      <c r="BR507" s="195"/>
      <c r="BS507" s="195"/>
      <c r="BT507" s="195"/>
      <c r="BU507" s="195"/>
      <c r="BV507" s="195"/>
      <c r="BW507" s="195"/>
      <c r="BX507" s="195"/>
      <c r="BY507" s="195"/>
      <c r="BZ507" s="195"/>
      <c r="CA507" s="195"/>
      <c r="CB507" s="195"/>
      <c r="CC507" s="195"/>
      <c r="CD507" s="195"/>
      <c r="CE507" s="195"/>
      <c r="CF507" s="195"/>
      <c r="CG507" s="256"/>
    </row>
    <row r="508" spans="1:85" s="254" customFormat="1" ht="13.9" customHeight="1" x14ac:dyDescent="0.2">
      <c r="A508" s="255" t="s">
        <v>158</v>
      </c>
      <c r="B508" s="187">
        <v>6</v>
      </c>
      <c r="C508" s="248" t="s">
        <v>622</v>
      </c>
      <c r="D508" s="197" t="s">
        <v>159</v>
      </c>
      <c r="E508" s="199"/>
      <c r="F508" s="199">
        <v>2327373330</v>
      </c>
      <c r="G508" s="199"/>
      <c r="H508" s="197" t="s">
        <v>794</v>
      </c>
      <c r="I508" s="248" t="s">
        <v>596</v>
      </c>
      <c r="J508" s="187">
        <v>1</v>
      </c>
      <c r="K508" s="187">
        <v>1</v>
      </c>
      <c r="L508" s="187">
        <v>12</v>
      </c>
      <c r="M508" s="172">
        <f t="shared" si="78"/>
        <v>1</v>
      </c>
      <c r="N508" s="180" t="s">
        <v>36</v>
      </c>
      <c r="O508" s="181" t="str">
        <f>IF(ISBLANK(N508),"",VLOOKUP(N508,[17]Parámetros!$G$2:$H$23,2,FALSE))</f>
        <v xml:space="preserve">Contratación directa (con ofertas) </v>
      </c>
      <c r="P508" s="249">
        <f t="shared" si="90"/>
        <v>1</v>
      </c>
      <c r="Q508" s="183">
        <f t="shared" si="79"/>
        <v>2327373330</v>
      </c>
      <c r="R508" s="183">
        <f t="shared" si="80"/>
        <v>2327373330</v>
      </c>
      <c r="S508" s="250" t="s">
        <v>223</v>
      </c>
      <c r="T508" s="249">
        <f t="shared" si="87"/>
        <v>0</v>
      </c>
      <c r="U508" s="185" t="str">
        <f t="shared" si="81"/>
        <v>SUBDIRECCION DE GESTION CONTRACTUAL</v>
      </c>
      <c r="V508" s="249" t="str">
        <f t="shared" si="88"/>
        <v>CO-DC</v>
      </c>
      <c r="W508" s="249" t="str">
        <f t="shared" si="89"/>
        <v>Distrito Capital de Bogotá</v>
      </c>
      <c r="X508" s="197" t="s">
        <v>591</v>
      </c>
      <c r="Y508" s="187">
        <v>2427400</v>
      </c>
      <c r="Z508" s="201" t="s">
        <v>160</v>
      </c>
      <c r="AA508" s="252"/>
      <c r="AB508" s="252"/>
      <c r="AC508" s="252"/>
      <c r="AD508" s="252"/>
      <c r="AE508" s="252"/>
      <c r="AF508" s="252"/>
      <c r="AG508" s="252"/>
      <c r="AH508" s="252"/>
      <c r="AI508" s="252"/>
      <c r="AJ508" s="252"/>
      <c r="AK508" s="252"/>
      <c r="AL508" s="252"/>
      <c r="AM508" s="252"/>
      <c r="AN508" s="252"/>
      <c r="AO508" s="252"/>
      <c r="AP508" s="252"/>
      <c r="AQ508" s="252"/>
      <c r="AR508" s="252"/>
      <c r="AS508" s="252"/>
      <c r="AT508" s="252"/>
      <c r="AU508" s="195"/>
      <c r="AV508" s="195"/>
      <c r="AW508" s="195"/>
      <c r="AX508" s="195"/>
      <c r="AY508" s="195"/>
      <c r="AZ508" s="195"/>
      <c r="BA508" s="195"/>
      <c r="BB508" s="195"/>
      <c r="BC508" s="195"/>
      <c r="BD508" s="195"/>
      <c r="BE508" s="195"/>
      <c r="BF508" s="195"/>
      <c r="BG508" s="195"/>
      <c r="BH508" s="195"/>
      <c r="BI508" s="195"/>
      <c r="BJ508" s="195"/>
      <c r="BK508" s="195"/>
      <c r="BL508" s="195"/>
      <c r="BM508" s="195"/>
      <c r="BN508" s="195"/>
      <c r="BO508" s="195"/>
      <c r="BP508" s="195"/>
      <c r="BQ508" s="195"/>
      <c r="BR508" s="195"/>
      <c r="BS508" s="195"/>
      <c r="BT508" s="195"/>
      <c r="BU508" s="195"/>
      <c r="BV508" s="195"/>
      <c r="BW508" s="195"/>
      <c r="BX508" s="195"/>
      <c r="BY508" s="195"/>
      <c r="BZ508" s="195"/>
      <c r="CA508" s="195"/>
      <c r="CB508" s="195"/>
      <c r="CC508" s="195"/>
      <c r="CD508" s="195"/>
      <c r="CE508" s="195"/>
      <c r="CF508" s="195"/>
      <c r="CG508" s="256"/>
    </row>
    <row r="509" spans="1:85" s="254" customFormat="1" ht="13.9" customHeight="1" x14ac:dyDescent="0.2">
      <c r="A509" s="255" t="s">
        <v>158</v>
      </c>
      <c r="B509" s="187">
        <v>7</v>
      </c>
      <c r="C509" s="248" t="s">
        <v>622</v>
      </c>
      <c r="D509" s="197" t="s">
        <v>159</v>
      </c>
      <c r="E509" s="199"/>
      <c r="F509" s="199">
        <v>1310662954</v>
      </c>
      <c r="G509" s="199"/>
      <c r="H509" s="197" t="s">
        <v>794</v>
      </c>
      <c r="I509" s="248" t="s">
        <v>597</v>
      </c>
      <c r="J509" s="187">
        <v>1</v>
      </c>
      <c r="K509" s="187">
        <v>1</v>
      </c>
      <c r="L509" s="187">
        <v>12</v>
      </c>
      <c r="M509" s="172">
        <f t="shared" si="78"/>
        <v>1</v>
      </c>
      <c r="N509" s="180" t="s">
        <v>36</v>
      </c>
      <c r="O509" s="181" t="str">
        <f>IF(ISBLANK(N509),"",VLOOKUP(N509,[17]Parámetros!$G$2:$H$23,2,FALSE))</f>
        <v xml:space="preserve">Contratación directa (con ofertas) </v>
      </c>
      <c r="P509" s="249">
        <f t="shared" si="90"/>
        <v>1</v>
      </c>
      <c r="Q509" s="183">
        <f t="shared" si="79"/>
        <v>1310662954</v>
      </c>
      <c r="R509" s="183">
        <f t="shared" si="80"/>
        <v>1310662954</v>
      </c>
      <c r="S509" s="250" t="s">
        <v>223</v>
      </c>
      <c r="T509" s="249">
        <f t="shared" si="87"/>
        <v>0</v>
      </c>
      <c r="U509" s="185" t="str">
        <f t="shared" si="81"/>
        <v>SUBDIRECCION DE GESTION CONTRACTUAL</v>
      </c>
      <c r="V509" s="249" t="str">
        <f t="shared" si="88"/>
        <v>CO-DC</v>
      </c>
      <c r="W509" s="249" t="str">
        <f t="shared" si="89"/>
        <v>Distrito Capital de Bogotá</v>
      </c>
      <c r="X509" s="197" t="s">
        <v>591</v>
      </c>
      <c r="Y509" s="187">
        <v>2427400</v>
      </c>
      <c r="Z509" s="201" t="s">
        <v>160</v>
      </c>
      <c r="AA509" s="252"/>
      <c r="AB509" s="252"/>
      <c r="AC509" s="252"/>
      <c r="AD509" s="252"/>
      <c r="AE509" s="252"/>
      <c r="AF509" s="252"/>
      <c r="AG509" s="252"/>
      <c r="AH509" s="252"/>
      <c r="AI509" s="252"/>
      <c r="AJ509" s="252"/>
      <c r="AK509" s="252"/>
      <c r="AL509" s="252"/>
      <c r="AM509" s="252"/>
      <c r="AN509" s="252"/>
      <c r="AO509" s="252"/>
      <c r="AP509" s="252"/>
      <c r="AQ509" s="252"/>
      <c r="AR509" s="252"/>
      <c r="AS509" s="252"/>
      <c r="AT509" s="252"/>
      <c r="AU509" s="195"/>
      <c r="AV509" s="195"/>
      <c r="AW509" s="195"/>
      <c r="AX509" s="195"/>
      <c r="AY509" s="195"/>
      <c r="AZ509" s="195"/>
      <c r="BA509" s="195"/>
      <c r="BB509" s="195"/>
      <c r="BC509" s="195"/>
      <c r="BD509" s="195"/>
      <c r="BE509" s="195"/>
      <c r="BF509" s="195"/>
      <c r="BG509" s="195"/>
      <c r="BH509" s="195"/>
      <c r="BI509" s="195"/>
      <c r="BJ509" s="195"/>
      <c r="BK509" s="195"/>
      <c r="BL509" s="195"/>
      <c r="BM509" s="195"/>
      <c r="BN509" s="195"/>
      <c r="BO509" s="195"/>
      <c r="BP509" s="195"/>
      <c r="BQ509" s="195"/>
      <c r="BR509" s="195"/>
      <c r="BS509" s="195"/>
      <c r="BT509" s="195"/>
      <c r="BU509" s="195"/>
      <c r="BV509" s="195"/>
      <c r="BW509" s="195"/>
      <c r="BX509" s="195"/>
      <c r="BY509" s="195"/>
      <c r="BZ509" s="195"/>
      <c r="CA509" s="195"/>
      <c r="CB509" s="195"/>
      <c r="CC509" s="195"/>
      <c r="CD509" s="195"/>
      <c r="CE509" s="195"/>
      <c r="CF509" s="195"/>
      <c r="CG509" s="256"/>
    </row>
    <row r="510" spans="1:85" s="254" customFormat="1" ht="13.9" customHeight="1" x14ac:dyDescent="0.2">
      <c r="A510" s="255" t="s">
        <v>158</v>
      </c>
      <c r="B510" s="187">
        <v>8</v>
      </c>
      <c r="C510" s="248" t="s">
        <v>622</v>
      </c>
      <c r="D510" s="197" t="s">
        <v>159</v>
      </c>
      <c r="E510" s="199"/>
      <c r="F510" s="199">
        <v>1600069165</v>
      </c>
      <c r="G510" s="199"/>
      <c r="H510" s="197" t="s">
        <v>794</v>
      </c>
      <c r="I510" s="248" t="s">
        <v>598</v>
      </c>
      <c r="J510" s="187">
        <v>1</v>
      </c>
      <c r="K510" s="187">
        <v>1</v>
      </c>
      <c r="L510" s="187">
        <v>12</v>
      </c>
      <c r="M510" s="172">
        <f t="shared" si="78"/>
        <v>1</v>
      </c>
      <c r="N510" s="180" t="s">
        <v>36</v>
      </c>
      <c r="O510" s="181" t="str">
        <f>IF(ISBLANK(N510),"",VLOOKUP(N510,[17]Parámetros!$G$2:$H$23,2,FALSE))</f>
        <v xml:space="preserve">Contratación directa (con ofertas) </v>
      </c>
      <c r="P510" s="249">
        <f t="shared" si="90"/>
        <v>1</v>
      </c>
      <c r="Q510" s="183">
        <f t="shared" si="79"/>
        <v>1600069165</v>
      </c>
      <c r="R510" s="183">
        <f t="shared" si="80"/>
        <v>1600069165</v>
      </c>
      <c r="S510" s="250" t="s">
        <v>223</v>
      </c>
      <c r="T510" s="249">
        <f t="shared" si="87"/>
        <v>0</v>
      </c>
      <c r="U510" s="185" t="str">
        <f t="shared" si="81"/>
        <v>SUBDIRECCION DE GESTION CONTRACTUAL</v>
      </c>
      <c r="V510" s="249" t="str">
        <f t="shared" si="88"/>
        <v>CO-DC</v>
      </c>
      <c r="W510" s="249" t="str">
        <f t="shared" si="89"/>
        <v>Distrito Capital de Bogotá</v>
      </c>
      <c r="X510" s="197" t="s">
        <v>591</v>
      </c>
      <c r="Y510" s="187">
        <v>2427400</v>
      </c>
      <c r="Z510" s="201" t="s">
        <v>160</v>
      </c>
      <c r="AA510" s="252"/>
      <c r="AB510" s="252"/>
      <c r="AC510" s="252"/>
      <c r="AD510" s="252"/>
      <c r="AE510" s="252"/>
      <c r="AF510" s="252"/>
      <c r="AG510" s="252"/>
      <c r="AH510" s="252"/>
      <c r="AI510" s="252"/>
      <c r="AJ510" s="252"/>
      <c r="AK510" s="252"/>
      <c r="AL510" s="252"/>
      <c r="AM510" s="252"/>
      <c r="AN510" s="252"/>
      <c r="AO510" s="252"/>
      <c r="AP510" s="252"/>
      <c r="AQ510" s="252"/>
      <c r="AR510" s="252"/>
      <c r="AS510" s="252"/>
      <c r="AT510" s="252"/>
      <c r="AU510" s="195"/>
      <c r="AV510" s="195"/>
      <c r="AW510" s="195"/>
      <c r="AX510" s="195"/>
      <c r="AY510" s="195"/>
      <c r="AZ510" s="195"/>
      <c r="BA510" s="195"/>
      <c r="BB510" s="195"/>
      <c r="BC510" s="195"/>
      <c r="BD510" s="195"/>
      <c r="BE510" s="195"/>
      <c r="BF510" s="195"/>
      <c r="BG510" s="195"/>
      <c r="BH510" s="195"/>
      <c r="BI510" s="195"/>
      <c r="BJ510" s="195"/>
      <c r="BK510" s="195"/>
      <c r="BL510" s="195"/>
      <c r="BM510" s="195"/>
      <c r="BN510" s="195"/>
      <c r="BO510" s="195"/>
      <c r="BP510" s="195"/>
      <c r="BQ510" s="195"/>
      <c r="BR510" s="195"/>
      <c r="BS510" s="195"/>
      <c r="BT510" s="195"/>
      <c r="BU510" s="195"/>
      <c r="BV510" s="195"/>
      <c r="BW510" s="195"/>
      <c r="BX510" s="195"/>
      <c r="BY510" s="195"/>
      <c r="BZ510" s="195"/>
      <c r="CA510" s="195"/>
      <c r="CB510" s="195"/>
      <c r="CC510" s="195"/>
      <c r="CD510" s="195"/>
      <c r="CE510" s="195"/>
      <c r="CF510" s="195"/>
      <c r="CG510" s="256"/>
    </row>
    <row r="511" spans="1:85" s="254" customFormat="1" ht="13.9" customHeight="1" x14ac:dyDescent="0.2">
      <c r="A511" s="255" t="s">
        <v>158</v>
      </c>
      <c r="B511" s="187">
        <v>9</v>
      </c>
      <c r="C511" s="248" t="s">
        <v>622</v>
      </c>
      <c r="D511" s="197" t="s">
        <v>159</v>
      </c>
      <c r="E511" s="199"/>
      <c r="F511" s="199">
        <v>2560694474</v>
      </c>
      <c r="G511" s="199"/>
      <c r="H511" s="197" t="s">
        <v>798</v>
      </c>
      <c r="I511" s="248" t="s">
        <v>599</v>
      </c>
      <c r="J511" s="187">
        <v>1</v>
      </c>
      <c r="K511" s="187">
        <v>1</v>
      </c>
      <c r="L511" s="187">
        <v>12</v>
      </c>
      <c r="M511" s="172">
        <f t="shared" si="78"/>
        <v>1</v>
      </c>
      <c r="N511" s="180" t="s">
        <v>36</v>
      </c>
      <c r="O511" s="181" t="str">
        <f>IF(ISBLANK(N511),"",VLOOKUP(N511,[17]Parámetros!$G$2:$H$23,2,FALSE))</f>
        <v xml:space="preserve">Contratación directa (con ofertas) </v>
      </c>
      <c r="P511" s="249">
        <f t="shared" si="90"/>
        <v>1</v>
      </c>
      <c r="Q511" s="183">
        <f t="shared" si="79"/>
        <v>2560694474</v>
      </c>
      <c r="R511" s="183">
        <f t="shared" si="80"/>
        <v>2560694474</v>
      </c>
      <c r="S511" s="250" t="s">
        <v>223</v>
      </c>
      <c r="T511" s="249">
        <f t="shared" si="87"/>
        <v>0</v>
      </c>
      <c r="U511" s="185" t="str">
        <f t="shared" si="81"/>
        <v>SUBDIRECCION DE GESTION CONTRACTUAL</v>
      </c>
      <c r="V511" s="249" t="str">
        <f t="shared" si="88"/>
        <v>CO-DC</v>
      </c>
      <c r="W511" s="249" t="str">
        <f t="shared" si="89"/>
        <v>Distrito Capital de Bogotá</v>
      </c>
      <c r="X511" s="197" t="s">
        <v>591</v>
      </c>
      <c r="Y511" s="187">
        <v>2427400</v>
      </c>
      <c r="Z511" s="201" t="s">
        <v>160</v>
      </c>
      <c r="AA511" s="252"/>
      <c r="AB511" s="252"/>
      <c r="AC511" s="252"/>
      <c r="AD511" s="252"/>
      <c r="AE511" s="252"/>
      <c r="AF511" s="252"/>
      <c r="AG511" s="252"/>
      <c r="AH511" s="252"/>
      <c r="AI511" s="252"/>
      <c r="AJ511" s="252"/>
      <c r="AK511" s="252"/>
      <c r="AL511" s="252"/>
      <c r="AM511" s="252"/>
      <c r="AN511" s="252"/>
      <c r="AO511" s="252"/>
      <c r="AP511" s="252"/>
      <c r="AQ511" s="252"/>
      <c r="AR511" s="252"/>
      <c r="AS511" s="252"/>
      <c r="AT511" s="252"/>
      <c r="AU511" s="195"/>
      <c r="AV511" s="195"/>
      <c r="AW511" s="195"/>
      <c r="AX511" s="195"/>
      <c r="AY511" s="195"/>
      <c r="AZ511" s="195"/>
      <c r="BA511" s="195"/>
      <c r="BB511" s="195"/>
      <c r="BC511" s="195"/>
      <c r="BD511" s="195"/>
      <c r="BE511" s="195"/>
      <c r="BF511" s="195"/>
      <c r="BG511" s="195"/>
      <c r="BH511" s="195"/>
      <c r="BI511" s="195"/>
      <c r="BJ511" s="195"/>
      <c r="BK511" s="195"/>
      <c r="BL511" s="195"/>
      <c r="BM511" s="195"/>
      <c r="BN511" s="195"/>
      <c r="BO511" s="195"/>
      <c r="BP511" s="195"/>
      <c r="BQ511" s="195"/>
      <c r="BR511" s="195"/>
      <c r="BS511" s="195"/>
      <c r="BT511" s="195"/>
      <c r="BU511" s="195"/>
      <c r="BV511" s="195"/>
      <c r="BW511" s="195"/>
      <c r="BX511" s="195"/>
      <c r="BY511" s="195"/>
      <c r="BZ511" s="195"/>
      <c r="CA511" s="195"/>
      <c r="CB511" s="195"/>
      <c r="CC511" s="195"/>
      <c r="CD511" s="195"/>
      <c r="CE511" s="195"/>
      <c r="CF511" s="195"/>
      <c r="CG511" s="256"/>
    </row>
    <row r="512" spans="1:85" s="254" customFormat="1" ht="13.9" customHeight="1" x14ac:dyDescent="0.2">
      <c r="A512" s="255" t="s">
        <v>158</v>
      </c>
      <c r="B512" s="187">
        <v>10</v>
      </c>
      <c r="C512" s="248" t="s">
        <v>622</v>
      </c>
      <c r="D512" s="197" t="s">
        <v>159</v>
      </c>
      <c r="E512" s="199"/>
      <c r="F512" s="199">
        <v>1906418842</v>
      </c>
      <c r="G512" s="199"/>
      <c r="H512" s="197" t="s">
        <v>794</v>
      </c>
      <c r="I512" s="248" t="s">
        <v>600</v>
      </c>
      <c r="J512" s="187">
        <v>1</v>
      </c>
      <c r="K512" s="187">
        <v>1</v>
      </c>
      <c r="L512" s="187">
        <v>12</v>
      </c>
      <c r="M512" s="172">
        <f t="shared" si="78"/>
        <v>1</v>
      </c>
      <c r="N512" s="180" t="s">
        <v>36</v>
      </c>
      <c r="O512" s="181" t="str">
        <f>IF(ISBLANK(N512),"",VLOOKUP(N512,[17]Parámetros!$G$2:$H$23,2,FALSE))</f>
        <v xml:space="preserve">Contratación directa (con ofertas) </v>
      </c>
      <c r="P512" s="249">
        <f t="shared" si="90"/>
        <v>1</v>
      </c>
      <c r="Q512" s="183">
        <f t="shared" si="79"/>
        <v>1906418842</v>
      </c>
      <c r="R512" s="183">
        <f t="shared" si="80"/>
        <v>1906418842</v>
      </c>
      <c r="S512" s="250" t="s">
        <v>223</v>
      </c>
      <c r="T512" s="249">
        <f t="shared" si="87"/>
        <v>0</v>
      </c>
      <c r="U512" s="185" t="str">
        <f t="shared" si="81"/>
        <v>SUBDIRECCION DE GESTION CONTRACTUAL</v>
      </c>
      <c r="V512" s="249" t="str">
        <f t="shared" si="88"/>
        <v>CO-DC</v>
      </c>
      <c r="W512" s="249" t="str">
        <f t="shared" si="89"/>
        <v>Distrito Capital de Bogotá</v>
      </c>
      <c r="X512" s="197" t="s">
        <v>591</v>
      </c>
      <c r="Y512" s="187">
        <v>2427400</v>
      </c>
      <c r="Z512" s="201" t="s">
        <v>160</v>
      </c>
      <c r="AA512" s="252"/>
      <c r="AB512" s="252"/>
      <c r="AC512" s="252"/>
      <c r="AD512" s="252"/>
      <c r="AE512" s="252"/>
      <c r="AF512" s="252"/>
      <c r="AG512" s="252"/>
      <c r="AH512" s="252"/>
      <c r="AI512" s="252"/>
      <c r="AJ512" s="252"/>
      <c r="AK512" s="252"/>
      <c r="AL512" s="252"/>
      <c r="AM512" s="252"/>
      <c r="AN512" s="252"/>
      <c r="AO512" s="252"/>
      <c r="AP512" s="252"/>
      <c r="AQ512" s="252"/>
      <c r="AR512" s="252"/>
      <c r="AS512" s="252"/>
      <c r="AT512" s="252"/>
      <c r="AU512" s="195"/>
      <c r="AV512" s="195"/>
      <c r="AW512" s="195"/>
      <c r="AX512" s="195"/>
      <c r="AY512" s="195"/>
      <c r="AZ512" s="195"/>
      <c r="BA512" s="195"/>
      <c r="BB512" s="195"/>
      <c r="BC512" s="195"/>
      <c r="BD512" s="195"/>
      <c r="BE512" s="195"/>
      <c r="BF512" s="195"/>
      <c r="BG512" s="195"/>
      <c r="BH512" s="195"/>
      <c r="BI512" s="195"/>
      <c r="BJ512" s="195"/>
      <c r="BK512" s="195"/>
      <c r="BL512" s="195"/>
      <c r="BM512" s="195"/>
      <c r="BN512" s="195"/>
      <c r="BO512" s="195"/>
      <c r="BP512" s="195"/>
      <c r="BQ512" s="195"/>
      <c r="BR512" s="195"/>
      <c r="BS512" s="195"/>
      <c r="BT512" s="195"/>
      <c r="BU512" s="195"/>
      <c r="BV512" s="195"/>
      <c r="BW512" s="195"/>
      <c r="BX512" s="195"/>
      <c r="BY512" s="195"/>
      <c r="BZ512" s="195"/>
      <c r="CA512" s="195"/>
      <c r="CB512" s="195"/>
      <c r="CC512" s="195"/>
      <c r="CD512" s="195"/>
      <c r="CE512" s="195"/>
      <c r="CF512" s="195"/>
      <c r="CG512" s="256"/>
    </row>
    <row r="513" spans="1:85" s="254" customFormat="1" ht="13.9" customHeight="1" x14ac:dyDescent="0.2">
      <c r="A513" s="255" t="s">
        <v>158</v>
      </c>
      <c r="B513" s="187">
        <v>11</v>
      </c>
      <c r="C513" s="248" t="s">
        <v>622</v>
      </c>
      <c r="D513" s="197" t="s">
        <v>159</v>
      </c>
      <c r="E513" s="199"/>
      <c r="F513" s="199">
        <v>3484003648</v>
      </c>
      <c r="G513" s="199"/>
      <c r="H513" s="197" t="s">
        <v>798</v>
      </c>
      <c r="I513" s="248" t="s">
        <v>601</v>
      </c>
      <c r="J513" s="187">
        <v>1</v>
      </c>
      <c r="K513" s="187">
        <v>1</v>
      </c>
      <c r="L513" s="187">
        <v>12</v>
      </c>
      <c r="M513" s="172">
        <f t="shared" si="78"/>
        <v>1</v>
      </c>
      <c r="N513" s="180" t="s">
        <v>36</v>
      </c>
      <c r="O513" s="181" t="str">
        <f>IF(ISBLANK(N513),"",VLOOKUP(N513,[17]Parámetros!$G$2:$H$23,2,FALSE))</f>
        <v xml:space="preserve">Contratación directa (con ofertas) </v>
      </c>
      <c r="P513" s="249">
        <f t="shared" si="90"/>
        <v>1</v>
      </c>
      <c r="Q513" s="183">
        <f t="shared" si="79"/>
        <v>3484003648</v>
      </c>
      <c r="R513" s="183">
        <f t="shared" si="80"/>
        <v>3484003648</v>
      </c>
      <c r="S513" s="250" t="s">
        <v>223</v>
      </c>
      <c r="T513" s="249">
        <f t="shared" si="87"/>
        <v>0</v>
      </c>
      <c r="U513" s="185" t="str">
        <f t="shared" si="81"/>
        <v>SUBDIRECCION DE GESTION CONTRACTUAL</v>
      </c>
      <c r="V513" s="249" t="str">
        <f t="shared" si="88"/>
        <v>CO-DC</v>
      </c>
      <c r="W513" s="249" t="str">
        <f t="shared" si="89"/>
        <v>Distrito Capital de Bogotá</v>
      </c>
      <c r="X513" s="197" t="s">
        <v>591</v>
      </c>
      <c r="Y513" s="187">
        <v>2427400</v>
      </c>
      <c r="Z513" s="201" t="s">
        <v>160</v>
      </c>
      <c r="AA513" s="252"/>
      <c r="AB513" s="252"/>
      <c r="AC513" s="252"/>
      <c r="AD513" s="252"/>
      <c r="AE513" s="252"/>
      <c r="AF513" s="252"/>
      <c r="AG513" s="252"/>
      <c r="AH513" s="252"/>
      <c r="AI513" s="252"/>
      <c r="AJ513" s="252"/>
      <c r="AK513" s="252"/>
      <c r="AL513" s="252"/>
      <c r="AM513" s="252"/>
      <c r="AN513" s="252"/>
      <c r="AO513" s="252"/>
      <c r="AP513" s="252"/>
      <c r="AQ513" s="252"/>
      <c r="AR513" s="252"/>
      <c r="AS513" s="252"/>
      <c r="AT513" s="252"/>
      <c r="AU513" s="195"/>
      <c r="AV513" s="195"/>
      <c r="AW513" s="195"/>
      <c r="AX513" s="195"/>
      <c r="AY513" s="195"/>
      <c r="AZ513" s="195"/>
      <c r="BA513" s="195"/>
      <c r="BB513" s="195"/>
      <c r="BC513" s="195"/>
      <c r="BD513" s="195"/>
      <c r="BE513" s="195"/>
      <c r="BF513" s="195"/>
      <c r="BG513" s="195"/>
      <c r="BH513" s="195"/>
      <c r="BI513" s="195"/>
      <c r="BJ513" s="195"/>
      <c r="BK513" s="195"/>
      <c r="BL513" s="195"/>
      <c r="BM513" s="195"/>
      <c r="BN513" s="195"/>
      <c r="BO513" s="195"/>
      <c r="BP513" s="195"/>
      <c r="BQ513" s="195"/>
      <c r="BR513" s="195"/>
      <c r="BS513" s="195"/>
      <c r="BT513" s="195"/>
      <c r="BU513" s="195"/>
      <c r="BV513" s="195"/>
      <c r="BW513" s="195"/>
      <c r="BX513" s="195"/>
      <c r="BY513" s="195"/>
      <c r="BZ513" s="195"/>
      <c r="CA513" s="195"/>
      <c r="CB513" s="195"/>
      <c r="CC513" s="195"/>
      <c r="CD513" s="195"/>
      <c r="CE513" s="195"/>
      <c r="CF513" s="195"/>
      <c r="CG513" s="256"/>
    </row>
    <row r="514" spans="1:85" s="254" customFormat="1" ht="13.9" customHeight="1" x14ac:dyDescent="0.2">
      <c r="A514" s="255" t="s">
        <v>158</v>
      </c>
      <c r="B514" s="187">
        <v>12</v>
      </c>
      <c r="C514" s="248" t="s">
        <v>622</v>
      </c>
      <c r="D514" s="197" t="s">
        <v>159</v>
      </c>
      <c r="E514" s="199"/>
      <c r="F514" s="199">
        <v>1749472667</v>
      </c>
      <c r="G514" s="199"/>
      <c r="H514" s="197" t="s">
        <v>794</v>
      </c>
      <c r="I514" s="248" t="s">
        <v>602</v>
      </c>
      <c r="J514" s="187">
        <v>1</v>
      </c>
      <c r="K514" s="187">
        <v>1</v>
      </c>
      <c r="L514" s="187">
        <v>12</v>
      </c>
      <c r="M514" s="172">
        <f t="shared" si="78"/>
        <v>1</v>
      </c>
      <c r="N514" s="180" t="s">
        <v>36</v>
      </c>
      <c r="O514" s="181" t="str">
        <f>IF(ISBLANK(N514),"",VLOOKUP(N514,[17]Parámetros!$G$2:$H$23,2,FALSE))</f>
        <v xml:space="preserve">Contratación directa (con ofertas) </v>
      </c>
      <c r="P514" s="249">
        <f t="shared" si="90"/>
        <v>1</v>
      </c>
      <c r="Q514" s="183">
        <f t="shared" si="79"/>
        <v>1749472667</v>
      </c>
      <c r="R514" s="183">
        <f t="shared" si="80"/>
        <v>1749472667</v>
      </c>
      <c r="S514" s="250" t="s">
        <v>223</v>
      </c>
      <c r="T514" s="249">
        <f t="shared" ref="T514:T545" si="91">IF(ISBLANK(S514),"",IF(VALUE(S514)=0,0,IF(VALUE(S514)=1,3,"")))</f>
        <v>0</v>
      </c>
      <c r="U514" s="185" t="str">
        <f t="shared" si="81"/>
        <v>SUBDIRECCION DE GESTION CONTRACTUAL</v>
      </c>
      <c r="V514" s="249" t="str">
        <f t="shared" si="88"/>
        <v>CO-DC</v>
      </c>
      <c r="W514" s="249" t="str">
        <f t="shared" si="89"/>
        <v>Distrito Capital de Bogotá</v>
      </c>
      <c r="X514" s="197" t="s">
        <v>591</v>
      </c>
      <c r="Y514" s="187">
        <v>2427400</v>
      </c>
      <c r="Z514" s="201" t="s">
        <v>160</v>
      </c>
      <c r="AA514" s="252"/>
      <c r="AB514" s="252"/>
      <c r="AC514" s="252"/>
      <c r="AD514" s="252"/>
      <c r="AE514" s="252"/>
      <c r="AF514" s="252"/>
      <c r="AG514" s="252"/>
      <c r="AH514" s="252"/>
      <c r="AI514" s="252"/>
      <c r="AJ514" s="252"/>
      <c r="AK514" s="252"/>
      <c r="AL514" s="252"/>
      <c r="AM514" s="252"/>
      <c r="AN514" s="252"/>
      <c r="AO514" s="252"/>
      <c r="AP514" s="252"/>
      <c r="AQ514" s="252"/>
      <c r="AR514" s="252"/>
      <c r="AS514" s="252"/>
      <c r="AT514" s="252"/>
      <c r="AU514" s="195"/>
      <c r="AV514" s="195"/>
      <c r="AW514" s="195"/>
      <c r="AX514" s="195"/>
      <c r="AY514" s="195"/>
      <c r="AZ514" s="195"/>
      <c r="BA514" s="195"/>
      <c r="BB514" s="195"/>
      <c r="BC514" s="195"/>
      <c r="BD514" s="195"/>
      <c r="BE514" s="195"/>
      <c r="BF514" s="195"/>
      <c r="BG514" s="195"/>
      <c r="BH514" s="195"/>
      <c r="BI514" s="195"/>
      <c r="BJ514" s="195"/>
      <c r="BK514" s="195"/>
      <c r="BL514" s="195"/>
      <c r="BM514" s="195"/>
      <c r="BN514" s="195"/>
      <c r="BO514" s="195"/>
      <c r="BP514" s="195"/>
      <c r="BQ514" s="195"/>
      <c r="BR514" s="195"/>
      <c r="BS514" s="195"/>
      <c r="BT514" s="195"/>
      <c r="BU514" s="195"/>
      <c r="BV514" s="195"/>
      <c r="BW514" s="195"/>
      <c r="BX514" s="195"/>
      <c r="BY514" s="195"/>
      <c r="BZ514" s="195"/>
      <c r="CA514" s="195"/>
      <c r="CB514" s="195"/>
      <c r="CC514" s="195"/>
      <c r="CD514" s="195"/>
      <c r="CE514" s="195"/>
      <c r="CF514" s="195"/>
      <c r="CG514" s="256"/>
    </row>
    <row r="515" spans="1:85" s="254" customFormat="1" ht="13.9" customHeight="1" x14ac:dyDescent="0.2">
      <c r="A515" s="255" t="s">
        <v>158</v>
      </c>
      <c r="B515" s="187">
        <v>13</v>
      </c>
      <c r="C515" s="248" t="s">
        <v>622</v>
      </c>
      <c r="D515" s="197" t="s">
        <v>159</v>
      </c>
      <c r="E515" s="199"/>
      <c r="F515" s="199">
        <v>1600069165</v>
      </c>
      <c r="G515" s="199"/>
      <c r="H515" s="197" t="s">
        <v>794</v>
      </c>
      <c r="I515" s="248" t="s">
        <v>603</v>
      </c>
      <c r="J515" s="187">
        <v>1</v>
      </c>
      <c r="K515" s="187">
        <v>1</v>
      </c>
      <c r="L515" s="187">
        <v>12</v>
      </c>
      <c r="M515" s="172">
        <f t="shared" si="78"/>
        <v>1</v>
      </c>
      <c r="N515" s="180" t="s">
        <v>36</v>
      </c>
      <c r="O515" s="181" t="str">
        <f>IF(ISBLANK(N515),"",VLOOKUP(N515,[17]Parámetros!$G$2:$H$23,2,FALSE))</f>
        <v xml:space="preserve">Contratación directa (con ofertas) </v>
      </c>
      <c r="P515" s="249">
        <f t="shared" si="90"/>
        <v>1</v>
      </c>
      <c r="Q515" s="183">
        <f t="shared" si="79"/>
        <v>1600069165</v>
      </c>
      <c r="R515" s="183">
        <f t="shared" si="80"/>
        <v>1600069165</v>
      </c>
      <c r="S515" s="250" t="s">
        <v>223</v>
      </c>
      <c r="T515" s="249">
        <f t="shared" si="91"/>
        <v>0</v>
      </c>
      <c r="U515" s="185" t="str">
        <f t="shared" si="81"/>
        <v>SUBDIRECCION DE GESTION CONTRACTUAL</v>
      </c>
      <c r="V515" s="249" t="str">
        <f t="shared" si="88"/>
        <v>CO-DC</v>
      </c>
      <c r="W515" s="249" t="str">
        <f t="shared" si="89"/>
        <v>Distrito Capital de Bogotá</v>
      </c>
      <c r="X515" s="197" t="s">
        <v>591</v>
      </c>
      <c r="Y515" s="187">
        <v>2427400</v>
      </c>
      <c r="Z515" s="201" t="s">
        <v>160</v>
      </c>
      <c r="AA515" s="252"/>
      <c r="AB515" s="252"/>
      <c r="AC515" s="252"/>
      <c r="AD515" s="252"/>
      <c r="AE515" s="252"/>
      <c r="AF515" s="252"/>
      <c r="AG515" s="252"/>
      <c r="AH515" s="252"/>
      <c r="AI515" s="252"/>
      <c r="AJ515" s="252"/>
      <c r="AK515" s="252"/>
      <c r="AL515" s="252"/>
      <c r="AM515" s="252"/>
      <c r="AN515" s="252"/>
      <c r="AO515" s="252"/>
      <c r="AP515" s="252"/>
      <c r="AQ515" s="252"/>
      <c r="AR515" s="252"/>
      <c r="AS515" s="252"/>
      <c r="AT515" s="252"/>
      <c r="AU515" s="195"/>
      <c r="AV515" s="195"/>
      <c r="AW515" s="195"/>
      <c r="AX515" s="195"/>
      <c r="AY515" s="195"/>
      <c r="AZ515" s="195"/>
      <c r="BA515" s="195"/>
      <c r="BB515" s="195"/>
      <c r="BC515" s="195"/>
      <c r="BD515" s="195"/>
      <c r="BE515" s="195"/>
      <c r="BF515" s="195"/>
      <c r="BG515" s="195"/>
      <c r="BH515" s="195"/>
      <c r="BI515" s="195"/>
      <c r="BJ515" s="195"/>
      <c r="BK515" s="195"/>
      <c r="BL515" s="195"/>
      <c r="BM515" s="195"/>
      <c r="BN515" s="195"/>
      <c r="BO515" s="195"/>
      <c r="BP515" s="195"/>
      <c r="BQ515" s="195"/>
      <c r="BR515" s="195"/>
      <c r="BS515" s="195"/>
      <c r="BT515" s="195"/>
      <c r="BU515" s="195"/>
      <c r="BV515" s="195"/>
      <c r="BW515" s="195"/>
      <c r="BX515" s="195"/>
      <c r="BY515" s="195"/>
      <c r="BZ515" s="195"/>
      <c r="CA515" s="195"/>
      <c r="CB515" s="195"/>
      <c r="CC515" s="195"/>
      <c r="CD515" s="195"/>
      <c r="CE515" s="195"/>
      <c r="CF515" s="195"/>
      <c r="CG515" s="256"/>
    </row>
    <row r="516" spans="1:85" s="254" customFormat="1" ht="13.9" customHeight="1" x14ac:dyDescent="0.2">
      <c r="A516" s="255" t="s">
        <v>158</v>
      </c>
      <c r="B516" s="187">
        <v>14</v>
      </c>
      <c r="C516" s="248" t="s">
        <v>622</v>
      </c>
      <c r="D516" s="197" t="s">
        <v>159</v>
      </c>
      <c r="E516" s="199"/>
      <c r="F516" s="199">
        <v>1310662954</v>
      </c>
      <c r="G516" s="199"/>
      <c r="H516" s="197" t="s">
        <v>794</v>
      </c>
      <c r="I516" s="248" t="s">
        <v>604</v>
      </c>
      <c r="J516" s="187">
        <v>1</v>
      </c>
      <c r="K516" s="187">
        <v>1</v>
      </c>
      <c r="L516" s="187">
        <v>12</v>
      </c>
      <c r="M516" s="172">
        <f t="shared" si="78"/>
        <v>1</v>
      </c>
      <c r="N516" s="180" t="s">
        <v>36</v>
      </c>
      <c r="O516" s="181" t="str">
        <f>IF(ISBLANK(N516),"",VLOOKUP(N516,[17]Parámetros!$G$2:$H$23,2,FALSE))</f>
        <v xml:space="preserve">Contratación directa (con ofertas) </v>
      </c>
      <c r="P516" s="249">
        <f t="shared" si="90"/>
        <v>1</v>
      </c>
      <c r="Q516" s="183">
        <f t="shared" si="79"/>
        <v>1310662954</v>
      </c>
      <c r="R516" s="183">
        <f t="shared" si="80"/>
        <v>1310662954</v>
      </c>
      <c r="S516" s="250" t="s">
        <v>223</v>
      </c>
      <c r="T516" s="249">
        <f t="shared" si="91"/>
        <v>0</v>
      </c>
      <c r="U516" s="185" t="str">
        <f t="shared" si="81"/>
        <v>SUBDIRECCION DE GESTION CONTRACTUAL</v>
      </c>
      <c r="V516" s="249" t="str">
        <f t="shared" si="88"/>
        <v>CO-DC</v>
      </c>
      <c r="W516" s="249" t="str">
        <f t="shared" si="89"/>
        <v>Distrito Capital de Bogotá</v>
      </c>
      <c r="X516" s="197" t="s">
        <v>591</v>
      </c>
      <c r="Y516" s="187">
        <v>2427400</v>
      </c>
      <c r="Z516" s="201" t="s">
        <v>160</v>
      </c>
      <c r="AA516" s="252"/>
      <c r="AB516" s="252"/>
      <c r="AC516" s="252"/>
      <c r="AD516" s="252"/>
      <c r="AE516" s="252"/>
      <c r="AF516" s="252"/>
      <c r="AG516" s="252"/>
      <c r="AH516" s="252"/>
      <c r="AI516" s="252"/>
      <c r="AJ516" s="252"/>
      <c r="AK516" s="252"/>
      <c r="AL516" s="252"/>
      <c r="AM516" s="252"/>
      <c r="AN516" s="252"/>
      <c r="AO516" s="252"/>
      <c r="AP516" s="252"/>
      <c r="AQ516" s="252"/>
      <c r="AR516" s="252"/>
      <c r="AS516" s="252"/>
      <c r="AT516" s="252"/>
      <c r="AU516" s="195"/>
      <c r="AV516" s="195"/>
      <c r="AW516" s="195"/>
      <c r="AX516" s="195"/>
      <c r="AY516" s="195"/>
      <c r="AZ516" s="195"/>
      <c r="BA516" s="195"/>
      <c r="BB516" s="195"/>
      <c r="BC516" s="195"/>
      <c r="BD516" s="195"/>
      <c r="BE516" s="195"/>
      <c r="BF516" s="195"/>
      <c r="BG516" s="195"/>
      <c r="BH516" s="195"/>
      <c r="BI516" s="195"/>
      <c r="BJ516" s="195"/>
      <c r="BK516" s="195"/>
      <c r="BL516" s="195"/>
      <c r="BM516" s="195"/>
      <c r="BN516" s="195"/>
      <c r="BO516" s="195"/>
      <c r="BP516" s="195"/>
      <c r="BQ516" s="195"/>
      <c r="BR516" s="195"/>
      <c r="BS516" s="195"/>
      <c r="BT516" s="195"/>
      <c r="BU516" s="195"/>
      <c r="BV516" s="195"/>
      <c r="BW516" s="195"/>
      <c r="BX516" s="195"/>
      <c r="BY516" s="195"/>
      <c r="BZ516" s="195"/>
      <c r="CA516" s="195"/>
      <c r="CB516" s="195"/>
      <c r="CC516" s="195"/>
      <c r="CD516" s="195"/>
      <c r="CE516" s="195"/>
      <c r="CF516" s="195"/>
      <c r="CG516" s="256"/>
    </row>
    <row r="517" spans="1:85" s="254" customFormat="1" ht="13.9" customHeight="1" x14ac:dyDescent="0.2">
      <c r="A517" s="255" t="s">
        <v>158</v>
      </c>
      <c r="B517" s="187">
        <v>15</v>
      </c>
      <c r="C517" s="248" t="s">
        <v>622</v>
      </c>
      <c r="D517" s="197" t="s">
        <v>159</v>
      </c>
      <c r="E517" s="199"/>
      <c r="F517" s="199">
        <v>2553967515</v>
      </c>
      <c r="G517" s="199"/>
      <c r="H517" s="197" t="s">
        <v>794</v>
      </c>
      <c r="I517" s="248" t="s">
        <v>681</v>
      </c>
      <c r="J517" s="187">
        <v>1</v>
      </c>
      <c r="K517" s="187">
        <v>1</v>
      </c>
      <c r="L517" s="187">
        <v>12</v>
      </c>
      <c r="M517" s="172">
        <f t="shared" si="78"/>
        <v>1</v>
      </c>
      <c r="N517" s="180" t="s">
        <v>36</v>
      </c>
      <c r="O517" s="181" t="str">
        <f>IF(ISBLANK(N517),"",VLOOKUP(N517,[17]Parámetros!$G$2:$H$23,2,FALSE))</f>
        <v xml:space="preserve">Contratación directa (con ofertas) </v>
      </c>
      <c r="P517" s="249">
        <f t="shared" si="90"/>
        <v>1</v>
      </c>
      <c r="Q517" s="183">
        <f t="shared" si="79"/>
        <v>2553967515</v>
      </c>
      <c r="R517" s="183">
        <f t="shared" si="80"/>
        <v>2553967515</v>
      </c>
      <c r="S517" s="250" t="s">
        <v>223</v>
      </c>
      <c r="T517" s="249">
        <f t="shared" si="91"/>
        <v>0</v>
      </c>
      <c r="U517" s="185" t="str">
        <f t="shared" si="81"/>
        <v>SUBDIRECCION DE GESTION CONTRACTUAL</v>
      </c>
      <c r="V517" s="249" t="str">
        <f t="shared" si="88"/>
        <v>CO-DC</v>
      </c>
      <c r="W517" s="249" t="str">
        <f t="shared" si="89"/>
        <v>Distrito Capital de Bogotá</v>
      </c>
      <c r="X517" s="197" t="s">
        <v>591</v>
      </c>
      <c r="Y517" s="187">
        <v>2427400</v>
      </c>
      <c r="Z517" s="201" t="s">
        <v>160</v>
      </c>
      <c r="AA517" s="252"/>
      <c r="AB517" s="252"/>
      <c r="AC517" s="252"/>
      <c r="AD517" s="252"/>
      <c r="AE517" s="252"/>
      <c r="AF517" s="252"/>
      <c r="AG517" s="252"/>
      <c r="AH517" s="252"/>
      <c r="AI517" s="252"/>
      <c r="AJ517" s="252"/>
      <c r="AK517" s="252"/>
      <c r="AL517" s="252"/>
      <c r="AM517" s="252"/>
      <c r="AN517" s="252"/>
      <c r="AO517" s="252"/>
      <c r="AP517" s="252"/>
      <c r="AQ517" s="252"/>
      <c r="AR517" s="252"/>
      <c r="AS517" s="252"/>
      <c r="AT517" s="252"/>
      <c r="AU517" s="195"/>
      <c r="AV517" s="195"/>
      <c r="AW517" s="195"/>
      <c r="AX517" s="195"/>
      <c r="AY517" s="195"/>
      <c r="AZ517" s="195"/>
      <c r="BA517" s="195"/>
      <c r="BB517" s="195"/>
      <c r="BC517" s="195"/>
      <c r="BD517" s="195"/>
      <c r="BE517" s="195"/>
      <c r="BF517" s="195"/>
      <c r="BG517" s="195"/>
      <c r="BH517" s="195"/>
      <c r="BI517" s="195"/>
      <c r="BJ517" s="195"/>
      <c r="BK517" s="195"/>
      <c r="BL517" s="195"/>
      <c r="BM517" s="195"/>
      <c r="BN517" s="195"/>
      <c r="BO517" s="195"/>
      <c r="BP517" s="195"/>
      <c r="BQ517" s="195"/>
      <c r="BR517" s="195"/>
      <c r="BS517" s="195"/>
      <c r="BT517" s="195"/>
      <c r="BU517" s="195"/>
      <c r="BV517" s="195"/>
      <c r="BW517" s="195"/>
      <c r="BX517" s="195"/>
      <c r="BY517" s="195"/>
      <c r="BZ517" s="195"/>
      <c r="CA517" s="195"/>
      <c r="CB517" s="195"/>
      <c r="CC517" s="195"/>
      <c r="CD517" s="195"/>
      <c r="CE517" s="195"/>
      <c r="CF517" s="195"/>
      <c r="CG517" s="256"/>
    </row>
    <row r="518" spans="1:85" s="254" customFormat="1" ht="13.9" customHeight="1" x14ac:dyDescent="0.2">
      <c r="A518" s="255" t="s">
        <v>158</v>
      </c>
      <c r="B518" s="187">
        <v>16</v>
      </c>
      <c r="C518" s="248" t="s">
        <v>622</v>
      </c>
      <c r="D518" s="197" t="s">
        <v>159</v>
      </c>
      <c r="E518" s="199"/>
      <c r="F518" s="199">
        <v>2544687516</v>
      </c>
      <c r="G518" s="199"/>
      <c r="H518" s="197" t="s">
        <v>794</v>
      </c>
      <c r="I518" s="248" t="s">
        <v>682</v>
      </c>
      <c r="J518" s="187">
        <v>1</v>
      </c>
      <c r="K518" s="187">
        <v>1</v>
      </c>
      <c r="L518" s="187">
        <v>12</v>
      </c>
      <c r="M518" s="172">
        <f t="shared" si="78"/>
        <v>1</v>
      </c>
      <c r="N518" s="180" t="s">
        <v>36</v>
      </c>
      <c r="O518" s="181" t="str">
        <f>IF(ISBLANK(N518),"",VLOOKUP(N518,[17]Parámetros!$G$2:$H$23,2,FALSE))</f>
        <v xml:space="preserve">Contratación directa (con ofertas) </v>
      </c>
      <c r="P518" s="249">
        <f t="shared" si="90"/>
        <v>1</v>
      </c>
      <c r="Q518" s="183">
        <f t="shared" si="79"/>
        <v>2544687516</v>
      </c>
      <c r="R518" s="183">
        <f t="shared" si="80"/>
        <v>2544687516</v>
      </c>
      <c r="S518" s="250" t="s">
        <v>223</v>
      </c>
      <c r="T518" s="249">
        <f t="shared" si="91"/>
        <v>0</v>
      </c>
      <c r="U518" s="185" t="str">
        <f t="shared" si="81"/>
        <v>SUBDIRECCION DE GESTION CONTRACTUAL</v>
      </c>
      <c r="V518" s="249" t="str">
        <f t="shared" si="88"/>
        <v>CO-DC</v>
      </c>
      <c r="W518" s="249" t="str">
        <f t="shared" si="89"/>
        <v>Distrito Capital de Bogotá</v>
      </c>
      <c r="X518" s="197" t="s">
        <v>591</v>
      </c>
      <c r="Y518" s="187">
        <v>2427400</v>
      </c>
      <c r="Z518" s="201" t="s">
        <v>160</v>
      </c>
      <c r="AA518" s="252"/>
      <c r="AB518" s="252"/>
      <c r="AC518" s="252"/>
      <c r="AD518" s="252"/>
      <c r="AE518" s="252"/>
      <c r="AF518" s="252"/>
      <c r="AG518" s="252"/>
      <c r="AH518" s="252"/>
      <c r="AI518" s="252"/>
      <c r="AJ518" s="252"/>
      <c r="AK518" s="252"/>
      <c r="AL518" s="252"/>
      <c r="AM518" s="252"/>
      <c r="AN518" s="252"/>
      <c r="AO518" s="252"/>
      <c r="AP518" s="252"/>
      <c r="AQ518" s="252"/>
      <c r="AR518" s="252"/>
      <c r="AS518" s="252"/>
      <c r="AT518" s="252"/>
      <c r="AU518" s="195"/>
      <c r="AV518" s="195"/>
      <c r="AW518" s="195"/>
      <c r="AX518" s="195"/>
      <c r="AY518" s="195"/>
      <c r="AZ518" s="195"/>
      <c r="BA518" s="195"/>
      <c r="BB518" s="195"/>
      <c r="BC518" s="195"/>
      <c r="BD518" s="195"/>
      <c r="BE518" s="195"/>
      <c r="BF518" s="195"/>
      <c r="BG518" s="195"/>
      <c r="BH518" s="195"/>
      <c r="BI518" s="195"/>
      <c r="BJ518" s="195"/>
      <c r="BK518" s="195"/>
      <c r="BL518" s="195"/>
      <c r="BM518" s="195"/>
      <c r="BN518" s="195"/>
      <c r="BO518" s="195"/>
      <c r="BP518" s="195"/>
      <c r="BQ518" s="195"/>
      <c r="BR518" s="195"/>
      <c r="BS518" s="195"/>
      <c r="BT518" s="195"/>
      <c r="BU518" s="195"/>
      <c r="BV518" s="195"/>
      <c r="BW518" s="195"/>
      <c r="BX518" s="195"/>
      <c r="BY518" s="195"/>
      <c r="BZ518" s="195"/>
      <c r="CA518" s="195"/>
      <c r="CB518" s="195"/>
      <c r="CC518" s="195"/>
      <c r="CD518" s="195"/>
      <c r="CE518" s="195"/>
      <c r="CF518" s="195"/>
      <c r="CG518" s="256"/>
    </row>
    <row r="519" spans="1:85" s="254" customFormat="1" ht="13.9" customHeight="1" x14ac:dyDescent="0.2">
      <c r="A519" s="255" t="s">
        <v>158</v>
      </c>
      <c r="B519" s="187">
        <v>17</v>
      </c>
      <c r="C519" s="248" t="s">
        <v>622</v>
      </c>
      <c r="D519" s="197" t="s">
        <v>159</v>
      </c>
      <c r="E519" s="199"/>
      <c r="F519" s="199">
        <v>1310662954</v>
      </c>
      <c r="G519" s="199"/>
      <c r="H519" s="197" t="s">
        <v>794</v>
      </c>
      <c r="I519" s="248" t="s">
        <v>683</v>
      </c>
      <c r="J519" s="187">
        <v>1</v>
      </c>
      <c r="K519" s="187">
        <v>1</v>
      </c>
      <c r="L519" s="187">
        <v>12</v>
      </c>
      <c r="M519" s="172">
        <f t="shared" si="78"/>
        <v>1</v>
      </c>
      <c r="N519" s="180" t="s">
        <v>36</v>
      </c>
      <c r="O519" s="181" t="str">
        <f>IF(ISBLANK(N519),"",VLOOKUP(N519,[17]Parámetros!$G$2:$H$23,2,FALSE))</f>
        <v xml:space="preserve">Contratación directa (con ofertas) </v>
      </c>
      <c r="P519" s="249">
        <f t="shared" si="90"/>
        <v>1</v>
      </c>
      <c r="Q519" s="183">
        <f t="shared" si="79"/>
        <v>1310662954</v>
      </c>
      <c r="R519" s="183">
        <f t="shared" si="80"/>
        <v>1310662954</v>
      </c>
      <c r="S519" s="250" t="s">
        <v>223</v>
      </c>
      <c r="T519" s="249">
        <f t="shared" si="91"/>
        <v>0</v>
      </c>
      <c r="U519" s="185" t="str">
        <f t="shared" si="81"/>
        <v>SUBDIRECCION DE GESTION CONTRACTUAL</v>
      </c>
      <c r="V519" s="249" t="str">
        <f t="shared" si="88"/>
        <v>CO-DC</v>
      </c>
      <c r="W519" s="249" t="str">
        <f t="shared" si="89"/>
        <v>Distrito Capital de Bogotá</v>
      </c>
      <c r="X519" s="197" t="s">
        <v>591</v>
      </c>
      <c r="Y519" s="187">
        <v>2427400</v>
      </c>
      <c r="Z519" s="201" t="s">
        <v>160</v>
      </c>
      <c r="AA519" s="252"/>
      <c r="AB519" s="252"/>
      <c r="AC519" s="252"/>
      <c r="AD519" s="252"/>
      <c r="AE519" s="252"/>
      <c r="AF519" s="252"/>
      <c r="AG519" s="252"/>
      <c r="AH519" s="252"/>
      <c r="AI519" s="252"/>
      <c r="AJ519" s="252"/>
      <c r="AK519" s="252"/>
      <c r="AL519" s="252"/>
      <c r="AM519" s="252"/>
      <c r="AN519" s="252"/>
      <c r="AO519" s="252"/>
      <c r="AP519" s="252"/>
      <c r="AQ519" s="252"/>
      <c r="AR519" s="252"/>
      <c r="AS519" s="252"/>
      <c r="AT519" s="252"/>
      <c r="AU519" s="195"/>
      <c r="AV519" s="195"/>
      <c r="AW519" s="195"/>
      <c r="AX519" s="195"/>
      <c r="AY519" s="195"/>
      <c r="AZ519" s="195"/>
      <c r="BA519" s="195"/>
      <c r="BB519" s="195"/>
      <c r="BC519" s="195"/>
      <c r="BD519" s="195"/>
      <c r="BE519" s="195"/>
      <c r="BF519" s="195"/>
      <c r="BG519" s="195"/>
      <c r="BH519" s="195"/>
      <c r="BI519" s="195"/>
      <c r="BJ519" s="195"/>
      <c r="BK519" s="195"/>
      <c r="BL519" s="195"/>
      <c r="BM519" s="195"/>
      <c r="BN519" s="195"/>
      <c r="BO519" s="195"/>
      <c r="BP519" s="195"/>
      <c r="BQ519" s="195"/>
      <c r="BR519" s="195"/>
      <c r="BS519" s="195"/>
      <c r="BT519" s="195"/>
      <c r="BU519" s="195"/>
      <c r="BV519" s="195"/>
      <c r="BW519" s="195"/>
      <c r="BX519" s="195"/>
      <c r="BY519" s="195"/>
      <c r="BZ519" s="195"/>
      <c r="CA519" s="195"/>
      <c r="CB519" s="195"/>
      <c r="CC519" s="195"/>
      <c r="CD519" s="195"/>
      <c r="CE519" s="195"/>
      <c r="CF519" s="195"/>
      <c r="CG519" s="256"/>
    </row>
    <row r="520" spans="1:85" s="254" customFormat="1" ht="13.9" customHeight="1" x14ac:dyDescent="0.2">
      <c r="A520" s="255" t="s">
        <v>158</v>
      </c>
      <c r="B520" s="187">
        <v>18</v>
      </c>
      <c r="C520" s="248" t="s">
        <v>622</v>
      </c>
      <c r="D520" s="197" t="s">
        <v>159</v>
      </c>
      <c r="E520" s="199"/>
      <c r="F520" s="199">
        <v>305440000</v>
      </c>
      <c r="G520" s="199"/>
      <c r="H520" s="197" t="s">
        <v>794</v>
      </c>
      <c r="I520" s="248" t="s">
        <v>684</v>
      </c>
      <c r="J520" s="187">
        <v>1</v>
      </c>
      <c r="K520" s="187">
        <v>1</v>
      </c>
      <c r="L520" s="187">
        <v>12</v>
      </c>
      <c r="M520" s="172">
        <f t="shared" si="78"/>
        <v>1</v>
      </c>
      <c r="N520" s="180" t="s">
        <v>36</v>
      </c>
      <c r="O520" s="181" t="str">
        <f>IF(ISBLANK(N520),"",VLOOKUP(N520,[17]Parámetros!$G$2:$H$23,2,FALSE))</f>
        <v xml:space="preserve">Contratación directa (con ofertas) </v>
      </c>
      <c r="P520" s="249">
        <f t="shared" si="90"/>
        <v>1</v>
      </c>
      <c r="Q520" s="183">
        <f t="shared" si="79"/>
        <v>305440000</v>
      </c>
      <c r="R520" s="183">
        <f t="shared" si="80"/>
        <v>305440000</v>
      </c>
      <c r="S520" s="250" t="s">
        <v>223</v>
      </c>
      <c r="T520" s="249">
        <f t="shared" si="91"/>
        <v>0</v>
      </c>
      <c r="U520" s="185" t="str">
        <f t="shared" si="81"/>
        <v>SUBDIRECCION DE GESTION CONTRACTUAL</v>
      </c>
      <c r="V520" s="249" t="str">
        <f t="shared" si="88"/>
        <v>CO-DC</v>
      </c>
      <c r="W520" s="249" t="str">
        <f t="shared" si="89"/>
        <v>Distrito Capital de Bogotá</v>
      </c>
      <c r="X520" s="197" t="s">
        <v>591</v>
      </c>
      <c r="Y520" s="187">
        <v>2427400</v>
      </c>
      <c r="Z520" s="201" t="s">
        <v>160</v>
      </c>
      <c r="AA520" s="252"/>
      <c r="AB520" s="252"/>
      <c r="AC520" s="252"/>
      <c r="AD520" s="252"/>
      <c r="AE520" s="252"/>
      <c r="AF520" s="252"/>
      <c r="AG520" s="252"/>
      <c r="AH520" s="252"/>
      <c r="AI520" s="252"/>
      <c r="AJ520" s="252"/>
      <c r="AK520" s="252"/>
      <c r="AL520" s="252"/>
      <c r="AM520" s="252"/>
      <c r="AN520" s="252"/>
      <c r="AO520" s="252"/>
      <c r="AP520" s="252"/>
      <c r="AQ520" s="252"/>
      <c r="AR520" s="252"/>
      <c r="AS520" s="252"/>
      <c r="AT520" s="252"/>
      <c r="AU520" s="195"/>
      <c r="AV520" s="195"/>
      <c r="AW520" s="195"/>
      <c r="AX520" s="195"/>
      <c r="AY520" s="195"/>
      <c r="AZ520" s="195"/>
      <c r="BA520" s="195"/>
      <c r="BB520" s="195"/>
      <c r="BC520" s="195"/>
      <c r="BD520" s="195"/>
      <c r="BE520" s="195"/>
      <c r="BF520" s="195"/>
      <c r="BG520" s="195"/>
      <c r="BH520" s="195"/>
      <c r="BI520" s="195"/>
      <c r="BJ520" s="195"/>
      <c r="BK520" s="195"/>
      <c r="BL520" s="195"/>
      <c r="BM520" s="195"/>
      <c r="BN520" s="195"/>
      <c r="BO520" s="195"/>
      <c r="BP520" s="195"/>
      <c r="BQ520" s="195"/>
      <c r="BR520" s="195"/>
      <c r="BS520" s="195"/>
      <c r="BT520" s="195"/>
      <c r="BU520" s="195"/>
      <c r="BV520" s="195"/>
      <c r="BW520" s="195"/>
      <c r="BX520" s="195"/>
      <c r="BY520" s="195"/>
      <c r="BZ520" s="195"/>
      <c r="CA520" s="195"/>
      <c r="CB520" s="195"/>
      <c r="CC520" s="195"/>
      <c r="CD520" s="195"/>
      <c r="CE520" s="195"/>
      <c r="CF520" s="195"/>
      <c r="CG520" s="256"/>
    </row>
    <row r="521" spans="1:85" s="254" customFormat="1" ht="13.9" customHeight="1" x14ac:dyDescent="0.2">
      <c r="A521" s="255" t="s">
        <v>158</v>
      </c>
      <c r="B521" s="187">
        <v>19</v>
      </c>
      <c r="C521" s="248" t="s">
        <v>622</v>
      </c>
      <c r="D521" s="197" t="s">
        <v>159</v>
      </c>
      <c r="E521" s="199"/>
      <c r="F521" s="199">
        <v>1988398580</v>
      </c>
      <c r="G521" s="199"/>
      <c r="H521" s="197" t="s">
        <v>798</v>
      </c>
      <c r="I521" s="248" t="s">
        <v>685</v>
      </c>
      <c r="J521" s="187">
        <v>1</v>
      </c>
      <c r="K521" s="187">
        <v>1</v>
      </c>
      <c r="L521" s="187">
        <v>12</v>
      </c>
      <c r="M521" s="172">
        <f t="shared" si="78"/>
        <v>1</v>
      </c>
      <c r="N521" s="180" t="s">
        <v>36</v>
      </c>
      <c r="O521" s="181" t="str">
        <f>IF(ISBLANK(N521),"",VLOOKUP(N521,[17]Parámetros!$G$2:$H$23,2,FALSE))</f>
        <v xml:space="preserve">Contratación directa (con ofertas) </v>
      </c>
      <c r="P521" s="249">
        <f t="shared" si="90"/>
        <v>1</v>
      </c>
      <c r="Q521" s="183">
        <f t="shared" si="79"/>
        <v>1988398580</v>
      </c>
      <c r="R521" s="183">
        <f t="shared" si="80"/>
        <v>1988398580</v>
      </c>
      <c r="S521" s="250" t="s">
        <v>223</v>
      </c>
      <c r="T521" s="249">
        <f t="shared" si="91"/>
        <v>0</v>
      </c>
      <c r="U521" s="185" t="str">
        <f t="shared" si="81"/>
        <v>SUBDIRECCION DE GESTION CONTRACTUAL</v>
      </c>
      <c r="V521" s="249" t="str">
        <f t="shared" si="88"/>
        <v>CO-DC</v>
      </c>
      <c r="W521" s="249" t="str">
        <f t="shared" si="89"/>
        <v>Distrito Capital de Bogotá</v>
      </c>
      <c r="X521" s="197" t="s">
        <v>591</v>
      </c>
      <c r="Y521" s="187">
        <v>2427400</v>
      </c>
      <c r="Z521" s="201" t="s">
        <v>160</v>
      </c>
      <c r="AA521" s="252"/>
      <c r="AB521" s="252"/>
      <c r="AC521" s="252"/>
      <c r="AD521" s="252"/>
      <c r="AE521" s="252"/>
      <c r="AF521" s="252"/>
      <c r="AG521" s="252"/>
      <c r="AH521" s="252"/>
      <c r="AI521" s="252"/>
      <c r="AJ521" s="252"/>
      <c r="AK521" s="252"/>
      <c r="AL521" s="252"/>
      <c r="AM521" s="252"/>
      <c r="AN521" s="252"/>
      <c r="AO521" s="252"/>
      <c r="AP521" s="252"/>
      <c r="AQ521" s="252"/>
      <c r="AR521" s="252"/>
      <c r="AS521" s="252"/>
      <c r="AT521" s="252"/>
      <c r="AU521" s="195"/>
      <c r="AV521" s="195"/>
      <c r="AW521" s="195"/>
      <c r="AX521" s="195"/>
      <c r="AY521" s="195"/>
      <c r="AZ521" s="195"/>
      <c r="BA521" s="195"/>
      <c r="BB521" s="195"/>
      <c r="BC521" s="195"/>
      <c r="BD521" s="195"/>
      <c r="BE521" s="195"/>
      <c r="BF521" s="195"/>
      <c r="BG521" s="195"/>
      <c r="BH521" s="195"/>
      <c r="BI521" s="195"/>
      <c r="BJ521" s="195"/>
      <c r="BK521" s="195"/>
      <c r="BL521" s="195"/>
      <c r="BM521" s="195"/>
      <c r="BN521" s="195"/>
      <c r="BO521" s="195"/>
      <c r="BP521" s="195"/>
      <c r="BQ521" s="195"/>
      <c r="BR521" s="195"/>
      <c r="BS521" s="195"/>
      <c r="BT521" s="195"/>
      <c r="BU521" s="195"/>
      <c r="BV521" s="195"/>
      <c r="BW521" s="195"/>
      <c r="BX521" s="195"/>
      <c r="BY521" s="195"/>
      <c r="BZ521" s="195"/>
      <c r="CA521" s="195"/>
      <c r="CB521" s="195"/>
      <c r="CC521" s="195"/>
      <c r="CD521" s="195"/>
      <c r="CE521" s="195"/>
      <c r="CF521" s="195"/>
      <c r="CG521" s="256"/>
    </row>
    <row r="522" spans="1:85" s="254" customFormat="1" ht="13.9" customHeight="1" x14ac:dyDescent="0.2">
      <c r="A522" s="255" t="s">
        <v>158</v>
      </c>
      <c r="B522" s="187">
        <v>20</v>
      </c>
      <c r="C522" s="248" t="s">
        <v>622</v>
      </c>
      <c r="D522" s="197" t="s">
        <v>159</v>
      </c>
      <c r="E522" s="199"/>
      <c r="F522" s="199">
        <v>397679715</v>
      </c>
      <c r="G522" s="199"/>
      <c r="H522" s="197" t="s">
        <v>798</v>
      </c>
      <c r="I522" s="248" t="s">
        <v>685</v>
      </c>
      <c r="J522" s="187">
        <v>1</v>
      </c>
      <c r="K522" s="187">
        <v>1</v>
      </c>
      <c r="L522" s="187">
        <v>12</v>
      </c>
      <c r="M522" s="172">
        <f t="shared" si="78"/>
        <v>1</v>
      </c>
      <c r="N522" s="180" t="s">
        <v>36</v>
      </c>
      <c r="O522" s="181" t="str">
        <f>IF(ISBLANK(N522),"",VLOOKUP(N522,[17]Parámetros!$G$2:$H$23,2,FALSE))</f>
        <v xml:space="preserve">Contratación directa (con ofertas) </v>
      </c>
      <c r="P522" s="249">
        <f t="shared" si="90"/>
        <v>1</v>
      </c>
      <c r="Q522" s="183">
        <f t="shared" si="79"/>
        <v>397679715</v>
      </c>
      <c r="R522" s="183">
        <f t="shared" si="80"/>
        <v>397679715</v>
      </c>
      <c r="S522" s="250" t="s">
        <v>223</v>
      </c>
      <c r="T522" s="249">
        <f t="shared" si="91"/>
        <v>0</v>
      </c>
      <c r="U522" s="185" t="str">
        <f t="shared" si="81"/>
        <v>SUBDIRECCION DE GESTION CONTRACTUAL</v>
      </c>
      <c r="V522" s="249" t="str">
        <f t="shared" si="88"/>
        <v>CO-DC</v>
      </c>
      <c r="W522" s="249" t="str">
        <f t="shared" si="89"/>
        <v>Distrito Capital de Bogotá</v>
      </c>
      <c r="X522" s="197" t="s">
        <v>591</v>
      </c>
      <c r="Y522" s="187">
        <v>2427400</v>
      </c>
      <c r="Z522" s="201" t="s">
        <v>160</v>
      </c>
      <c r="AA522" s="252"/>
      <c r="AB522" s="252"/>
      <c r="AC522" s="252"/>
      <c r="AD522" s="252"/>
      <c r="AE522" s="252"/>
      <c r="AF522" s="252"/>
      <c r="AG522" s="252"/>
      <c r="AH522" s="252"/>
      <c r="AI522" s="252"/>
      <c r="AJ522" s="252"/>
      <c r="AK522" s="252"/>
      <c r="AL522" s="252"/>
      <c r="AM522" s="252"/>
      <c r="AN522" s="252"/>
      <c r="AO522" s="252"/>
      <c r="AP522" s="252"/>
      <c r="AQ522" s="252"/>
      <c r="AR522" s="252"/>
      <c r="AS522" s="252"/>
      <c r="AT522" s="252"/>
      <c r="AU522" s="195"/>
      <c r="AV522" s="195"/>
      <c r="AW522" s="195"/>
      <c r="AX522" s="195"/>
      <c r="AY522" s="195"/>
      <c r="AZ522" s="195"/>
      <c r="BA522" s="195"/>
      <c r="BB522" s="195"/>
      <c r="BC522" s="195"/>
      <c r="BD522" s="195"/>
      <c r="BE522" s="195"/>
      <c r="BF522" s="195"/>
      <c r="BG522" s="195"/>
      <c r="BH522" s="195"/>
      <c r="BI522" s="195"/>
      <c r="BJ522" s="195"/>
      <c r="BK522" s="195"/>
      <c r="BL522" s="195"/>
      <c r="BM522" s="195"/>
      <c r="BN522" s="195"/>
      <c r="BO522" s="195"/>
      <c r="BP522" s="195"/>
      <c r="BQ522" s="195"/>
      <c r="BR522" s="195"/>
      <c r="BS522" s="195"/>
      <c r="BT522" s="195"/>
      <c r="BU522" s="195"/>
      <c r="BV522" s="195"/>
      <c r="BW522" s="195"/>
      <c r="BX522" s="195"/>
      <c r="BY522" s="195"/>
      <c r="BZ522" s="195"/>
      <c r="CA522" s="195"/>
      <c r="CB522" s="195"/>
      <c r="CC522" s="195"/>
      <c r="CD522" s="195"/>
      <c r="CE522" s="195"/>
      <c r="CF522" s="195"/>
      <c r="CG522" s="256"/>
    </row>
    <row r="523" spans="1:85" s="254" customFormat="1" ht="13.9" customHeight="1" x14ac:dyDescent="0.2">
      <c r="A523" s="255" t="s">
        <v>158</v>
      </c>
      <c r="B523" s="187">
        <v>21</v>
      </c>
      <c r="C523" s="248" t="s">
        <v>622</v>
      </c>
      <c r="D523" s="197" t="s">
        <v>159</v>
      </c>
      <c r="E523" s="199"/>
      <c r="F523" s="199">
        <v>250000000</v>
      </c>
      <c r="G523" s="199"/>
      <c r="H523" s="197" t="s">
        <v>794</v>
      </c>
      <c r="I523" s="248" t="s">
        <v>687</v>
      </c>
      <c r="J523" s="187">
        <v>1</v>
      </c>
      <c r="K523" s="187">
        <v>1</v>
      </c>
      <c r="L523" s="187">
        <v>12</v>
      </c>
      <c r="M523" s="172">
        <f t="shared" si="78"/>
        <v>1</v>
      </c>
      <c r="N523" s="180" t="s">
        <v>36</v>
      </c>
      <c r="O523" s="181" t="str">
        <f>IF(ISBLANK(N523),"",VLOOKUP(N523,[17]Parámetros!$G$2:$H$23,2,FALSE))</f>
        <v xml:space="preserve">Contratación directa (con ofertas) </v>
      </c>
      <c r="P523" s="249">
        <f t="shared" si="90"/>
        <v>1</v>
      </c>
      <c r="Q523" s="183">
        <f t="shared" si="79"/>
        <v>250000000</v>
      </c>
      <c r="R523" s="183">
        <f t="shared" si="80"/>
        <v>250000000</v>
      </c>
      <c r="S523" s="250" t="s">
        <v>223</v>
      </c>
      <c r="T523" s="249">
        <f t="shared" si="91"/>
        <v>0</v>
      </c>
      <c r="U523" s="185" t="str">
        <f t="shared" si="81"/>
        <v>SUBDIRECCION DE GESTION CONTRACTUAL</v>
      </c>
      <c r="V523" s="249" t="str">
        <f t="shared" si="88"/>
        <v>CO-DC</v>
      </c>
      <c r="W523" s="249" t="str">
        <f t="shared" si="89"/>
        <v>Distrito Capital de Bogotá</v>
      </c>
      <c r="X523" s="197" t="s">
        <v>591</v>
      </c>
      <c r="Y523" s="187">
        <v>2427400</v>
      </c>
      <c r="Z523" s="201" t="s">
        <v>160</v>
      </c>
      <c r="AA523" s="252"/>
      <c r="AB523" s="252"/>
      <c r="AC523" s="252"/>
      <c r="AD523" s="252"/>
      <c r="AE523" s="252"/>
      <c r="AF523" s="252"/>
      <c r="AG523" s="252"/>
      <c r="AH523" s="252"/>
      <c r="AI523" s="252"/>
      <c r="AJ523" s="252"/>
      <c r="AK523" s="252"/>
      <c r="AL523" s="252"/>
      <c r="AM523" s="252"/>
      <c r="AN523" s="252"/>
      <c r="AO523" s="252"/>
      <c r="AP523" s="252"/>
      <c r="AQ523" s="252"/>
      <c r="AR523" s="252"/>
      <c r="AS523" s="252"/>
      <c r="AT523" s="252"/>
      <c r="AU523" s="195"/>
      <c r="AV523" s="195"/>
      <c r="AW523" s="195"/>
      <c r="AX523" s="195"/>
      <c r="AY523" s="195"/>
      <c r="AZ523" s="195"/>
      <c r="BA523" s="195"/>
      <c r="BB523" s="195"/>
      <c r="BC523" s="195"/>
      <c r="BD523" s="195"/>
      <c r="BE523" s="195"/>
      <c r="BF523" s="195"/>
      <c r="BG523" s="195"/>
      <c r="BH523" s="195"/>
      <c r="BI523" s="195"/>
      <c r="BJ523" s="195"/>
      <c r="BK523" s="195"/>
      <c r="BL523" s="195"/>
      <c r="BM523" s="195"/>
      <c r="BN523" s="195"/>
      <c r="BO523" s="195"/>
      <c r="BP523" s="195"/>
      <c r="BQ523" s="195"/>
      <c r="BR523" s="195"/>
      <c r="BS523" s="195"/>
      <c r="BT523" s="195"/>
      <c r="BU523" s="195"/>
      <c r="BV523" s="195"/>
      <c r="BW523" s="195"/>
      <c r="BX523" s="195"/>
      <c r="BY523" s="195"/>
      <c r="BZ523" s="195"/>
      <c r="CA523" s="195"/>
      <c r="CB523" s="195"/>
      <c r="CC523" s="195"/>
      <c r="CD523" s="195"/>
      <c r="CE523" s="195"/>
      <c r="CF523" s="195"/>
      <c r="CG523" s="256"/>
    </row>
    <row r="524" spans="1:85" s="254" customFormat="1" ht="13.9" customHeight="1" x14ac:dyDescent="0.2">
      <c r="A524" s="255" t="s">
        <v>158</v>
      </c>
      <c r="B524" s="187">
        <v>22</v>
      </c>
      <c r="C524" s="248" t="s">
        <v>622</v>
      </c>
      <c r="D524" s="197" t="s">
        <v>159</v>
      </c>
      <c r="E524" s="199"/>
      <c r="F524" s="199">
        <v>250000000</v>
      </c>
      <c r="G524" s="199"/>
      <c r="H524" s="197" t="s">
        <v>794</v>
      </c>
      <c r="I524" s="248" t="s">
        <v>686</v>
      </c>
      <c r="J524" s="187">
        <v>1</v>
      </c>
      <c r="K524" s="187">
        <v>1</v>
      </c>
      <c r="L524" s="187">
        <v>12</v>
      </c>
      <c r="M524" s="172">
        <f t="shared" si="78"/>
        <v>1</v>
      </c>
      <c r="N524" s="180" t="s">
        <v>36</v>
      </c>
      <c r="O524" s="181" t="str">
        <f>IF(ISBLANK(N524),"",VLOOKUP(N524,[17]Parámetros!$G$2:$H$23,2,FALSE))</f>
        <v xml:space="preserve">Contratación directa (con ofertas) </v>
      </c>
      <c r="P524" s="249">
        <f t="shared" si="90"/>
        <v>1</v>
      </c>
      <c r="Q524" s="183">
        <f t="shared" si="79"/>
        <v>250000000</v>
      </c>
      <c r="R524" s="183">
        <f t="shared" si="80"/>
        <v>250000000</v>
      </c>
      <c r="S524" s="250" t="s">
        <v>223</v>
      </c>
      <c r="T524" s="249">
        <f t="shared" si="91"/>
        <v>0</v>
      </c>
      <c r="U524" s="185" t="str">
        <f t="shared" si="81"/>
        <v>SUBDIRECCION DE GESTION CONTRACTUAL</v>
      </c>
      <c r="V524" s="249" t="str">
        <f t="shared" si="88"/>
        <v>CO-DC</v>
      </c>
      <c r="W524" s="249" t="str">
        <f t="shared" si="89"/>
        <v>Distrito Capital de Bogotá</v>
      </c>
      <c r="X524" s="197" t="s">
        <v>591</v>
      </c>
      <c r="Y524" s="187">
        <v>2427400</v>
      </c>
      <c r="Z524" s="201" t="s">
        <v>160</v>
      </c>
      <c r="AA524" s="252"/>
      <c r="AB524" s="252"/>
      <c r="AC524" s="252"/>
      <c r="AD524" s="252"/>
      <c r="AE524" s="252"/>
      <c r="AF524" s="252"/>
      <c r="AG524" s="252"/>
      <c r="AH524" s="252"/>
      <c r="AI524" s="252"/>
      <c r="AJ524" s="252"/>
      <c r="AK524" s="252"/>
      <c r="AL524" s="252"/>
      <c r="AM524" s="252"/>
      <c r="AN524" s="252"/>
      <c r="AO524" s="252"/>
      <c r="AP524" s="252"/>
      <c r="AQ524" s="252"/>
      <c r="AR524" s="252"/>
      <c r="AS524" s="252"/>
      <c r="AT524" s="252"/>
      <c r="AU524" s="195"/>
      <c r="AV524" s="195"/>
      <c r="AW524" s="195"/>
      <c r="AX524" s="195"/>
      <c r="AY524" s="195"/>
      <c r="AZ524" s="195"/>
      <c r="BA524" s="195"/>
      <c r="BB524" s="195"/>
      <c r="BC524" s="195"/>
      <c r="BD524" s="195"/>
      <c r="BE524" s="195"/>
      <c r="BF524" s="195"/>
      <c r="BG524" s="195"/>
      <c r="BH524" s="195"/>
      <c r="BI524" s="195"/>
      <c r="BJ524" s="195"/>
      <c r="BK524" s="195"/>
      <c r="BL524" s="195"/>
      <c r="BM524" s="195"/>
      <c r="BN524" s="195"/>
      <c r="BO524" s="195"/>
      <c r="BP524" s="195"/>
      <c r="BQ524" s="195"/>
      <c r="BR524" s="195"/>
      <c r="BS524" s="195"/>
      <c r="BT524" s="195"/>
      <c r="BU524" s="195"/>
      <c r="BV524" s="195"/>
      <c r="BW524" s="195"/>
      <c r="BX524" s="195"/>
      <c r="BY524" s="195"/>
      <c r="BZ524" s="195"/>
      <c r="CA524" s="195"/>
      <c r="CB524" s="195"/>
      <c r="CC524" s="195"/>
      <c r="CD524" s="195"/>
      <c r="CE524" s="195"/>
      <c r="CF524" s="195"/>
      <c r="CG524" s="256"/>
    </row>
    <row r="525" spans="1:85" s="254" customFormat="1" ht="13.9" customHeight="1" x14ac:dyDescent="0.2">
      <c r="A525" s="255" t="s">
        <v>158</v>
      </c>
      <c r="B525" s="187">
        <v>23</v>
      </c>
      <c r="C525" s="248" t="s">
        <v>622</v>
      </c>
      <c r="D525" s="197" t="s">
        <v>159</v>
      </c>
      <c r="E525" s="199"/>
      <c r="F525" s="199">
        <v>196577560</v>
      </c>
      <c r="G525" s="199"/>
      <c r="H525" s="197" t="s">
        <v>794</v>
      </c>
      <c r="I525" s="248" t="s">
        <v>688</v>
      </c>
      <c r="J525" s="187">
        <v>1</v>
      </c>
      <c r="K525" s="187">
        <v>1</v>
      </c>
      <c r="L525" s="187">
        <v>12</v>
      </c>
      <c r="M525" s="172">
        <f t="shared" si="78"/>
        <v>1</v>
      </c>
      <c r="N525" s="180" t="s">
        <v>36</v>
      </c>
      <c r="O525" s="181" t="str">
        <f>IF(ISBLANK(N525),"",VLOOKUP(N525,[17]Parámetros!$G$2:$H$23,2,FALSE))</f>
        <v xml:space="preserve">Contratación directa (con ofertas) </v>
      </c>
      <c r="P525" s="249">
        <f t="shared" si="90"/>
        <v>1</v>
      </c>
      <c r="Q525" s="183">
        <f t="shared" si="79"/>
        <v>196577560</v>
      </c>
      <c r="R525" s="183">
        <f t="shared" si="80"/>
        <v>196577560</v>
      </c>
      <c r="S525" s="250" t="s">
        <v>223</v>
      </c>
      <c r="T525" s="249">
        <f t="shared" si="91"/>
        <v>0</v>
      </c>
      <c r="U525" s="185" t="str">
        <f t="shared" si="81"/>
        <v>SUBDIRECCION DE GESTION CONTRACTUAL</v>
      </c>
      <c r="V525" s="249" t="str">
        <f t="shared" si="88"/>
        <v>CO-DC</v>
      </c>
      <c r="W525" s="249" t="str">
        <f t="shared" si="89"/>
        <v>Distrito Capital de Bogotá</v>
      </c>
      <c r="X525" s="197" t="s">
        <v>591</v>
      </c>
      <c r="Y525" s="187">
        <v>2427400</v>
      </c>
      <c r="Z525" s="201" t="s">
        <v>160</v>
      </c>
      <c r="AA525" s="252"/>
      <c r="AB525" s="252"/>
      <c r="AC525" s="252"/>
      <c r="AD525" s="252"/>
      <c r="AE525" s="252"/>
      <c r="AF525" s="252"/>
      <c r="AG525" s="252"/>
      <c r="AH525" s="252"/>
      <c r="AI525" s="252"/>
      <c r="AJ525" s="252"/>
      <c r="AK525" s="252"/>
      <c r="AL525" s="252"/>
      <c r="AM525" s="252"/>
      <c r="AN525" s="252"/>
      <c r="AO525" s="252"/>
      <c r="AP525" s="252"/>
      <c r="AQ525" s="252"/>
      <c r="AR525" s="252"/>
      <c r="AS525" s="252"/>
      <c r="AT525" s="252"/>
      <c r="AU525" s="195"/>
      <c r="AV525" s="195"/>
      <c r="AW525" s="195"/>
      <c r="AX525" s="195"/>
      <c r="AY525" s="195"/>
      <c r="AZ525" s="195"/>
      <c r="BA525" s="195"/>
      <c r="BB525" s="195"/>
      <c r="BC525" s="195"/>
      <c r="BD525" s="195"/>
      <c r="BE525" s="195"/>
      <c r="BF525" s="195"/>
      <c r="BG525" s="195"/>
      <c r="BH525" s="195"/>
      <c r="BI525" s="195"/>
      <c r="BJ525" s="195"/>
      <c r="BK525" s="195"/>
      <c r="BL525" s="195"/>
      <c r="BM525" s="195"/>
      <c r="BN525" s="195"/>
      <c r="BO525" s="195"/>
      <c r="BP525" s="195"/>
      <c r="BQ525" s="195"/>
      <c r="BR525" s="195"/>
      <c r="BS525" s="195"/>
      <c r="BT525" s="195"/>
      <c r="BU525" s="195"/>
      <c r="BV525" s="195"/>
      <c r="BW525" s="195"/>
      <c r="BX525" s="195"/>
      <c r="BY525" s="195"/>
      <c r="BZ525" s="195"/>
      <c r="CA525" s="195"/>
      <c r="CB525" s="195"/>
      <c r="CC525" s="195"/>
      <c r="CD525" s="195"/>
      <c r="CE525" s="195"/>
      <c r="CF525" s="195"/>
      <c r="CG525" s="256"/>
    </row>
    <row r="526" spans="1:85" s="254" customFormat="1" ht="13.9" customHeight="1" x14ac:dyDescent="0.2">
      <c r="A526" s="255" t="s">
        <v>158</v>
      </c>
      <c r="B526" s="187">
        <v>24</v>
      </c>
      <c r="C526" s="248" t="s">
        <v>622</v>
      </c>
      <c r="D526" s="197" t="s">
        <v>159</v>
      </c>
      <c r="E526" s="199"/>
      <c r="F526" s="199">
        <v>205000000</v>
      </c>
      <c r="G526" s="199"/>
      <c r="H526" s="197" t="s">
        <v>794</v>
      </c>
      <c r="I526" s="248" t="s">
        <v>689</v>
      </c>
      <c r="J526" s="187">
        <v>1</v>
      </c>
      <c r="K526" s="187">
        <v>1</v>
      </c>
      <c r="L526" s="187">
        <v>12</v>
      </c>
      <c r="M526" s="172">
        <f t="shared" si="78"/>
        <v>1</v>
      </c>
      <c r="N526" s="180" t="s">
        <v>36</v>
      </c>
      <c r="O526" s="181" t="str">
        <f>IF(ISBLANK(N526),"",VLOOKUP(N526,[17]Parámetros!$G$2:$H$23,2,FALSE))</f>
        <v xml:space="preserve">Contratación directa (con ofertas) </v>
      </c>
      <c r="P526" s="249">
        <f t="shared" si="90"/>
        <v>1</v>
      </c>
      <c r="Q526" s="183">
        <f t="shared" si="79"/>
        <v>205000000</v>
      </c>
      <c r="R526" s="183">
        <f t="shared" si="80"/>
        <v>205000000</v>
      </c>
      <c r="S526" s="250" t="s">
        <v>223</v>
      </c>
      <c r="T526" s="249">
        <f t="shared" si="91"/>
        <v>0</v>
      </c>
      <c r="U526" s="185" t="str">
        <f t="shared" si="81"/>
        <v>SUBDIRECCION DE GESTION CONTRACTUAL</v>
      </c>
      <c r="V526" s="249" t="str">
        <f t="shared" si="88"/>
        <v>CO-DC</v>
      </c>
      <c r="W526" s="249" t="str">
        <f t="shared" si="89"/>
        <v>Distrito Capital de Bogotá</v>
      </c>
      <c r="X526" s="197" t="s">
        <v>591</v>
      </c>
      <c r="Y526" s="187">
        <v>2427400</v>
      </c>
      <c r="Z526" s="201" t="s">
        <v>160</v>
      </c>
      <c r="AA526" s="252"/>
      <c r="AB526" s="252"/>
      <c r="AC526" s="252"/>
      <c r="AD526" s="252"/>
      <c r="AE526" s="252"/>
      <c r="AF526" s="252"/>
      <c r="AG526" s="252"/>
      <c r="AH526" s="252"/>
      <c r="AI526" s="252"/>
      <c r="AJ526" s="252"/>
      <c r="AK526" s="252"/>
      <c r="AL526" s="252"/>
      <c r="AM526" s="252"/>
      <c r="AN526" s="252"/>
      <c r="AO526" s="252"/>
      <c r="AP526" s="252"/>
      <c r="AQ526" s="252"/>
      <c r="AR526" s="252"/>
      <c r="AS526" s="252"/>
      <c r="AT526" s="252"/>
      <c r="AU526" s="195"/>
      <c r="AV526" s="195"/>
      <c r="AW526" s="195"/>
      <c r="AX526" s="195"/>
      <c r="AY526" s="195"/>
      <c r="AZ526" s="195"/>
      <c r="BA526" s="195"/>
      <c r="BB526" s="195"/>
      <c r="BC526" s="195"/>
      <c r="BD526" s="195"/>
      <c r="BE526" s="195"/>
      <c r="BF526" s="195"/>
      <c r="BG526" s="195"/>
      <c r="BH526" s="195"/>
      <c r="BI526" s="195"/>
      <c r="BJ526" s="195"/>
      <c r="BK526" s="195"/>
      <c r="BL526" s="195"/>
      <c r="BM526" s="195"/>
      <c r="BN526" s="195"/>
      <c r="BO526" s="195"/>
      <c r="BP526" s="195"/>
      <c r="BQ526" s="195"/>
      <c r="BR526" s="195"/>
      <c r="BS526" s="195"/>
      <c r="BT526" s="195"/>
      <c r="BU526" s="195"/>
      <c r="BV526" s="195"/>
      <c r="BW526" s="195"/>
      <c r="BX526" s="195"/>
      <c r="BY526" s="195"/>
      <c r="BZ526" s="195"/>
      <c r="CA526" s="195"/>
      <c r="CB526" s="195"/>
      <c r="CC526" s="195"/>
      <c r="CD526" s="195"/>
      <c r="CE526" s="195"/>
      <c r="CF526" s="195"/>
      <c r="CG526" s="256"/>
    </row>
    <row r="527" spans="1:85" s="254" customFormat="1" ht="13.9" customHeight="1" x14ac:dyDescent="0.2">
      <c r="A527" s="255" t="s">
        <v>158</v>
      </c>
      <c r="B527" s="187">
        <v>25</v>
      </c>
      <c r="C527" s="248" t="s">
        <v>622</v>
      </c>
      <c r="D527" s="197" t="s">
        <v>159</v>
      </c>
      <c r="E527" s="199"/>
      <c r="F527" s="199">
        <v>205000000</v>
      </c>
      <c r="G527" s="199"/>
      <c r="H527" s="197" t="s">
        <v>794</v>
      </c>
      <c r="I527" s="248" t="s">
        <v>690</v>
      </c>
      <c r="J527" s="187">
        <v>1</v>
      </c>
      <c r="K527" s="187">
        <v>1</v>
      </c>
      <c r="L527" s="187">
        <v>12</v>
      </c>
      <c r="M527" s="172">
        <f t="shared" ref="M527:M590" si="92">IF(ISBLANK(J527),"",1)</f>
        <v>1</v>
      </c>
      <c r="N527" s="180" t="s">
        <v>36</v>
      </c>
      <c r="O527" s="181" t="str">
        <f>IF(ISBLANK(N527),"",VLOOKUP(N527,[17]Parámetros!$G$2:$H$23,2,FALSE))</f>
        <v xml:space="preserve">Contratación directa (con ofertas) </v>
      </c>
      <c r="P527" s="249">
        <f t="shared" si="90"/>
        <v>1</v>
      </c>
      <c r="Q527" s="183">
        <f t="shared" ref="Q527:Q590" si="93">+E527+F527+G527</f>
        <v>205000000</v>
      </c>
      <c r="R527" s="183">
        <f t="shared" ref="R527:R590" si="94">+F527</f>
        <v>205000000</v>
      </c>
      <c r="S527" s="250" t="s">
        <v>223</v>
      </c>
      <c r="T527" s="249">
        <f t="shared" si="91"/>
        <v>0</v>
      </c>
      <c r="U527" s="185" t="str">
        <f t="shared" ref="U527:U590" si="95">IF(ISBLANK(N527),"","SUBDIRECCION DE GESTION CONTRACTUAL")</f>
        <v>SUBDIRECCION DE GESTION CONTRACTUAL</v>
      </c>
      <c r="V527" s="249" t="str">
        <f t="shared" si="88"/>
        <v>CO-DC</v>
      </c>
      <c r="W527" s="249" t="str">
        <f t="shared" si="89"/>
        <v>Distrito Capital de Bogotá</v>
      </c>
      <c r="X527" s="197" t="s">
        <v>591</v>
      </c>
      <c r="Y527" s="187">
        <v>2427400</v>
      </c>
      <c r="Z527" s="201" t="s">
        <v>160</v>
      </c>
      <c r="AA527" s="252"/>
      <c r="AB527" s="252"/>
      <c r="AC527" s="252"/>
      <c r="AD527" s="252"/>
      <c r="AE527" s="252"/>
      <c r="AF527" s="252"/>
      <c r="AG527" s="252"/>
      <c r="AH527" s="252"/>
      <c r="AI527" s="252"/>
      <c r="AJ527" s="252"/>
      <c r="AK527" s="252"/>
      <c r="AL527" s="252"/>
      <c r="AM527" s="252"/>
      <c r="AN527" s="252"/>
      <c r="AO527" s="252"/>
      <c r="AP527" s="252"/>
      <c r="AQ527" s="252"/>
      <c r="AR527" s="252"/>
      <c r="AS527" s="252"/>
      <c r="AT527" s="252"/>
      <c r="AU527" s="195"/>
      <c r="AV527" s="195"/>
      <c r="AW527" s="195"/>
      <c r="AX527" s="195"/>
      <c r="AY527" s="195"/>
      <c r="AZ527" s="195"/>
      <c r="BA527" s="195"/>
      <c r="BB527" s="195"/>
      <c r="BC527" s="195"/>
      <c r="BD527" s="195"/>
      <c r="BE527" s="195"/>
      <c r="BF527" s="195"/>
      <c r="BG527" s="195"/>
      <c r="BH527" s="195"/>
      <c r="BI527" s="195"/>
      <c r="BJ527" s="195"/>
      <c r="BK527" s="195"/>
      <c r="BL527" s="195"/>
      <c r="BM527" s="195"/>
      <c r="BN527" s="195"/>
      <c r="BO527" s="195"/>
      <c r="BP527" s="195"/>
      <c r="BQ527" s="195"/>
      <c r="BR527" s="195"/>
      <c r="BS527" s="195"/>
      <c r="BT527" s="195"/>
      <c r="BU527" s="195"/>
      <c r="BV527" s="195"/>
      <c r="BW527" s="195"/>
      <c r="BX527" s="195"/>
      <c r="BY527" s="195"/>
      <c r="BZ527" s="195"/>
      <c r="CA527" s="195"/>
      <c r="CB527" s="195"/>
      <c r="CC527" s="195"/>
      <c r="CD527" s="195"/>
      <c r="CE527" s="195"/>
      <c r="CF527" s="195"/>
      <c r="CG527" s="256"/>
    </row>
    <row r="528" spans="1:85" s="254" customFormat="1" ht="13.9" customHeight="1" x14ac:dyDescent="0.2">
      <c r="A528" s="255" t="s">
        <v>158</v>
      </c>
      <c r="B528" s="187">
        <v>26</v>
      </c>
      <c r="C528" s="248" t="s">
        <v>622</v>
      </c>
      <c r="D528" s="197" t="s">
        <v>159</v>
      </c>
      <c r="E528" s="199"/>
      <c r="F528" s="199">
        <v>250000000</v>
      </c>
      <c r="G528" s="199"/>
      <c r="H528" s="197" t="s">
        <v>794</v>
      </c>
      <c r="I528" s="248" t="s">
        <v>691</v>
      </c>
      <c r="J528" s="187">
        <v>1</v>
      </c>
      <c r="K528" s="187">
        <v>1</v>
      </c>
      <c r="L528" s="187">
        <v>12</v>
      </c>
      <c r="M528" s="172">
        <f t="shared" si="92"/>
        <v>1</v>
      </c>
      <c r="N528" s="180" t="s">
        <v>36</v>
      </c>
      <c r="O528" s="181" t="str">
        <f>IF(ISBLANK(N528),"",VLOOKUP(N528,[17]Parámetros!$G$2:$H$23,2,FALSE))</f>
        <v xml:space="preserve">Contratación directa (con ofertas) </v>
      </c>
      <c r="P528" s="249">
        <f t="shared" si="90"/>
        <v>1</v>
      </c>
      <c r="Q528" s="183">
        <f t="shared" si="93"/>
        <v>250000000</v>
      </c>
      <c r="R528" s="183">
        <f t="shared" si="94"/>
        <v>250000000</v>
      </c>
      <c r="S528" s="250" t="s">
        <v>223</v>
      </c>
      <c r="T528" s="249">
        <f t="shared" si="91"/>
        <v>0</v>
      </c>
      <c r="U528" s="185" t="str">
        <f t="shared" si="95"/>
        <v>SUBDIRECCION DE GESTION CONTRACTUAL</v>
      </c>
      <c r="V528" s="249" t="str">
        <f t="shared" si="88"/>
        <v>CO-DC</v>
      </c>
      <c r="W528" s="249" t="str">
        <f t="shared" si="89"/>
        <v>Distrito Capital de Bogotá</v>
      </c>
      <c r="X528" s="197" t="s">
        <v>591</v>
      </c>
      <c r="Y528" s="187">
        <v>2427400</v>
      </c>
      <c r="Z528" s="201" t="s">
        <v>160</v>
      </c>
      <c r="AA528" s="252"/>
      <c r="AB528" s="252"/>
      <c r="AC528" s="252"/>
      <c r="AD528" s="252"/>
      <c r="AE528" s="252"/>
      <c r="AF528" s="252"/>
      <c r="AG528" s="252"/>
      <c r="AH528" s="252"/>
      <c r="AI528" s="252"/>
      <c r="AJ528" s="252"/>
      <c r="AK528" s="252"/>
      <c r="AL528" s="252"/>
      <c r="AM528" s="252"/>
      <c r="AN528" s="252"/>
      <c r="AO528" s="252"/>
      <c r="AP528" s="252"/>
      <c r="AQ528" s="252"/>
      <c r="AR528" s="252"/>
      <c r="AS528" s="252"/>
      <c r="AT528" s="252"/>
      <c r="AU528" s="195"/>
      <c r="AV528" s="195"/>
      <c r="AW528" s="195"/>
      <c r="AX528" s="195"/>
      <c r="AY528" s="195"/>
      <c r="AZ528" s="195"/>
      <c r="BA528" s="195"/>
      <c r="BB528" s="195"/>
      <c r="BC528" s="195"/>
      <c r="BD528" s="195"/>
      <c r="BE528" s="195"/>
      <c r="BF528" s="195"/>
      <c r="BG528" s="195"/>
      <c r="BH528" s="195"/>
      <c r="BI528" s="195"/>
      <c r="BJ528" s="195"/>
      <c r="BK528" s="195"/>
      <c r="BL528" s="195"/>
      <c r="BM528" s="195"/>
      <c r="BN528" s="195"/>
      <c r="BO528" s="195"/>
      <c r="BP528" s="195"/>
      <c r="BQ528" s="195"/>
      <c r="BR528" s="195"/>
      <c r="BS528" s="195"/>
      <c r="BT528" s="195"/>
      <c r="BU528" s="195"/>
      <c r="BV528" s="195"/>
      <c r="BW528" s="195"/>
      <c r="BX528" s="195"/>
      <c r="BY528" s="195"/>
      <c r="BZ528" s="195"/>
      <c r="CA528" s="195"/>
      <c r="CB528" s="195"/>
      <c r="CC528" s="195"/>
      <c r="CD528" s="195"/>
      <c r="CE528" s="195"/>
      <c r="CF528" s="195"/>
      <c r="CG528" s="256"/>
    </row>
    <row r="529" spans="1:85" s="254" customFormat="1" ht="13.9" customHeight="1" x14ac:dyDescent="0.2">
      <c r="A529" s="255" t="s">
        <v>158</v>
      </c>
      <c r="B529" s="187">
        <v>27</v>
      </c>
      <c r="C529" s="248" t="s">
        <v>622</v>
      </c>
      <c r="D529" s="197" t="s">
        <v>159</v>
      </c>
      <c r="E529" s="199"/>
      <c r="F529" s="199">
        <v>605370738</v>
      </c>
      <c r="G529" s="199"/>
      <c r="H529" s="197" t="s">
        <v>798</v>
      </c>
      <c r="I529" s="248" t="s">
        <v>692</v>
      </c>
      <c r="J529" s="187">
        <v>1</v>
      </c>
      <c r="K529" s="187">
        <v>1</v>
      </c>
      <c r="L529" s="187">
        <v>12</v>
      </c>
      <c r="M529" s="172">
        <f t="shared" si="92"/>
        <v>1</v>
      </c>
      <c r="N529" s="180" t="s">
        <v>36</v>
      </c>
      <c r="O529" s="181" t="str">
        <f>IF(ISBLANK(N529),"",VLOOKUP(N529,[17]Parámetros!$G$2:$H$23,2,FALSE))</f>
        <v xml:space="preserve">Contratación directa (con ofertas) </v>
      </c>
      <c r="P529" s="249">
        <f t="shared" si="90"/>
        <v>1</v>
      </c>
      <c r="Q529" s="183">
        <f t="shared" si="93"/>
        <v>605370738</v>
      </c>
      <c r="R529" s="183">
        <f t="shared" si="94"/>
        <v>605370738</v>
      </c>
      <c r="S529" s="250" t="s">
        <v>223</v>
      </c>
      <c r="T529" s="249">
        <f t="shared" si="91"/>
        <v>0</v>
      </c>
      <c r="U529" s="185" t="str">
        <f t="shared" si="95"/>
        <v>SUBDIRECCION DE GESTION CONTRACTUAL</v>
      </c>
      <c r="V529" s="249" t="str">
        <f t="shared" si="88"/>
        <v>CO-DC</v>
      </c>
      <c r="W529" s="249" t="str">
        <f t="shared" si="89"/>
        <v>Distrito Capital de Bogotá</v>
      </c>
      <c r="X529" s="197" t="s">
        <v>591</v>
      </c>
      <c r="Y529" s="187">
        <v>2427400</v>
      </c>
      <c r="Z529" s="201" t="s">
        <v>160</v>
      </c>
      <c r="AA529" s="252"/>
      <c r="AB529" s="252"/>
      <c r="AC529" s="252"/>
      <c r="AD529" s="252"/>
      <c r="AE529" s="252"/>
      <c r="AF529" s="252"/>
      <c r="AG529" s="252"/>
      <c r="AH529" s="252"/>
      <c r="AI529" s="252"/>
      <c r="AJ529" s="252"/>
      <c r="AK529" s="252"/>
      <c r="AL529" s="252"/>
      <c r="AM529" s="252"/>
      <c r="AN529" s="252"/>
      <c r="AO529" s="252"/>
      <c r="AP529" s="252"/>
      <c r="AQ529" s="252"/>
      <c r="AR529" s="252"/>
      <c r="AS529" s="252"/>
      <c r="AT529" s="252"/>
      <c r="AU529" s="195"/>
      <c r="AV529" s="195"/>
      <c r="AW529" s="195"/>
      <c r="AX529" s="195"/>
      <c r="AY529" s="195"/>
      <c r="AZ529" s="195"/>
      <c r="BA529" s="195"/>
      <c r="BB529" s="195"/>
      <c r="BC529" s="195"/>
      <c r="BD529" s="195"/>
      <c r="BE529" s="195"/>
      <c r="BF529" s="195"/>
      <c r="BG529" s="195"/>
      <c r="BH529" s="195"/>
      <c r="BI529" s="195"/>
      <c r="BJ529" s="195"/>
      <c r="BK529" s="195"/>
      <c r="BL529" s="195"/>
      <c r="BM529" s="195"/>
      <c r="BN529" s="195"/>
      <c r="BO529" s="195"/>
      <c r="BP529" s="195"/>
      <c r="BQ529" s="195"/>
      <c r="BR529" s="195"/>
      <c r="BS529" s="195"/>
      <c r="BT529" s="195"/>
      <c r="BU529" s="195"/>
      <c r="BV529" s="195"/>
      <c r="BW529" s="195"/>
      <c r="BX529" s="195"/>
      <c r="BY529" s="195"/>
      <c r="BZ529" s="195"/>
      <c r="CA529" s="195"/>
      <c r="CB529" s="195"/>
      <c r="CC529" s="195"/>
      <c r="CD529" s="195"/>
      <c r="CE529" s="195"/>
      <c r="CF529" s="195"/>
      <c r="CG529" s="256"/>
    </row>
    <row r="530" spans="1:85" s="254" customFormat="1" ht="13.9" customHeight="1" x14ac:dyDescent="0.2">
      <c r="A530" s="255" t="s">
        <v>158</v>
      </c>
      <c r="B530" s="187">
        <v>28</v>
      </c>
      <c r="C530" s="248" t="s">
        <v>622</v>
      </c>
      <c r="D530" s="197" t="s">
        <v>159</v>
      </c>
      <c r="E530" s="199"/>
      <c r="F530" s="199">
        <v>1025000000</v>
      </c>
      <c r="G530" s="199"/>
      <c r="H530" s="197" t="s">
        <v>794</v>
      </c>
      <c r="I530" s="248" t="s">
        <v>734</v>
      </c>
      <c r="J530" s="187">
        <v>1</v>
      </c>
      <c r="K530" s="187">
        <v>1</v>
      </c>
      <c r="L530" s="187">
        <v>12</v>
      </c>
      <c r="M530" s="172">
        <f t="shared" si="92"/>
        <v>1</v>
      </c>
      <c r="N530" s="180" t="s">
        <v>36</v>
      </c>
      <c r="O530" s="181" t="str">
        <f>IF(ISBLANK(N530),"",VLOOKUP(N530,[17]Parámetros!$G$2:$H$23,2,FALSE))</f>
        <v xml:space="preserve">Contratación directa (con ofertas) </v>
      </c>
      <c r="P530" s="249">
        <f t="shared" si="90"/>
        <v>1</v>
      </c>
      <c r="Q530" s="183">
        <f t="shared" si="93"/>
        <v>1025000000</v>
      </c>
      <c r="R530" s="183">
        <f t="shared" si="94"/>
        <v>1025000000</v>
      </c>
      <c r="S530" s="250" t="s">
        <v>223</v>
      </c>
      <c r="T530" s="249">
        <f t="shared" si="91"/>
        <v>0</v>
      </c>
      <c r="U530" s="185" t="str">
        <f t="shared" si="95"/>
        <v>SUBDIRECCION DE GESTION CONTRACTUAL</v>
      </c>
      <c r="V530" s="249" t="str">
        <f t="shared" si="88"/>
        <v>CO-DC</v>
      </c>
      <c r="W530" s="249" t="str">
        <f t="shared" si="89"/>
        <v>Distrito Capital de Bogotá</v>
      </c>
      <c r="X530" s="197" t="s">
        <v>591</v>
      </c>
      <c r="Y530" s="187">
        <v>2427400</v>
      </c>
      <c r="Z530" s="201" t="s">
        <v>160</v>
      </c>
      <c r="AA530" s="252"/>
      <c r="AB530" s="252"/>
      <c r="AC530" s="252"/>
      <c r="AD530" s="252"/>
      <c r="AE530" s="252"/>
      <c r="AF530" s="252"/>
      <c r="AG530" s="252"/>
      <c r="AH530" s="252"/>
      <c r="AI530" s="252"/>
      <c r="AJ530" s="252"/>
      <c r="AK530" s="252"/>
      <c r="AL530" s="252"/>
      <c r="AM530" s="252"/>
      <c r="AN530" s="252"/>
      <c r="AO530" s="252"/>
      <c r="AP530" s="252"/>
      <c r="AQ530" s="252"/>
      <c r="AR530" s="252"/>
      <c r="AS530" s="252"/>
      <c r="AT530" s="252"/>
      <c r="AU530" s="195"/>
      <c r="AV530" s="195"/>
      <c r="AW530" s="195"/>
      <c r="AX530" s="195"/>
      <c r="AY530" s="195"/>
      <c r="AZ530" s="195"/>
      <c r="BA530" s="195"/>
      <c r="BB530" s="195"/>
      <c r="BC530" s="195"/>
      <c r="BD530" s="195"/>
      <c r="BE530" s="195"/>
      <c r="BF530" s="195"/>
      <c r="BG530" s="195"/>
      <c r="BH530" s="195"/>
      <c r="BI530" s="195"/>
      <c r="BJ530" s="195"/>
      <c r="BK530" s="195"/>
      <c r="BL530" s="195"/>
      <c r="BM530" s="195"/>
      <c r="BN530" s="195"/>
      <c r="BO530" s="195"/>
      <c r="BP530" s="195"/>
      <c r="BQ530" s="195"/>
      <c r="BR530" s="195"/>
      <c r="BS530" s="195"/>
      <c r="BT530" s="195"/>
      <c r="BU530" s="195"/>
      <c r="BV530" s="195"/>
      <c r="BW530" s="195"/>
      <c r="BX530" s="195"/>
      <c r="BY530" s="195"/>
      <c r="BZ530" s="195"/>
      <c r="CA530" s="195"/>
      <c r="CB530" s="195"/>
      <c r="CC530" s="195"/>
      <c r="CD530" s="195"/>
      <c r="CE530" s="195"/>
      <c r="CF530" s="195"/>
      <c r="CG530" s="256"/>
    </row>
    <row r="531" spans="1:85" s="254" customFormat="1" ht="13.9" customHeight="1" x14ac:dyDescent="0.2">
      <c r="A531" s="255" t="s">
        <v>158</v>
      </c>
      <c r="B531" s="187">
        <v>29</v>
      </c>
      <c r="C531" s="248" t="s">
        <v>622</v>
      </c>
      <c r="D531" s="197" t="s">
        <v>159</v>
      </c>
      <c r="E531" s="199"/>
      <c r="F531" s="199">
        <v>305440000</v>
      </c>
      <c r="G531" s="199"/>
      <c r="H531" s="197" t="s">
        <v>794</v>
      </c>
      <c r="I531" s="248" t="s">
        <v>735</v>
      </c>
      <c r="J531" s="187">
        <v>1</v>
      </c>
      <c r="K531" s="187">
        <v>1</v>
      </c>
      <c r="L531" s="187">
        <v>12</v>
      </c>
      <c r="M531" s="172">
        <f t="shared" si="92"/>
        <v>1</v>
      </c>
      <c r="N531" s="180" t="s">
        <v>36</v>
      </c>
      <c r="O531" s="181" t="str">
        <f>IF(ISBLANK(N531),"",VLOOKUP(N531,[17]Parámetros!$G$2:$H$23,2,FALSE))</f>
        <v xml:space="preserve">Contratación directa (con ofertas) </v>
      </c>
      <c r="P531" s="249">
        <f t="shared" si="90"/>
        <v>1</v>
      </c>
      <c r="Q531" s="183">
        <f t="shared" si="93"/>
        <v>305440000</v>
      </c>
      <c r="R531" s="183">
        <f t="shared" si="94"/>
        <v>305440000</v>
      </c>
      <c r="S531" s="250" t="s">
        <v>223</v>
      </c>
      <c r="T531" s="249">
        <f t="shared" si="91"/>
        <v>0</v>
      </c>
      <c r="U531" s="185" t="str">
        <f t="shared" si="95"/>
        <v>SUBDIRECCION DE GESTION CONTRACTUAL</v>
      </c>
      <c r="V531" s="249" t="str">
        <f t="shared" si="88"/>
        <v>CO-DC</v>
      </c>
      <c r="W531" s="249" t="str">
        <f t="shared" si="89"/>
        <v>Distrito Capital de Bogotá</v>
      </c>
      <c r="X531" s="197" t="s">
        <v>591</v>
      </c>
      <c r="Y531" s="187">
        <v>2427400</v>
      </c>
      <c r="Z531" s="201" t="s">
        <v>160</v>
      </c>
      <c r="AA531" s="252"/>
      <c r="AB531" s="252"/>
      <c r="AC531" s="252"/>
      <c r="AD531" s="252"/>
      <c r="AE531" s="252"/>
      <c r="AF531" s="252"/>
      <c r="AG531" s="252"/>
      <c r="AH531" s="252"/>
      <c r="AI531" s="252"/>
      <c r="AJ531" s="252"/>
      <c r="AK531" s="252"/>
      <c r="AL531" s="252"/>
      <c r="AM531" s="252"/>
      <c r="AN531" s="252"/>
      <c r="AO531" s="252"/>
      <c r="AP531" s="252"/>
      <c r="AQ531" s="252"/>
      <c r="AR531" s="252"/>
      <c r="AS531" s="252"/>
      <c r="AT531" s="252"/>
      <c r="AU531" s="195"/>
      <c r="AV531" s="195"/>
      <c r="AW531" s="195"/>
      <c r="AX531" s="195"/>
      <c r="AY531" s="195"/>
      <c r="AZ531" s="195"/>
      <c r="BA531" s="195"/>
      <c r="BB531" s="195"/>
      <c r="BC531" s="195"/>
      <c r="BD531" s="195"/>
      <c r="BE531" s="195"/>
      <c r="BF531" s="195"/>
      <c r="BG531" s="195"/>
      <c r="BH531" s="195"/>
      <c r="BI531" s="195"/>
      <c r="BJ531" s="195"/>
      <c r="BK531" s="195"/>
      <c r="BL531" s="195"/>
      <c r="BM531" s="195"/>
      <c r="BN531" s="195"/>
      <c r="BO531" s="195"/>
      <c r="BP531" s="195"/>
      <c r="BQ531" s="195"/>
      <c r="BR531" s="195"/>
      <c r="BS531" s="195"/>
      <c r="BT531" s="195"/>
      <c r="BU531" s="195"/>
      <c r="BV531" s="195"/>
      <c r="BW531" s="195"/>
      <c r="BX531" s="195"/>
      <c r="BY531" s="195"/>
      <c r="BZ531" s="195"/>
      <c r="CA531" s="195"/>
      <c r="CB531" s="195"/>
      <c r="CC531" s="195"/>
      <c r="CD531" s="195"/>
      <c r="CE531" s="195"/>
      <c r="CF531" s="195"/>
      <c r="CG531" s="256"/>
    </row>
    <row r="532" spans="1:85" s="254" customFormat="1" ht="13.9" customHeight="1" x14ac:dyDescent="0.2">
      <c r="A532" s="255" t="s">
        <v>158</v>
      </c>
      <c r="B532" s="187">
        <v>30</v>
      </c>
      <c r="C532" s="248" t="s">
        <v>622</v>
      </c>
      <c r="D532" s="197" t="s">
        <v>159</v>
      </c>
      <c r="E532" s="199"/>
      <c r="F532" s="199">
        <v>294400000</v>
      </c>
      <c r="G532" s="199"/>
      <c r="H532" s="197" t="s">
        <v>794</v>
      </c>
      <c r="I532" s="248" t="s">
        <v>736</v>
      </c>
      <c r="J532" s="187">
        <v>1</v>
      </c>
      <c r="K532" s="187">
        <v>1</v>
      </c>
      <c r="L532" s="187">
        <v>12</v>
      </c>
      <c r="M532" s="172">
        <f t="shared" si="92"/>
        <v>1</v>
      </c>
      <c r="N532" s="180" t="s">
        <v>36</v>
      </c>
      <c r="O532" s="181" t="str">
        <f>IF(ISBLANK(N532),"",VLOOKUP(N532,[17]Parámetros!$G$2:$H$23,2,FALSE))</f>
        <v xml:space="preserve">Contratación directa (con ofertas) </v>
      </c>
      <c r="P532" s="249">
        <f t="shared" si="90"/>
        <v>1</v>
      </c>
      <c r="Q532" s="183">
        <f t="shared" si="93"/>
        <v>294400000</v>
      </c>
      <c r="R532" s="183">
        <f t="shared" si="94"/>
        <v>294400000</v>
      </c>
      <c r="S532" s="250" t="s">
        <v>223</v>
      </c>
      <c r="T532" s="249">
        <f t="shared" si="91"/>
        <v>0</v>
      </c>
      <c r="U532" s="185" t="str">
        <f t="shared" si="95"/>
        <v>SUBDIRECCION DE GESTION CONTRACTUAL</v>
      </c>
      <c r="V532" s="249" t="str">
        <f t="shared" si="88"/>
        <v>CO-DC</v>
      </c>
      <c r="W532" s="249" t="str">
        <f t="shared" si="89"/>
        <v>Distrito Capital de Bogotá</v>
      </c>
      <c r="X532" s="197" t="s">
        <v>591</v>
      </c>
      <c r="Y532" s="187">
        <v>2427400</v>
      </c>
      <c r="Z532" s="201" t="s">
        <v>160</v>
      </c>
      <c r="AA532" s="252"/>
      <c r="AB532" s="252"/>
      <c r="AC532" s="252"/>
      <c r="AD532" s="252"/>
      <c r="AE532" s="252"/>
      <c r="AF532" s="252"/>
      <c r="AG532" s="252"/>
      <c r="AH532" s="252"/>
      <c r="AI532" s="252"/>
      <c r="AJ532" s="252"/>
      <c r="AK532" s="252"/>
      <c r="AL532" s="252"/>
      <c r="AM532" s="252"/>
      <c r="AN532" s="252"/>
      <c r="AO532" s="252"/>
      <c r="AP532" s="252"/>
      <c r="AQ532" s="252"/>
      <c r="AR532" s="252"/>
      <c r="AS532" s="252"/>
      <c r="AT532" s="252"/>
      <c r="AU532" s="195"/>
      <c r="AV532" s="195"/>
      <c r="AW532" s="195"/>
      <c r="AX532" s="195"/>
      <c r="AY532" s="195"/>
      <c r="AZ532" s="195"/>
      <c r="BA532" s="195"/>
      <c r="BB532" s="195"/>
      <c r="BC532" s="195"/>
      <c r="BD532" s="195"/>
      <c r="BE532" s="195"/>
      <c r="BF532" s="195"/>
      <c r="BG532" s="195"/>
      <c r="BH532" s="195"/>
      <c r="BI532" s="195"/>
      <c r="BJ532" s="195"/>
      <c r="BK532" s="195"/>
      <c r="BL532" s="195"/>
      <c r="BM532" s="195"/>
      <c r="BN532" s="195"/>
      <c r="BO532" s="195"/>
      <c r="BP532" s="195"/>
      <c r="BQ532" s="195"/>
      <c r="BR532" s="195"/>
      <c r="BS532" s="195"/>
      <c r="BT532" s="195"/>
      <c r="BU532" s="195"/>
      <c r="BV532" s="195"/>
      <c r="BW532" s="195"/>
      <c r="BX532" s="195"/>
      <c r="BY532" s="195"/>
      <c r="BZ532" s="195"/>
      <c r="CA532" s="195"/>
      <c r="CB532" s="195"/>
      <c r="CC532" s="195"/>
      <c r="CD532" s="195"/>
      <c r="CE532" s="195"/>
      <c r="CF532" s="195"/>
      <c r="CG532" s="256"/>
    </row>
    <row r="533" spans="1:85" s="254" customFormat="1" ht="13.9" customHeight="1" x14ac:dyDescent="0.2">
      <c r="A533" s="255" t="s">
        <v>158</v>
      </c>
      <c r="B533" s="187">
        <v>31</v>
      </c>
      <c r="C533" s="248" t="s">
        <v>622</v>
      </c>
      <c r="D533" s="197" t="s">
        <v>159</v>
      </c>
      <c r="E533" s="199"/>
      <c r="F533" s="199">
        <v>414000000</v>
      </c>
      <c r="G533" s="199"/>
      <c r="H533" s="197" t="s">
        <v>794</v>
      </c>
      <c r="I533" s="248" t="s">
        <v>737</v>
      </c>
      <c r="J533" s="187">
        <v>1</v>
      </c>
      <c r="K533" s="187">
        <v>1</v>
      </c>
      <c r="L533" s="187">
        <v>12</v>
      </c>
      <c r="M533" s="172">
        <f t="shared" si="92"/>
        <v>1</v>
      </c>
      <c r="N533" s="180" t="s">
        <v>36</v>
      </c>
      <c r="O533" s="181" t="str">
        <f>IF(ISBLANK(N533),"",VLOOKUP(N533,[17]Parámetros!$G$2:$H$23,2,FALSE))</f>
        <v xml:space="preserve">Contratación directa (con ofertas) </v>
      </c>
      <c r="P533" s="249">
        <f t="shared" si="90"/>
        <v>1</v>
      </c>
      <c r="Q533" s="183">
        <f t="shared" si="93"/>
        <v>414000000</v>
      </c>
      <c r="R533" s="183">
        <f t="shared" si="94"/>
        <v>414000000</v>
      </c>
      <c r="S533" s="250" t="s">
        <v>223</v>
      </c>
      <c r="T533" s="249">
        <f t="shared" si="91"/>
        <v>0</v>
      </c>
      <c r="U533" s="185" t="str">
        <f t="shared" si="95"/>
        <v>SUBDIRECCION DE GESTION CONTRACTUAL</v>
      </c>
      <c r="V533" s="249" t="str">
        <f t="shared" si="88"/>
        <v>CO-DC</v>
      </c>
      <c r="W533" s="249" t="str">
        <f t="shared" si="89"/>
        <v>Distrito Capital de Bogotá</v>
      </c>
      <c r="X533" s="197" t="s">
        <v>591</v>
      </c>
      <c r="Y533" s="187">
        <v>2427400</v>
      </c>
      <c r="Z533" s="201" t="s">
        <v>160</v>
      </c>
      <c r="AA533" s="252"/>
      <c r="AB533" s="252"/>
      <c r="AC533" s="252"/>
      <c r="AD533" s="252"/>
      <c r="AE533" s="252"/>
      <c r="AF533" s="252"/>
      <c r="AG533" s="252"/>
      <c r="AH533" s="252"/>
      <c r="AI533" s="252"/>
      <c r="AJ533" s="252"/>
      <c r="AK533" s="252"/>
      <c r="AL533" s="252"/>
      <c r="AM533" s="252"/>
      <c r="AN533" s="252"/>
      <c r="AO533" s="252"/>
      <c r="AP533" s="252"/>
      <c r="AQ533" s="252"/>
      <c r="AR533" s="252"/>
      <c r="AS533" s="252"/>
      <c r="AT533" s="252"/>
      <c r="AU533" s="195"/>
      <c r="AV533" s="195"/>
      <c r="AW533" s="195"/>
      <c r="AX533" s="195"/>
      <c r="AY533" s="195"/>
      <c r="AZ533" s="195"/>
      <c r="BA533" s="195"/>
      <c r="BB533" s="195"/>
      <c r="BC533" s="195"/>
      <c r="BD533" s="195"/>
      <c r="BE533" s="195"/>
      <c r="BF533" s="195"/>
      <c r="BG533" s="195"/>
      <c r="BH533" s="195"/>
      <c r="BI533" s="195"/>
      <c r="BJ533" s="195"/>
      <c r="BK533" s="195"/>
      <c r="BL533" s="195"/>
      <c r="BM533" s="195"/>
      <c r="BN533" s="195"/>
      <c r="BO533" s="195"/>
      <c r="BP533" s="195"/>
      <c r="BQ533" s="195"/>
      <c r="BR533" s="195"/>
      <c r="BS533" s="195"/>
      <c r="BT533" s="195"/>
      <c r="BU533" s="195"/>
      <c r="BV533" s="195"/>
      <c r="BW533" s="195"/>
      <c r="BX533" s="195"/>
      <c r="BY533" s="195"/>
      <c r="BZ533" s="195"/>
      <c r="CA533" s="195"/>
      <c r="CB533" s="195"/>
      <c r="CC533" s="195"/>
      <c r="CD533" s="195"/>
      <c r="CE533" s="195"/>
      <c r="CF533" s="195"/>
      <c r="CG533" s="256"/>
    </row>
    <row r="534" spans="1:85" s="254" customFormat="1" ht="13.9" customHeight="1" x14ac:dyDescent="0.2">
      <c r="A534" s="255" t="s">
        <v>158</v>
      </c>
      <c r="B534" s="187">
        <v>32</v>
      </c>
      <c r="C534" s="248" t="s">
        <v>622</v>
      </c>
      <c r="D534" s="197" t="s">
        <v>159</v>
      </c>
      <c r="E534" s="199"/>
      <c r="F534" s="199">
        <v>205000000</v>
      </c>
      <c r="G534" s="199"/>
      <c r="H534" s="197" t="s">
        <v>794</v>
      </c>
      <c r="I534" s="248" t="s">
        <v>738</v>
      </c>
      <c r="J534" s="187">
        <v>1</v>
      </c>
      <c r="K534" s="187">
        <v>1</v>
      </c>
      <c r="L534" s="187">
        <v>12</v>
      </c>
      <c r="M534" s="172">
        <f t="shared" si="92"/>
        <v>1</v>
      </c>
      <c r="N534" s="180" t="s">
        <v>36</v>
      </c>
      <c r="O534" s="181" t="str">
        <f>IF(ISBLANK(N534),"",VLOOKUP(N534,[17]Parámetros!$G$2:$H$23,2,FALSE))</f>
        <v xml:space="preserve">Contratación directa (con ofertas) </v>
      </c>
      <c r="P534" s="249">
        <f t="shared" si="90"/>
        <v>1</v>
      </c>
      <c r="Q534" s="183">
        <f t="shared" si="93"/>
        <v>205000000</v>
      </c>
      <c r="R534" s="183">
        <f t="shared" si="94"/>
        <v>205000000</v>
      </c>
      <c r="S534" s="250" t="s">
        <v>223</v>
      </c>
      <c r="T534" s="249">
        <f t="shared" si="91"/>
        <v>0</v>
      </c>
      <c r="U534" s="185" t="str">
        <f t="shared" si="95"/>
        <v>SUBDIRECCION DE GESTION CONTRACTUAL</v>
      </c>
      <c r="V534" s="249" t="str">
        <f t="shared" ref="V534:V565" si="96">IF(ISBLANK(N534),"","CO-DC")</f>
        <v>CO-DC</v>
      </c>
      <c r="W534" s="249" t="str">
        <f t="shared" ref="W534:W565" si="97">IF(ISBLANK(N534),"","Distrito Capital de Bogotá")</f>
        <v>Distrito Capital de Bogotá</v>
      </c>
      <c r="X534" s="197" t="s">
        <v>591</v>
      </c>
      <c r="Y534" s="187">
        <v>2427400</v>
      </c>
      <c r="Z534" s="201" t="s">
        <v>160</v>
      </c>
      <c r="AA534" s="252"/>
      <c r="AB534" s="252"/>
      <c r="AC534" s="252"/>
      <c r="AD534" s="252"/>
      <c r="AE534" s="252"/>
      <c r="AF534" s="252"/>
      <c r="AG534" s="252"/>
      <c r="AH534" s="252"/>
      <c r="AI534" s="252"/>
      <c r="AJ534" s="252"/>
      <c r="AK534" s="252"/>
      <c r="AL534" s="252"/>
      <c r="AM534" s="252"/>
      <c r="AN534" s="252"/>
      <c r="AO534" s="252"/>
      <c r="AP534" s="252"/>
      <c r="AQ534" s="252"/>
      <c r="AR534" s="252"/>
      <c r="AS534" s="252"/>
      <c r="AT534" s="252"/>
      <c r="AU534" s="195"/>
      <c r="AV534" s="195"/>
      <c r="AW534" s="195"/>
      <c r="AX534" s="195"/>
      <c r="AY534" s="195"/>
      <c r="AZ534" s="195"/>
      <c r="BA534" s="195"/>
      <c r="BB534" s="195"/>
      <c r="BC534" s="195"/>
      <c r="BD534" s="195"/>
      <c r="BE534" s="195"/>
      <c r="BF534" s="195"/>
      <c r="BG534" s="195"/>
      <c r="BH534" s="195"/>
      <c r="BI534" s="195"/>
      <c r="BJ534" s="195"/>
      <c r="BK534" s="195"/>
      <c r="BL534" s="195"/>
      <c r="BM534" s="195"/>
      <c r="BN534" s="195"/>
      <c r="BO534" s="195"/>
      <c r="BP534" s="195"/>
      <c r="BQ534" s="195"/>
      <c r="BR534" s="195"/>
      <c r="BS534" s="195"/>
      <c r="BT534" s="195"/>
      <c r="BU534" s="195"/>
      <c r="BV534" s="195"/>
      <c r="BW534" s="195"/>
      <c r="BX534" s="195"/>
      <c r="BY534" s="195"/>
      <c r="BZ534" s="195"/>
      <c r="CA534" s="195"/>
      <c r="CB534" s="195"/>
      <c r="CC534" s="195"/>
      <c r="CD534" s="195"/>
      <c r="CE534" s="195"/>
      <c r="CF534" s="195"/>
      <c r="CG534" s="256"/>
    </row>
    <row r="535" spans="1:85" s="254" customFormat="1" ht="13.9" customHeight="1" x14ac:dyDescent="0.2">
      <c r="A535" s="255" t="s">
        <v>158</v>
      </c>
      <c r="B535" s="187">
        <v>33</v>
      </c>
      <c r="C535" s="248" t="s">
        <v>622</v>
      </c>
      <c r="D535" s="197" t="s">
        <v>159</v>
      </c>
      <c r="E535" s="199"/>
      <c r="F535" s="199">
        <v>250000000</v>
      </c>
      <c r="G535" s="199"/>
      <c r="H535" s="197" t="s">
        <v>794</v>
      </c>
      <c r="I535" s="248" t="s">
        <v>739</v>
      </c>
      <c r="J535" s="187">
        <v>1</v>
      </c>
      <c r="K535" s="187">
        <v>1</v>
      </c>
      <c r="L535" s="187">
        <v>12</v>
      </c>
      <c r="M535" s="172">
        <f t="shared" si="92"/>
        <v>1</v>
      </c>
      <c r="N535" s="180" t="s">
        <v>36</v>
      </c>
      <c r="O535" s="181" t="str">
        <f>IF(ISBLANK(N535),"",VLOOKUP(N535,[17]Parámetros!$G$2:$H$23,2,FALSE))</f>
        <v xml:space="preserve">Contratación directa (con ofertas) </v>
      </c>
      <c r="P535" s="249">
        <f t="shared" ref="P535:P566" si="98">IF(ISBLANK(N535),"",1)</f>
        <v>1</v>
      </c>
      <c r="Q535" s="183">
        <f t="shared" si="93"/>
        <v>250000000</v>
      </c>
      <c r="R535" s="183">
        <f t="shared" si="94"/>
        <v>250000000</v>
      </c>
      <c r="S535" s="250" t="s">
        <v>223</v>
      </c>
      <c r="T535" s="249">
        <f t="shared" si="91"/>
        <v>0</v>
      </c>
      <c r="U535" s="185" t="str">
        <f t="shared" si="95"/>
        <v>SUBDIRECCION DE GESTION CONTRACTUAL</v>
      </c>
      <c r="V535" s="249" t="str">
        <f t="shared" si="96"/>
        <v>CO-DC</v>
      </c>
      <c r="W535" s="249" t="str">
        <f t="shared" si="97"/>
        <v>Distrito Capital de Bogotá</v>
      </c>
      <c r="X535" s="197" t="s">
        <v>591</v>
      </c>
      <c r="Y535" s="187">
        <v>2427400</v>
      </c>
      <c r="Z535" s="201" t="s">
        <v>160</v>
      </c>
      <c r="AA535" s="252"/>
      <c r="AB535" s="252"/>
      <c r="AC535" s="252"/>
      <c r="AD535" s="252"/>
      <c r="AE535" s="252"/>
      <c r="AF535" s="252"/>
      <c r="AG535" s="252"/>
      <c r="AH535" s="252"/>
      <c r="AI535" s="252"/>
      <c r="AJ535" s="252"/>
      <c r="AK535" s="252"/>
      <c r="AL535" s="252"/>
      <c r="AM535" s="252"/>
      <c r="AN535" s="252"/>
      <c r="AO535" s="252"/>
      <c r="AP535" s="252"/>
      <c r="AQ535" s="252"/>
      <c r="AR535" s="252"/>
      <c r="AS535" s="252"/>
      <c r="AT535" s="252"/>
      <c r="AU535" s="195"/>
      <c r="AV535" s="195"/>
      <c r="AW535" s="195"/>
      <c r="AX535" s="195"/>
      <c r="AY535" s="195"/>
      <c r="AZ535" s="195"/>
      <c r="BA535" s="195"/>
      <c r="BB535" s="195"/>
      <c r="BC535" s="195"/>
      <c r="BD535" s="195"/>
      <c r="BE535" s="195"/>
      <c r="BF535" s="195"/>
      <c r="BG535" s="195"/>
      <c r="BH535" s="195"/>
      <c r="BI535" s="195"/>
      <c r="BJ535" s="195"/>
      <c r="BK535" s="195"/>
      <c r="BL535" s="195"/>
      <c r="BM535" s="195"/>
      <c r="BN535" s="195"/>
      <c r="BO535" s="195"/>
      <c r="BP535" s="195"/>
      <c r="BQ535" s="195"/>
      <c r="BR535" s="195"/>
      <c r="BS535" s="195"/>
      <c r="BT535" s="195"/>
      <c r="BU535" s="195"/>
      <c r="BV535" s="195"/>
      <c r="BW535" s="195"/>
      <c r="BX535" s="195"/>
      <c r="BY535" s="195"/>
      <c r="BZ535" s="195"/>
      <c r="CA535" s="195"/>
      <c r="CB535" s="195"/>
      <c r="CC535" s="195"/>
      <c r="CD535" s="195"/>
      <c r="CE535" s="195"/>
      <c r="CF535" s="195"/>
      <c r="CG535" s="256"/>
    </row>
    <row r="536" spans="1:85" s="254" customFormat="1" ht="13.9" customHeight="1" x14ac:dyDescent="0.2">
      <c r="A536" s="255" t="s">
        <v>158</v>
      </c>
      <c r="B536" s="187">
        <v>34</v>
      </c>
      <c r="C536" s="248" t="s">
        <v>622</v>
      </c>
      <c r="D536" s="197" t="s">
        <v>159</v>
      </c>
      <c r="E536" s="199"/>
      <c r="F536" s="199">
        <v>250000000</v>
      </c>
      <c r="G536" s="199"/>
      <c r="H536" s="197" t="s">
        <v>794</v>
      </c>
      <c r="I536" s="248" t="s">
        <v>740</v>
      </c>
      <c r="J536" s="187">
        <v>1</v>
      </c>
      <c r="K536" s="187">
        <v>1</v>
      </c>
      <c r="L536" s="187">
        <v>12</v>
      </c>
      <c r="M536" s="172">
        <f t="shared" si="92"/>
        <v>1</v>
      </c>
      <c r="N536" s="180" t="s">
        <v>36</v>
      </c>
      <c r="O536" s="181" t="str">
        <f>IF(ISBLANK(N536),"",VLOOKUP(N536,[17]Parámetros!$G$2:$H$23,2,FALSE))</f>
        <v xml:space="preserve">Contratación directa (con ofertas) </v>
      </c>
      <c r="P536" s="249">
        <f t="shared" si="98"/>
        <v>1</v>
      </c>
      <c r="Q536" s="183">
        <f t="shared" si="93"/>
        <v>250000000</v>
      </c>
      <c r="R536" s="183">
        <f t="shared" si="94"/>
        <v>250000000</v>
      </c>
      <c r="S536" s="250" t="s">
        <v>223</v>
      </c>
      <c r="T536" s="249">
        <f t="shared" si="91"/>
        <v>0</v>
      </c>
      <c r="U536" s="185" t="str">
        <f t="shared" si="95"/>
        <v>SUBDIRECCION DE GESTION CONTRACTUAL</v>
      </c>
      <c r="V536" s="249" t="str">
        <f t="shared" si="96"/>
        <v>CO-DC</v>
      </c>
      <c r="W536" s="249" t="str">
        <f t="shared" si="97"/>
        <v>Distrito Capital de Bogotá</v>
      </c>
      <c r="X536" s="197" t="s">
        <v>591</v>
      </c>
      <c r="Y536" s="187">
        <v>2427400</v>
      </c>
      <c r="Z536" s="201" t="s">
        <v>160</v>
      </c>
      <c r="AA536" s="252"/>
      <c r="AB536" s="252"/>
      <c r="AC536" s="252"/>
      <c r="AD536" s="252"/>
      <c r="AE536" s="252"/>
      <c r="AF536" s="252"/>
      <c r="AG536" s="252"/>
      <c r="AH536" s="252"/>
      <c r="AI536" s="252"/>
      <c r="AJ536" s="252"/>
      <c r="AK536" s="252"/>
      <c r="AL536" s="252"/>
      <c r="AM536" s="252"/>
      <c r="AN536" s="252"/>
      <c r="AO536" s="252"/>
      <c r="AP536" s="252"/>
      <c r="AQ536" s="252"/>
      <c r="AR536" s="252"/>
      <c r="AS536" s="252"/>
      <c r="AT536" s="252"/>
      <c r="AU536" s="195"/>
      <c r="AV536" s="195"/>
      <c r="AW536" s="195"/>
      <c r="AX536" s="195"/>
      <c r="AY536" s="195"/>
      <c r="AZ536" s="195"/>
      <c r="BA536" s="195"/>
      <c r="BB536" s="195"/>
      <c r="BC536" s="195"/>
      <c r="BD536" s="195"/>
      <c r="BE536" s="195"/>
      <c r="BF536" s="195"/>
      <c r="BG536" s="195"/>
      <c r="BH536" s="195"/>
      <c r="BI536" s="195"/>
      <c r="BJ536" s="195"/>
      <c r="BK536" s="195"/>
      <c r="BL536" s="195"/>
      <c r="BM536" s="195"/>
      <c r="BN536" s="195"/>
      <c r="BO536" s="195"/>
      <c r="BP536" s="195"/>
      <c r="BQ536" s="195"/>
      <c r="BR536" s="195"/>
      <c r="BS536" s="195"/>
      <c r="BT536" s="195"/>
      <c r="BU536" s="195"/>
      <c r="BV536" s="195"/>
      <c r="BW536" s="195"/>
      <c r="BX536" s="195"/>
      <c r="BY536" s="195"/>
      <c r="BZ536" s="195"/>
      <c r="CA536" s="195"/>
      <c r="CB536" s="195"/>
      <c r="CC536" s="195"/>
      <c r="CD536" s="195"/>
      <c r="CE536" s="195"/>
      <c r="CF536" s="195"/>
      <c r="CG536" s="256"/>
    </row>
    <row r="537" spans="1:85" s="254" customFormat="1" ht="13.9" customHeight="1" x14ac:dyDescent="0.2">
      <c r="A537" s="255" t="s">
        <v>158</v>
      </c>
      <c r="B537" s="187">
        <v>35</v>
      </c>
      <c r="C537" s="248" t="s">
        <v>622</v>
      </c>
      <c r="D537" s="197" t="s">
        <v>159</v>
      </c>
      <c r="E537" s="199"/>
      <c r="F537" s="199">
        <v>147071700</v>
      </c>
      <c r="G537" s="199"/>
      <c r="H537" s="197" t="s">
        <v>794</v>
      </c>
      <c r="I537" s="248" t="s">
        <v>741</v>
      </c>
      <c r="J537" s="187">
        <v>1</v>
      </c>
      <c r="K537" s="187">
        <v>1</v>
      </c>
      <c r="L537" s="187">
        <v>12</v>
      </c>
      <c r="M537" s="172">
        <f t="shared" si="92"/>
        <v>1</v>
      </c>
      <c r="N537" s="180" t="s">
        <v>36</v>
      </c>
      <c r="O537" s="181" t="str">
        <f>IF(ISBLANK(N537),"",VLOOKUP(N537,[17]Parámetros!$G$2:$H$23,2,FALSE))</f>
        <v xml:space="preserve">Contratación directa (con ofertas) </v>
      </c>
      <c r="P537" s="249">
        <f t="shared" si="98"/>
        <v>1</v>
      </c>
      <c r="Q537" s="183">
        <f t="shared" si="93"/>
        <v>147071700</v>
      </c>
      <c r="R537" s="183">
        <f t="shared" si="94"/>
        <v>147071700</v>
      </c>
      <c r="S537" s="250" t="s">
        <v>223</v>
      </c>
      <c r="T537" s="249">
        <f t="shared" si="91"/>
        <v>0</v>
      </c>
      <c r="U537" s="185" t="str">
        <f t="shared" si="95"/>
        <v>SUBDIRECCION DE GESTION CONTRACTUAL</v>
      </c>
      <c r="V537" s="249" t="str">
        <f t="shared" si="96"/>
        <v>CO-DC</v>
      </c>
      <c r="W537" s="249" t="str">
        <f t="shared" si="97"/>
        <v>Distrito Capital de Bogotá</v>
      </c>
      <c r="X537" s="197" t="s">
        <v>591</v>
      </c>
      <c r="Y537" s="187">
        <v>2427400</v>
      </c>
      <c r="Z537" s="201" t="s">
        <v>160</v>
      </c>
      <c r="AA537" s="252"/>
      <c r="AB537" s="252"/>
      <c r="AC537" s="252"/>
      <c r="AD537" s="252"/>
      <c r="AE537" s="252"/>
      <c r="AF537" s="252"/>
      <c r="AG537" s="252"/>
      <c r="AH537" s="252"/>
      <c r="AI537" s="252"/>
      <c r="AJ537" s="252"/>
      <c r="AK537" s="252"/>
      <c r="AL537" s="252"/>
      <c r="AM537" s="252"/>
      <c r="AN537" s="252"/>
      <c r="AO537" s="252"/>
      <c r="AP537" s="252"/>
      <c r="AQ537" s="252"/>
      <c r="AR537" s="252"/>
      <c r="AS537" s="252"/>
      <c r="AT537" s="252"/>
      <c r="AU537" s="195"/>
      <c r="AV537" s="195"/>
      <c r="AW537" s="195"/>
      <c r="AX537" s="195"/>
      <c r="AY537" s="195"/>
      <c r="AZ537" s="195"/>
      <c r="BA537" s="195"/>
      <c r="BB537" s="195"/>
      <c r="BC537" s="195"/>
      <c r="BD537" s="195"/>
      <c r="BE537" s="195"/>
      <c r="BF537" s="195"/>
      <c r="BG537" s="195"/>
      <c r="BH537" s="195"/>
      <c r="BI537" s="195"/>
      <c r="BJ537" s="195"/>
      <c r="BK537" s="195"/>
      <c r="BL537" s="195"/>
      <c r="BM537" s="195"/>
      <c r="BN537" s="195"/>
      <c r="BO537" s="195"/>
      <c r="BP537" s="195"/>
      <c r="BQ537" s="195"/>
      <c r="BR537" s="195"/>
      <c r="BS537" s="195"/>
      <c r="BT537" s="195"/>
      <c r="BU537" s="195"/>
      <c r="BV537" s="195"/>
      <c r="BW537" s="195"/>
      <c r="BX537" s="195"/>
      <c r="BY537" s="195"/>
      <c r="BZ537" s="195"/>
      <c r="CA537" s="195"/>
      <c r="CB537" s="195"/>
      <c r="CC537" s="195"/>
      <c r="CD537" s="195"/>
      <c r="CE537" s="195"/>
      <c r="CF537" s="195"/>
      <c r="CG537" s="256"/>
    </row>
    <row r="538" spans="1:85" s="254" customFormat="1" ht="13.9" customHeight="1" x14ac:dyDescent="0.2">
      <c r="A538" s="255" t="s">
        <v>158</v>
      </c>
      <c r="B538" s="187">
        <v>36</v>
      </c>
      <c r="C538" s="248" t="s">
        <v>622</v>
      </c>
      <c r="D538" s="197" t="s">
        <v>159</v>
      </c>
      <c r="E538" s="199"/>
      <c r="F538" s="199">
        <v>359287380</v>
      </c>
      <c r="G538" s="199"/>
      <c r="H538" s="197" t="s">
        <v>794</v>
      </c>
      <c r="I538" s="248" t="s">
        <v>742</v>
      </c>
      <c r="J538" s="187">
        <v>1</v>
      </c>
      <c r="K538" s="187">
        <v>1</v>
      </c>
      <c r="L538" s="187">
        <v>12</v>
      </c>
      <c r="M538" s="172">
        <f t="shared" si="92"/>
        <v>1</v>
      </c>
      <c r="N538" s="180" t="s">
        <v>36</v>
      </c>
      <c r="O538" s="181" t="str">
        <f>IF(ISBLANK(N538),"",VLOOKUP(N538,[17]Parámetros!$G$2:$H$23,2,FALSE))</f>
        <v xml:space="preserve">Contratación directa (con ofertas) </v>
      </c>
      <c r="P538" s="249">
        <f t="shared" si="98"/>
        <v>1</v>
      </c>
      <c r="Q538" s="183">
        <f t="shared" si="93"/>
        <v>359287380</v>
      </c>
      <c r="R538" s="183">
        <f t="shared" si="94"/>
        <v>359287380</v>
      </c>
      <c r="S538" s="250" t="s">
        <v>223</v>
      </c>
      <c r="T538" s="249">
        <f t="shared" si="91"/>
        <v>0</v>
      </c>
      <c r="U538" s="185" t="str">
        <f t="shared" si="95"/>
        <v>SUBDIRECCION DE GESTION CONTRACTUAL</v>
      </c>
      <c r="V538" s="249" t="str">
        <f t="shared" si="96"/>
        <v>CO-DC</v>
      </c>
      <c r="W538" s="249" t="str">
        <f t="shared" si="97"/>
        <v>Distrito Capital de Bogotá</v>
      </c>
      <c r="X538" s="197" t="s">
        <v>591</v>
      </c>
      <c r="Y538" s="187">
        <v>2427400</v>
      </c>
      <c r="Z538" s="201" t="s">
        <v>160</v>
      </c>
      <c r="AA538" s="252"/>
      <c r="AB538" s="252"/>
      <c r="AC538" s="252"/>
      <c r="AD538" s="252"/>
      <c r="AE538" s="252"/>
      <c r="AF538" s="252"/>
      <c r="AG538" s="252"/>
      <c r="AH538" s="252"/>
      <c r="AI538" s="252"/>
      <c r="AJ538" s="252"/>
      <c r="AK538" s="252"/>
      <c r="AL538" s="252"/>
      <c r="AM538" s="252"/>
      <c r="AN538" s="252"/>
      <c r="AO538" s="252"/>
      <c r="AP538" s="252"/>
      <c r="AQ538" s="252"/>
      <c r="AR538" s="252"/>
      <c r="AS538" s="252"/>
      <c r="AT538" s="252"/>
      <c r="AU538" s="195"/>
      <c r="AV538" s="195"/>
      <c r="AW538" s="195"/>
      <c r="AX538" s="195"/>
      <c r="AY538" s="195"/>
      <c r="AZ538" s="195"/>
      <c r="BA538" s="195"/>
      <c r="BB538" s="195"/>
      <c r="BC538" s="195"/>
      <c r="BD538" s="195"/>
      <c r="BE538" s="195"/>
      <c r="BF538" s="195"/>
      <c r="BG538" s="195"/>
      <c r="BH538" s="195"/>
      <c r="BI538" s="195"/>
      <c r="BJ538" s="195"/>
      <c r="BK538" s="195"/>
      <c r="BL538" s="195"/>
      <c r="BM538" s="195"/>
      <c r="BN538" s="195"/>
      <c r="BO538" s="195"/>
      <c r="BP538" s="195"/>
      <c r="BQ538" s="195"/>
      <c r="BR538" s="195"/>
      <c r="BS538" s="195"/>
      <c r="BT538" s="195"/>
      <c r="BU538" s="195"/>
      <c r="BV538" s="195"/>
      <c r="BW538" s="195"/>
      <c r="BX538" s="195"/>
      <c r="BY538" s="195"/>
      <c r="BZ538" s="195"/>
      <c r="CA538" s="195"/>
      <c r="CB538" s="195"/>
      <c r="CC538" s="195"/>
      <c r="CD538" s="195"/>
      <c r="CE538" s="195"/>
      <c r="CF538" s="195"/>
      <c r="CG538" s="256"/>
    </row>
    <row r="539" spans="1:85" s="254" customFormat="1" ht="13.9" customHeight="1" x14ac:dyDescent="0.2">
      <c r="A539" s="255" t="s">
        <v>158</v>
      </c>
      <c r="B539" s="187">
        <v>37</v>
      </c>
      <c r="C539" s="248" t="s">
        <v>622</v>
      </c>
      <c r="D539" s="197" t="s">
        <v>159</v>
      </c>
      <c r="E539" s="199"/>
      <c r="F539" s="199">
        <v>147071700</v>
      </c>
      <c r="G539" s="199"/>
      <c r="H539" s="197" t="s">
        <v>794</v>
      </c>
      <c r="I539" s="248" t="s">
        <v>743</v>
      </c>
      <c r="J539" s="187">
        <v>1</v>
      </c>
      <c r="K539" s="187">
        <v>1</v>
      </c>
      <c r="L539" s="187">
        <v>12</v>
      </c>
      <c r="M539" s="172">
        <f t="shared" si="92"/>
        <v>1</v>
      </c>
      <c r="N539" s="180" t="s">
        <v>36</v>
      </c>
      <c r="O539" s="181" t="str">
        <f>IF(ISBLANK(N539),"",VLOOKUP(N539,[17]Parámetros!$G$2:$H$23,2,FALSE))</f>
        <v xml:space="preserve">Contratación directa (con ofertas) </v>
      </c>
      <c r="P539" s="249">
        <f t="shared" si="98"/>
        <v>1</v>
      </c>
      <c r="Q539" s="183">
        <f t="shared" si="93"/>
        <v>147071700</v>
      </c>
      <c r="R539" s="183">
        <f t="shared" si="94"/>
        <v>147071700</v>
      </c>
      <c r="S539" s="250" t="s">
        <v>223</v>
      </c>
      <c r="T539" s="249">
        <f t="shared" si="91"/>
        <v>0</v>
      </c>
      <c r="U539" s="185" t="str">
        <f t="shared" si="95"/>
        <v>SUBDIRECCION DE GESTION CONTRACTUAL</v>
      </c>
      <c r="V539" s="249" t="str">
        <f t="shared" si="96"/>
        <v>CO-DC</v>
      </c>
      <c r="W539" s="249" t="str">
        <f t="shared" si="97"/>
        <v>Distrito Capital de Bogotá</v>
      </c>
      <c r="X539" s="197" t="s">
        <v>591</v>
      </c>
      <c r="Y539" s="187">
        <v>2427400</v>
      </c>
      <c r="Z539" s="201" t="s">
        <v>160</v>
      </c>
      <c r="AA539" s="252"/>
      <c r="AB539" s="252"/>
      <c r="AC539" s="252"/>
      <c r="AD539" s="252"/>
      <c r="AE539" s="252"/>
      <c r="AF539" s="252"/>
      <c r="AG539" s="252"/>
      <c r="AH539" s="252"/>
      <c r="AI539" s="252"/>
      <c r="AJ539" s="252"/>
      <c r="AK539" s="252"/>
      <c r="AL539" s="252"/>
      <c r="AM539" s="252"/>
      <c r="AN539" s="252"/>
      <c r="AO539" s="252"/>
      <c r="AP539" s="252"/>
      <c r="AQ539" s="252"/>
      <c r="AR539" s="252"/>
      <c r="AS539" s="252"/>
      <c r="AT539" s="252"/>
      <c r="AU539" s="195"/>
      <c r="AV539" s="195"/>
      <c r="AW539" s="195"/>
      <c r="AX539" s="195"/>
      <c r="AY539" s="195"/>
      <c r="AZ539" s="195"/>
      <c r="BA539" s="195"/>
      <c r="BB539" s="195"/>
      <c r="BC539" s="195"/>
      <c r="BD539" s="195"/>
      <c r="BE539" s="195"/>
      <c r="BF539" s="195"/>
      <c r="BG539" s="195"/>
      <c r="BH539" s="195"/>
      <c r="BI539" s="195"/>
      <c r="BJ539" s="195"/>
      <c r="BK539" s="195"/>
      <c r="BL539" s="195"/>
      <c r="BM539" s="195"/>
      <c r="BN539" s="195"/>
      <c r="BO539" s="195"/>
      <c r="BP539" s="195"/>
      <c r="BQ539" s="195"/>
      <c r="BR539" s="195"/>
      <c r="BS539" s="195"/>
      <c r="BT539" s="195"/>
      <c r="BU539" s="195"/>
      <c r="BV539" s="195"/>
      <c r="BW539" s="195"/>
      <c r="BX539" s="195"/>
      <c r="BY539" s="195"/>
      <c r="BZ539" s="195"/>
      <c r="CA539" s="195"/>
      <c r="CB539" s="195"/>
      <c r="CC539" s="195"/>
      <c r="CD539" s="195"/>
      <c r="CE539" s="195"/>
      <c r="CF539" s="195"/>
      <c r="CG539" s="256"/>
    </row>
    <row r="540" spans="1:85" s="254" customFormat="1" ht="13.9" customHeight="1" x14ac:dyDescent="0.2">
      <c r="A540" s="255" t="s">
        <v>158</v>
      </c>
      <c r="B540" s="187">
        <v>38</v>
      </c>
      <c r="C540" s="248" t="s">
        <v>622</v>
      </c>
      <c r="D540" s="197" t="s">
        <v>159</v>
      </c>
      <c r="E540" s="199"/>
      <c r="F540" s="199">
        <v>147071700</v>
      </c>
      <c r="G540" s="199"/>
      <c r="H540" s="197" t="s">
        <v>794</v>
      </c>
      <c r="I540" s="248" t="s">
        <v>744</v>
      </c>
      <c r="J540" s="187">
        <v>1</v>
      </c>
      <c r="K540" s="187">
        <v>1</v>
      </c>
      <c r="L540" s="187">
        <v>12</v>
      </c>
      <c r="M540" s="172">
        <f t="shared" si="92"/>
        <v>1</v>
      </c>
      <c r="N540" s="180" t="s">
        <v>36</v>
      </c>
      <c r="O540" s="181" t="str">
        <f>IF(ISBLANK(N540),"",VLOOKUP(N540,[17]Parámetros!$G$2:$H$23,2,FALSE))</f>
        <v xml:space="preserve">Contratación directa (con ofertas) </v>
      </c>
      <c r="P540" s="249">
        <f t="shared" si="98"/>
        <v>1</v>
      </c>
      <c r="Q540" s="183">
        <f t="shared" si="93"/>
        <v>147071700</v>
      </c>
      <c r="R540" s="183">
        <f t="shared" si="94"/>
        <v>147071700</v>
      </c>
      <c r="S540" s="250" t="s">
        <v>223</v>
      </c>
      <c r="T540" s="249">
        <f t="shared" si="91"/>
        <v>0</v>
      </c>
      <c r="U540" s="185" t="str">
        <f t="shared" si="95"/>
        <v>SUBDIRECCION DE GESTION CONTRACTUAL</v>
      </c>
      <c r="V540" s="249" t="str">
        <f t="shared" si="96"/>
        <v>CO-DC</v>
      </c>
      <c r="W540" s="249" t="str">
        <f t="shared" si="97"/>
        <v>Distrito Capital de Bogotá</v>
      </c>
      <c r="X540" s="197" t="s">
        <v>591</v>
      </c>
      <c r="Y540" s="187">
        <v>2427400</v>
      </c>
      <c r="Z540" s="201" t="s">
        <v>160</v>
      </c>
      <c r="AA540" s="252"/>
      <c r="AB540" s="252"/>
      <c r="AC540" s="252"/>
      <c r="AD540" s="252"/>
      <c r="AE540" s="252"/>
      <c r="AF540" s="252"/>
      <c r="AG540" s="252"/>
      <c r="AH540" s="252"/>
      <c r="AI540" s="252"/>
      <c r="AJ540" s="252"/>
      <c r="AK540" s="252"/>
      <c r="AL540" s="252"/>
      <c r="AM540" s="252"/>
      <c r="AN540" s="252"/>
      <c r="AO540" s="252"/>
      <c r="AP540" s="252"/>
      <c r="AQ540" s="252"/>
      <c r="AR540" s="252"/>
      <c r="AS540" s="252"/>
      <c r="AT540" s="252"/>
      <c r="AU540" s="195"/>
      <c r="AV540" s="195"/>
      <c r="AW540" s="195"/>
      <c r="AX540" s="195"/>
      <c r="AY540" s="195"/>
      <c r="AZ540" s="195"/>
      <c r="BA540" s="195"/>
      <c r="BB540" s="195"/>
      <c r="BC540" s="195"/>
      <c r="BD540" s="195"/>
      <c r="BE540" s="195"/>
      <c r="BF540" s="195"/>
      <c r="BG540" s="195"/>
      <c r="BH540" s="195"/>
      <c r="BI540" s="195"/>
      <c r="BJ540" s="195"/>
      <c r="BK540" s="195"/>
      <c r="BL540" s="195"/>
      <c r="BM540" s="195"/>
      <c r="BN540" s="195"/>
      <c r="BO540" s="195"/>
      <c r="BP540" s="195"/>
      <c r="BQ540" s="195"/>
      <c r="BR540" s="195"/>
      <c r="BS540" s="195"/>
      <c r="BT540" s="195"/>
      <c r="BU540" s="195"/>
      <c r="BV540" s="195"/>
      <c r="BW540" s="195"/>
      <c r="BX540" s="195"/>
      <c r="BY540" s="195"/>
      <c r="BZ540" s="195"/>
      <c r="CA540" s="195"/>
      <c r="CB540" s="195"/>
      <c r="CC540" s="195"/>
      <c r="CD540" s="195"/>
      <c r="CE540" s="195"/>
      <c r="CF540" s="195"/>
      <c r="CG540" s="256"/>
    </row>
    <row r="541" spans="1:85" s="254" customFormat="1" ht="13.9" customHeight="1" x14ac:dyDescent="0.2">
      <c r="A541" s="255" t="s">
        <v>158</v>
      </c>
      <c r="B541" s="187">
        <v>39</v>
      </c>
      <c r="C541" s="248" t="s">
        <v>622</v>
      </c>
      <c r="D541" s="197" t="s">
        <v>159</v>
      </c>
      <c r="E541" s="199"/>
      <c r="F541" s="199">
        <v>4716328480</v>
      </c>
      <c r="G541" s="199"/>
      <c r="H541" s="197" t="s">
        <v>798</v>
      </c>
      <c r="I541" s="248" t="s">
        <v>745</v>
      </c>
      <c r="J541" s="187">
        <v>1</v>
      </c>
      <c r="K541" s="187">
        <v>1</v>
      </c>
      <c r="L541" s="187">
        <v>12</v>
      </c>
      <c r="M541" s="172">
        <f t="shared" si="92"/>
        <v>1</v>
      </c>
      <c r="N541" s="180" t="s">
        <v>36</v>
      </c>
      <c r="O541" s="181" t="str">
        <f>IF(ISBLANK(N541),"",VLOOKUP(N541,[17]Parámetros!$G$2:$H$23,2,FALSE))</f>
        <v xml:space="preserve">Contratación directa (con ofertas) </v>
      </c>
      <c r="P541" s="249">
        <f t="shared" si="98"/>
        <v>1</v>
      </c>
      <c r="Q541" s="183">
        <f t="shared" si="93"/>
        <v>4716328480</v>
      </c>
      <c r="R541" s="183">
        <f t="shared" si="94"/>
        <v>4716328480</v>
      </c>
      <c r="S541" s="250" t="s">
        <v>223</v>
      </c>
      <c r="T541" s="249">
        <f t="shared" si="91"/>
        <v>0</v>
      </c>
      <c r="U541" s="185" t="str">
        <f t="shared" si="95"/>
        <v>SUBDIRECCION DE GESTION CONTRACTUAL</v>
      </c>
      <c r="V541" s="249" t="str">
        <f t="shared" si="96"/>
        <v>CO-DC</v>
      </c>
      <c r="W541" s="249" t="str">
        <f t="shared" si="97"/>
        <v>Distrito Capital de Bogotá</v>
      </c>
      <c r="X541" s="197" t="s">
        <v>591</v>
      </c>
      <c r="Y541" s="187">
        <v>2427400</v>
      </c>
      <c r="Z541" s="201" t="s">
        <v>160</v>
      </c>
      <c r="AA541" s="252"/>
      <c r="AB541" s="252"/>
      <c r="AC541" s="252"/>
      <c r="AD541" s="252"/>
      <c r="AE541" s="252"/>
      <c r="AF541" s="252"/>
      <c r="AG541" s="252"/>
      <c r="AH541" s="252"/>
      <c r="AI541" s="252"/>
      <c r="AJ541" s="252"/>
      <c r="AK541" s="252"/>
      <c r="AL541" s="252"/>
      <c r="AM541" s="252"/>
      <c r="AN541" s="252"/>
      <c r="AO541" s="252"/>
      <c r="AP541" s="252"/>
      <c r="AQ541" s="252"/>
      <c r="AR541" s="252"/>
      <c r="AS541" s="252"/>
      <c r="AT541" s="252"/>
      <c r="AU541" s="195"/>
      <c r="AV541" s="195"/>
      <c r="AW541" s="195"/>
      <c r="AX541" s="195"/>
      <c r="AY541" s="195"/>
      <c r="AZ541" s="195"/>
      <c r="BA541" s="195"/>
      <c r="BB541" s="195"/>
      <c r="BC541" s="195"/>
      <c r="BD541" s="195"/>
      <c r="BE541" s="195"/>
      <c r="BF541" s="195"/>
      <c r="BG541" s="195"/>
      <c r="BH541" s="195"/>
      <c r="BI541" s="195"/>
      <c r="BJ541" s="195"/>
      <c r="BK541" s="195"/>
      <c r="BL541" s="195"/>
      <c r="BM541" s="195"/>
      <c r="BN541" s="195"/>
      <c r="BO541" s="195"/>
      <c r="BP541" s="195"/>
      <c r="BQ541" s="195"/>
      <c r="BR541" s="195"/>
      <c r="BS541" s="195"/>
      <c r="BT541" s="195"/>
      <c r="BU541" s="195"/>
      <c r="BV541" s="195"/>
      <c r="BW541" s="195"/>
      <c r="BX541" s="195"/>
      <c r="BY541" s="195"/>
      <c r="BZ541" s="195"/>
      <c r="CA541" s="195"/>
      <c r="CB541" s="195"/>
      <c r="CC541" s="195"/>
      <c r="CD541" s="195"/>
      <c r="CE541" s="195"/>
      <c r="CF541" s="195"/>
      <c r="CG541" s="256"/>
    </row>
    <row r="542" spans="1:85" s="254" customFormat="1" ht="13.9" customHeight="1" x14ac:dyDescent="0.2">
      <c r="A542" s="255" t="s">
        <v>158</v>
      </c>
      <c r="B542" s="187">
        <v>40</v>
      </c>
      <c r="C542" s="248" t="s">
        <v>622</v>
      </c>
      <c r="D542" s="197" t="s">
        <v>159</v>
      </c>
      <c r="E542" s="199"/>
      <c r="F542" s="199">
        <v>1025000000</v>
      </c>
      <c r="G542" s="199"/>
      <c r="H542" s="197" t="s">
        <v>794</v>
      </c>
      <c r="I542" s="248" t="s">
        <v>746</v>
      </c>
      <c r="J542" s="187">
        <v>1</v>
      </c>
      <c r="K542" s="187">
        <v>1</v>
      </c>
      <c r="L542" s="187">
        <v>12</v>
      </c>
      <c r="M542" s="172">
        <f t="shared" si="92"/>
        <v>1</v>
      </c>
      <c r="N542" s="180" t="s">
        <v>36</v>
      </c>
      <c r="O542" s="181" t="str">
        <f>IF(ISBLANK(N542),"",VLOOKUP(N542,[17]Parámetros!$G$2:$H$23,2,FALSE))</f>
        <v xml:space="preserve">Contratación directa (con ofertas) </v>
      </c>
      <c r="P542" s="249">
        <f t="shared" si="98"/>
        <v>1</v>
      </c>
      <c r="Q542" s="183">
        <f t="shared" si="93"/>
        <v>1025000000</v>
      </c>
      <c r="R542" s="183">
        <f t="shared" si="94"/>
        <v>1025000000</v>
      </c>
      <c r="S542" s="250" t="s">
        <v>223</v>
      </c>
      <c r="T542" s="249">
        <f t="shared" si="91"/>
        <v>0</v>
      </c>
      <c r="U542" s="185" t="str">
        <f t="shared" si="95"/>
        <v>SUBDIRECCION DE GESTION CONTRACTUAL</v>
      </c>
      <c r="V542" s="249" t="str">
        <f t="shared" si="96"/>
        <v>CO-DC</v>
      </c>
      <c r="W542" s="249" t="str">
        <f t="shared" si="97"/>
        <v>Distrito Capital de Bogotá</v>
      </c>
      <c r="X542" s="197" t="s">
        <v>591</v>
      </c>
      <c r="Y542" s="187">
        <v>2427400</v>
      </c>
      <c r="Z542" s="201" t="s">
        <v>160</v>
      </c>
      <c r="AA542" s="252"/>
      <c r="AB542" s="252"/>
      <c r="AC542" s="252"/>
      <c r="AD542" s="252"/>
      <c r="AE542" s="252"/>
      <c r="AF542" s="252"/>
      <c r="AG542" s="252"/>
      <c r="AH542" s="252"/>
      <c r="AI542" s="252"/>
      <c r="AJ542" s="252"/>
      <c r="AK542" s="252"/>
      <c r="AL542" s="252"/>
      <c r="AM542" s="252"/>
      <c r="AN542" s="252"/>
      <c r="AO542" s="252"/>
      <c r="AP542" s="252"/>
      <c r="AQ542" s="252"/>
      <c r="AR542" s="252"/>
      <c r="AS542" s="252"/>
      <c r="AT542" s="252"/>
      <c r="AU542" s="195"/>
      <c r="AV542" s="195"/>
      <c r="AW542" s="195"/>
      <c r="AX542" s="195"/>
      <c r="AY542" s="195"/>
      <c r="AZ542" s="195"/>
      <c r="BA542" s="195"/>
      <c r="BB542" s="195"/>
      <c r="BC542" s="195"/>
      <c r="BD542" s="195"/>
      <c r="BE542" s="195"/>
      <c r="BF542" s="195"/>
      <c r="BG542" s="195"/>
      <c r="BH542" s="195"/>
      <c r="BI542" s="195"/>
      <c r="BJ542" s="195"/>
      <c r="BK542" s="195"/>
      <c r="BL542" s="195"/>
      <c r="BM542" s="195"/>
      <c r="BN542" s="195"/>
      <c r="BO542" s="195"/>
      <c r="BP542" s="195"/>
      <c r="BQ542" s="195"/>
      <c r="BR542" s="195"/>
      <c r="BS542" s="195"/>
      <c r="BT542" s="195"/>
      <c r="BU542" s="195"/>
      <c r="BV542" s="195"/>
      <c r="BW542" s="195"/>
      <c r="BX542" s="195"/>
      <c r="BY542" s="195"/>
      <c r="BZ542" s="195"/>
      <c r="CA542" s="195"/>
      <c r="CB542" s="195"/>
      <c r="CC542" s="195"/>
      <c r="CD542" s="195"/>
      <c r="CE542" s="195"/>
      <c r="CF542" s="195"/>
      <c r="CG542" s="256"/>
    </row>
    <row r="543" spans="1:85" s="254" customFormat="1" ht="13.9" customHeight="1" x14ac:dyDescent="0.2">
      <c r="A543" s="255" t="s">
        <v>158</v>
      </c>
      <c r="B543" s="187">
        <v>41</v>
      </c>
      <c r="C543" s="248" t="s">
        <v>622</v>
      </c>
      <c r="D543" s="197" t="s">
        <v>159</v>
      </c>
      <c r="E543" s="199"/>
      <c r="F543" s="199">
        <v>514750950</v>
      </c>
      <c r="G543" s="199"/>
      <c r="H543" s="197" t="s">
        <v>794</v>
      </c>
      <c r="I543" s="248" t="s">
        <v>747</v>
      </c>
      <c r="J543" s="187">
        <v>1</v>
      </c>
      <c r="K543" s="187">
        <v>1</v>
      </c>
      <c r="L543" s="187">
        <v>12</v>
      </c>
      <c r="M543" s="172">
        <f t="shared" si="92"/>
        <v>1</v>
      </c>
      <c r="N543" s="180" t="s">
        <v>36</v>
      </c>
      <c r="O543" s="181" t="str">
        <f>IF(ISBLANK(N543),"",VLOOKUP(N543,[17]Parámetros!$G$2:$H$23,2,FALSE))</f>
        <v xml:space="preserve">Contratación directa (con ofertas) </v>
      </c>
      <c r="P543" s="249">
        <f t="shared" si="98"/>
        <v>1</v>
      </c>
      <c r="Q543" s="183">
        <f t="shared" si="93"/>
        <v>514750950</v>
      </c>
      <c r="R543" s="183">
        <f t="shared" si="94"/>
        <v>514750950</v>
      </c>
      <c r="S543" s="250" t="s">
        <v>223</v>
      </c>
      <c r="T543" s="249">
        <f t="shared" si="91"/>
        <v>0</v>
      </c>
      <c r="U543" s="185" t="str">
        <f t="shared" si="95"/>
        <v>SUBDIRECCION DE GESTION CONTRACTUAL</v>
      </c>
      <c r="V543" s="249" t="str">
        <f t="shared" si="96"/>
        <v>CO-DC</v>
      </c>
      <c r="W543" s="249" t="str">
        <f t="shared" si="97"/>
        <v>Distrito Capital de Bogotá</v>
      </c>
      <c r="X543" s="197" t="s">
        <v>591</v>
      </c>
      <c r="Y543" s="187">
        <v>2427400</v>
      </c>
      <c r="Z543" s="201" t="s">
        <v>160</v>
      </c>
      <c r="AA543" s="252"/>
      <c r="AB543" s="252"/>
      <c r="AC543" s="252"/>
      <c r="AD543" s="252"/>
      <c r="AE543" s="252"/>
      <c r="AF543" s="252"/>
      <c r="AG543" s="252"/>
      <c r="AH543" s="252"/>
      <c r="AI543" s="252"/>
      <c r="AJ543" s="252"/>
      <c r="AK543" s="252"/>
      <c r="AL543" s="252"/>
      <c r="AM543" s="252"/>
      <c r="AN543" s="252"/>
      <c r="AO543" s="252"/>
      <c r="AP543" s="252"/>
      <c r="AQ543" s="252"/>
      <c r="AR543" s="252"/>
      <c r="AS543" s="252"/>
      <c r="AT543" s="252"/>
      <c r="AU543" s="195"/>
      <c r="AV543" s="195"/>
      <c r="AW543" s="195"/>
      <c r="AX543" s="195"/>
      <c r="AY543" s="195"/>
      <c r="AZ543" s="195"/>
      <c r="BA543" s="195"/>
      <c r="BB543" s="195"/>
      <c r="BC543" s="195"/>
      <c r="BD543" s="195"/>
      <c r="BE543" s="195"/>
      <c r="BF543" s="195"/>
      <c r="BG543" s="195"/>
      <c r="BH543" s="195"/>
      <c r="BI543" s="195"/>
      <c r="BJ543" s="195"/>
      <c r="BK543" s="195"/>
      <c r="BL543" s="195"/>
      <c r="BM543" s="195"/>
      <c r="BN543" s="195"/>
      <c r="BO543" s="195"/>
      <c r="BP543" s="195"/>
      <c r="BQ543" s="195"/>
      <c r="BR543" s="195"/>
      <c r="BS543" s="195"/>
      <c r="BT543" s="195"/>
      <c r="BU543" s="195"/>
      <c r="BV543" s="195"/>
      <c r="BW543" s="195"/>
      <c r="BX543" s="195"/>
      <c r="BY543" s="195"/>
      <c r="BZ543" s="195"/>
      <c r="CA543" s="195"/>
      <c r="CB543" s="195"/>
      <c r="CC543" s="195"/>
      <c r="CD543" s="195"/>
      <c r="CE543" s="195"/>
      <c r="CF543" s="195"/>
      <c r="CG543" s="256"/>
    </row>
    <row r="544" spans="1:85" s="254" customFormat="1" ht="13.9" customHeight="1" x14ac:dyDescent="0.2">
      <c r="A544" s="255" t="s">
        <v>158</v>
      </c>
      <c r="B544" s="187">
        <v>42</v>
      </c>
      <c r="C544" s="248" t="s">
        <v>622</v>
      </c>
      <c r="D544" s="197" t="s">
        <v>159</v>
      </c>
      <c r="E544" s="199"/>
      <c r="F544" s="199">
        <v>1101245901</v>
      </c>
      <c r="G544" s="199"/>
      <c r="H544" s="197" t="s">
        <v>794</v>
      </c>
      <c r="I544" s="248" t="s">
        <v>748</v>
      </c>
      <c r="J544" s="187">
        <v>1</v>
      </c>
      <c r="K544" s="187">
        <v>1</v>
      </c>
      <c r="L544" s="187">
        <v>12</v>
      </c>
      <c r="M544" s="172">
        <f t="shared" si="92"/>
        <v>1</v>
      </c>
      <c r="N544" s="180" t="s">
        <v>36</v>
      </c>
      <c r="O544" s="181" t="str">
        <f>IF(ISBLANK(N544),"",VLOOKUP(N544,[17]Parámetros!$G$2:$H$23,2,FALSE))</f>
        <v xml:space="preserve">Contratación directa (con ofertas) </v>
      </c>
      <c r="P544" s="249">
        <f t="shared" si="98"/>
        <v>1</v>
      </c>
      <c r="Q544" s="183">
        <f t="shared" si="93"/>
        <v>1101245901</v>
      </c>
      <c r="R544" s="183">
        <f t="shared" si="94"/>
        <v>1101245901</v>
      </c>
      <c r="S544" s="250" t="s">
        <v>223</v>
      </c>
      <c r="T544" s="249">
        <f t="shared" si="91"/>
        <v>0</v>
      </c>
      <c r="U544" s="185" t="str">
        <f t="shared" si="95"/>
        <v>SUBDIRECCION DE GESTION CONTRACTUAL</v>
      </c>
      <c r="V544" s="249" t="str">
        <f t="shared" si="96"/>
        <v>CO-DC</v>
      </c>
      <c r="W544" s="249" t="str">
        <f t="shared" si="97"/>
        <v>Distrito Capital de Bogotá</v>
      </c>
      <c r="X544" s="197" t="s">
        <v>591</v>
      </c>
      <c r="Y544" s="187">
        <v>2427400</v>
      </c>
      <c r="Z544" s="201" t="s">
        <v>160</v>
      </c>
      <c r="AA544" s="252"/>
      <c r="AB544" s="252"/>
      <c r="AC544" s="252"/>
      <c r="AD544" s="252"/>
      <c r="AE544" s="252"/>
      <c r="AF544" s="252"/>
      <c r="AG544" s="252"/>
      <c r="AH544" s="252"/>
      <c r="AI544" s="252"/>
      <c r="AJ544" s="252"/>
      <c r="AK544" s="252"/>
      <c r="AL544" s="252"/>
      <c r="AM544" s="252"/>
      <c r="AN544" s="252"/>
      <c r="AO544" s="252"/>
      <c r="AP544" s="252"/>
      <c r="AQ544" s="252"/>
      <c r="AR544" s="252"/>
      <c r="AS544" s="252"/>
      <c r="AT544" s="252"/>
      <c r="AU544" s="195"/>
      <c r="AV544" s="195"/>
      <c r="AW544" s="195"/>
      <c r="AX544" s="195"/>
      <c r="AY544" s="195"/>
      <c r="AZ544" s="195"/>
      <c r="BA544" s="195"/>
      <c r="BB544" s="195"/>
      <c r="BC544" s="195"/>
      <c r="BD544" s="195"/>
      <c r="BE544" s="195"/>
      <c r="BF544" s="195"/>
      <c r="BG544" s="195"/>
      <c r="BH544" s="195"/>
      <c r="BI544" s="195"/>
      <c r="BJ544" s="195"/>
      <c r="BK544" s="195"/>
      <c r="BL544" s="195"/>
      <c r="BM544" s="195"/>
      <c r="BN544" s="195"/>
      <c r="BO544" s="195"/>
      <c r="BP544" s="195"/>
      <c r="BQ544" s="195"/>
      <c r="BR544" s="195"/>
      <c r="BS544" s="195"/>
      <c r="BT544" s="195"/>
      <c r="BU544" s="195"/>
      <c r="BV544" s="195"/>
      <c r="BW544" s="195"/>
      <c r="BX544" s="195"/>
      <c r="BY544" s="195"/>
      <c r="BZ544" s="195"/>
      <c r="CA544" s="195"/>
      <c r="CB544" s="195"/>
      <c r="CC544" s="195"/>
      <c r="CD544" s="195"/>
      <c r="CE544" s="195"/>
      <c r="CF544" s="195"/>
      <c r="CG544" s="256"/>
    </row>
    <row r="545" spans="1:85" s="254" customFormat="1" ht="13.9" customHeight="1" x14ac:dyDescent="0.2">
      <c r="A545" s="255" t="s">
        <v>158</v>
      </c>
      <c r="B545" s="187">
        <v>43</v>
      </c>
      <c r="C545" s="248" t="s">
        <v>622</v>
      </c>
      <c r="D545" s="197" t="s">
        <v>159</v>
      </c>
      <c r="E545" s="199"/>
      <c r="F545" s="199">
        <v>727303040</v>
      </c>
      <c r="G545" s="199"/>
      <c r="H545" s="197" t="s">
        <v>794</v>
      </c>
      <c r="I545" s="248" t="s">
        <v>749</v>
      </c>
      <c r="J545" s="187">
        <v>1</v>
      </c>
      <c r="K545" s="187">
        <v>1</v>
      </c>
      <c r="L545" s="187">
        <v>12</v>
      </c>
      <c r="M545" s="172">
        <f t="shared" si="92"/>
        <v>1</v>
      </c>
      <c r="N545" s="180" t="s">
        <v>36</v>
      </c>
      <c r="O545" s="181" t="str">
        <f>IF(ISBLANK(N545),"",VLOOKUP(N545,[17]Parámetros!$G$2:$H$23,2,FALSE))</f>
        <v xml:space="preserve">Contratación directa (con ofertas) </v>
      </c>
      <c r="P545" s="249">
        <f t="shared" si="98"/>
        <v>1</v>
      </c>
      <c r="Q545" s="183">
        <f t="shared" si="93"/>
        <v>727303040</v>
      </c>
      <c r="R545" s="183">
        <f t="shared" si="94"/>
        <v>727303040</v>
      </c>
      <c r="S545" s="250" t="s">
        <v>223</v>
      </c>
      <c r="T545" s="249">
        <f t="shared" si="91"/>
        <v>0</v>
      </c>
      <c r="U545" s="185" t="str">
        <f t="shared" si="95"/>
        <v>SUBDIRECCION DE GESTION CONTRACTUAL</v>
      </c>
      <c r="V545" s="249" t="str">
        <f t="shared" si="96"/>
        <v>CO-DC</v>
      </c>
      <c r="W545" s="249" t="str">
        <f t="shared" si="97"/>
        <v>Distrito Capital de Bogotá</v>
      </c>
      <c r="X545" s="197" t="s">
        <v>591</v>
      </c>
      <c r="Y545" s="187">
        <v>2427400</v>
      </c>
      <c r="Z545" s="201" t="s">
        <v>160</v>
      </c>
      <c r="AA545" s="252"/>
      <c r="AB545" s="252"/>
      <c r="AC545" s="252"/>
      <c r="AD545" s="252"/>
      <c r="AE545" s="252"/>
      <c r="AF545" s="252"/>
      <c r="AG545" s="252"/>
      <c r="AH545" s="252"/>
      <c r="AI545" s="252"/>
      <c r="AJ545" s="252"/>
      <c r="AK545" s="252"/>
      <c r="AL545" s="252"/>
      <c r="AM545" s="252"/>
      <c r="AN545" s="252"/>
      <c r="AO545" s="252"/>
      <c r="AP545" s="252"/>
      <c r="AQ545" s="252"/>
      <c r="AR545" s="252"/>
      <c r="AS545" s="252"/>
      <c r="AT545" s="252"/>
      <c r="AU545" s="195"/>
      <c r="AV545" s="195"/>
      <c r="AW545" s="195"/>
      <c r="AX545" s="195"/>
      <c r="AY545" s="195"/>
      <c r="AZ545" s="195"/>
      <c r="BA545" s="195"/>
      <c r="BB545" s="195"/>
      <c r="BC545" s="195"/>
      <c r="BD545" s="195"/>
      <c r="BE545" s="195"/>
      <c r="BF545" s="195"/>
      <c r="BG545" s="195"/>
      <c r="BH545" s="195"/>
      <c r="BI545" s="195"/>
      <c r="BJ545" s="195"/>
      <c r="BK545" s="195"/>
      <c r="BL545" s="195"/>
      <c r="BM545" s="195"/>
      <c r="BN545" s="195"/>
      <c r="BO545" s="195"/>
      <c r="BP545" s="195"/>
      <c r="BQ545" s="195"/>
      <c r="BR545" s="195"/>
      <c r="BS545" s="195"/>
      <c r="BT545" s="195"/>
      <c r="BU545" s="195"/>
      <c r="BV545" s="195"/>
      <c r="BW545" s="195"/>
      <c r="BX545" s="195"/>
      <c r="BY545" s="195"/>
      <c r="BZ545" s="195"/>
      <c r="CA545" s="195"/>
      <c r="CB545" s="195"/>
      <c r="CC545" s="195"/>
      <c r="CD545" s="195"/>
      <c r="CE545" s="195"/>
      <c r="CF545" s="195"/>
      <c r="CG545" s="256"/>
    </row>
    <row r="546" spans="1:85" s="254" customFormat="1" ht="13.9" customHeight="1" x14ac:dyDescent="0.2">
      <c r="A546" s="255" t="s">
        <v>158</v>
      </c>
      <c r="B546" s="187">
        <v>44</v>
      </c>
      <c r="C546" s="248" t="s">
        <v>622</v>
      </c>
      <c r="D546" s="197" t="s">
        <v>159</v>
      </c>
      <c r="E546" s="199"/>
      <c r="F546" s="199">
        <v>205000000</v>
      </c>
      <c r="G546" s="199"/>
      <c r="H546" s="197" t="s">
        <v>794</v>
      </c>
      <c r="I546" s="248" t="s">
        <v>751</v>
      </c>
      <c r="J546" s="187">
        <v>1</v>
      </c>
      <c r="K546" s="187">
        <v>1</v>
      </c>
      <c r="L546" s="187">
        <v>12</v>
      </c>
      <c r="M546" s="172">
        <f t="shared" si="92"/>
        <v>1</v>
      </c>
      <c r="N546" s="180" t="s">
        <v>36</v>
      </c>
      <c r="O546" s="181" t="str">
        <f>IF(ISBLANK(N546),"",VLOOKUP(N546,[17]Parámetros!$G$2:$H$23,2,FALSE))</f>
        <v xml:space="preserve">Contratación directa (con ofertas) </v>
      </c>
      <c r="P546" s="249">
        <f t="shared" si="98"/>
        <v>1</v>
      </c>
      <c r="Q546" s="183">
        <f t="shared" si="93"/>
        <v>205000000</v>
      </c>
      <c r="R546" s="183">
        <f t="shared" si="94"/>
        <v>205000000</v>
      </c>
      <c r="S546" s="250" t="s">
        <v>223</v>
      </c>
      <c r="T546" s="249">
        <f t="shared" ref="T546:T577" si="99">IF(ISBLANK(S546),"",IF(VALUE(S546)=0,0,IF(VALUE(S546)=1,3,"")))</f>
        <v>0</v>
      </c>
      <c r="U546" s="185" t="str">
        <f t="shared" si="95"/>
        <v>SUBDIRECCION DE GESTION CONTRACTUAL</v>
      </c>
      <c r="V546" s="249" t="str">
        <f t="shared" si="96"/>
        <v>CO-DC</v>
      </c>
      <c r="W546" s="249" t="str">
        <f t="shared" si="97"/>
        <v>Distrito Capital de Bogotá</v>
      </c>
      <c r="X546" s="197" t="s">
        <v>591</v>
      </c>
      <c r="Y546" s="187">
        <v>2427400</v>
      </c>
      <c r="Z546" s="201" t="s">
        <v>160</v>
      </c>
      <c r="AA546" s="252"/>
      <c r="AB546" s="252"/>
      <c r="AC546" s="252"/>
      <c r="AD546" s="252"/>
      <c r="AE546" s="252"/>
      <c r="AF546" s="252"/>
      <c r="AG546" s="252"/>
      <c r="AH546" s="252"/>
      <c r="AI546" s="252"/>
      <c r="AJ546" s="252"/>
      <c r="AK546" s="252"/>
      <c r="AL546" s="252"/>
      <c r="AM546" s="252"/>
      <c r="AN546" s="252"/>
      <c r="AO546" s="252"/>
      <c r="AP546" s="252"/>
      <c r="AQ546" s="252"/>
      <c r="AR546" s="252"/>
      <c r="AS546" s="252"/>
      <c r="AT546" s="252"/>
      <c r="AU546" s="195"/>
      <c r="AV546" s="195"/>
      <c r="AW546" s="195"/>
      <c r="AX546" s="195"/>
      <c r="AY546" s="195"/>
      <c r="AZ546" s="195"/>
      <c r="BA546" s="195"/>
      <c r="BB546" s="195"/>
      <c r="BC546" s="195"/>
      <c r="BD546" s="195"/>
      <c r="BE546" s="195"/>
      <c r="BF546" s="195"/>
      <c r="BG546" s="195"/>
      <c r="BH546" s="195"/>
      <c r="BI546" s="195"/>
      <c r="BJ546" s="195"/>
      <c r="BK546" s="195"/>
      <c r="BL546" s="195"/>
      <c r="BM546" s="195"/>
      <c r="BN546" s="195"/>
      <c r="BO546" s="195"/>
      <c r="BP546" s="195"/>
      <c r="BQ546" s="195"/>
      <c r="BR546" s="195"/>
      <c r="BS546" s="195"/>
      <c r="BT546" s="195"/>
      <c r="BU546" s="195"/>
      <c r="BV546" s="195"/>
      <c r="BW546" s="195"/>
      <c r="BX546" s="195"/>
      <c r="BY546" s="195"/>
      <c r="BZ546" s="195"/>
      <c r="CA546" s="195"/>
      <c r="CB546" s="195"/>
      <c r="CC546" s="195"/>
      <c r="CD546" s="195"/>
      <c r="CE546" s="195"/>
      <c r="CF546" s="195"/>
      <c r="CG546" s="256"/>
    </row>
    <row r="547" spans="1:85" s="254" customFormat="1" ht="13.9" customHeight="1" x14ac:dyDescent="0.2">
      <c r="A547" s="255" t="s">
        <v>158</v>
      </c>
      <c r="B547" s="187">
        <v>45</v>
      </c>
      <c r="C547" s="248" t="s">
        <v>622</v>
      </c>
      <c r="D547" s="197" t="s">
        <v>159</v>
      </c>
      <c r="E547" s="199"/>
      <c r="F547" s="199">
        <v>962792662</v>
      </c>
      <c r="G547" s="199"/>
      <c r="H547" s="197" t="s">
        <v>798</v>
      </c>
      <c r="I547" s="248" t="s">
        <v>750</v>
      </c>
      <c r="J547" s="187">
        <v>1</v>
      </c>
      <c r="K547" s="187">
        <v>1</v>
      </c>
      <c r="L547" s="187">
        <v>12</v>
      </c>
      <c r="M547" s="172">
        <f t="shared" si="92"/>
        <v>1</v>
      </c>
      <c r="N547" s="180" t="s">
        <v>36</v>
      </c>
      <c r="O547" s="181" t="str">
        <f>IF(ISBLANK(N547),"",VLOOKUP(N547,[17]Parámetros!$G$2:$H$23,2,FALSE))</f>
        <v xml:space="preserve">Contratación directa (con ofertas) </v>
      </c>
      <c r="P547" s="249">
        <f t="shared" si="98"/>
        <v>1</v>
      </c>
      <c r="Q547" s="183">
        <f t="shared" si="93"/>
        <v>962792662</v>
      </c>
      <c r="R547" s="183">
        <f t="shared" si="94"/>
        <v>962792662</v>
      </c>
      <c r="S547" s="250" t="s">
        <v>223</v>
      </c>
      <c r="T547" s="249">
        <f t="shared" si="99"/>
        <v>0</v>
      </c>
      <c r="U547" s="185" t="str">
        <f t="shared" si="95"/>
        <v>SUBDIRECCION DE GESTION CONTRACTUAL</v>
      </c>
      <c r="V547" s="249" t="str">
        <f t="shared" si="96"/>
        <v>CO-DC</v>
      </c>
      <c r="W547" s="249" t="str">
        <f t="shared" si="97"/>
        <v>Distrito Capital de Bogotá</v>
      </c>
      <c r="X547" s="197" t="s">
        <v>591</v>
      </c>
      <c r="Y547" s="187">
        <v>2427400</v>
      </c>
      <c r="Z547" s="201" t="s">
        <v>160</v>
      </c>
      <c r="AA547" s="252"/>
      <c r="AB547" s="252"/>
      <c r="AC547" s="252"/>
      <c r="AD547" s="252"/>
      <c r="AE547" s="252"/>
      <c r="AF547" s="252"/>
      <c r="AG547" s="252"/>
      <c r="AH547" s="252"/>
      <c r="AI547" s="252"/>
      <c r="AJ547" s="252"/>
      <c r="AK547" s="252"/>
      <c r="AL547" s="252"/>
      <c r="AM547" s="252"/>
      <c r="AN547" s="252"/>
      <c r="AO547" s="252"/>
      <c r="AP547" s="252"/>
      <c r="AQ547" s="252"/>
      <c r="AR547" s="252"/>
      <c r="AS547" s="252"/>
      <c r="AT547" s="252"/>
      <c r="AU547" s="195"/>
      <c r="AV547" s="195"/>
      <c r="AW547" s="195"/>
      <c r="AX547" s="195"/>
      <c r="AY547" s="195"/>
      <c r="AZ547" s="195"/>
      <c r="BA547" s="195"/>
      <c r="BB547" s="195"/>
      <c r="BC547" s="195"/>
      <c r="BD547" s="195"/>
      <c r="BE547" s="195"/>
      <c r="BF547" s="195"/>
      <c r="BG547" s="195"/>
      <c r="BH547" s="195"/>
      <c r="BI547" s="195"/>
      <c r="BJ547" s="195"/>
      <c r="BK547" s="195"/>
      <c r="BL547" s="195"/>
      <c r="BM547" s="195"/>
      <c r="BN547" s="195"/>
      <c r="BO547" s="195"/>
      <c r="BP547" s="195"/>
      <c r="BQ547" s="195"/>
      <c r="BR547" s="195"/>
      <c r="BS547" s="195"/>
      <c r="BT547" s="195"/>
      <c r="BU547" s="195"/>
      <c r="BV547" s="195"/>
      <c r="BW547" s="195"/>
      <c r="BX547" s="195"/>
      <c r="BY547" s="195"/>
      <c r="BZ547" s="195"/>
      <c r="CA547" s="195"/>
      <c r="CB547" s="195"/>
      <c r="CC547" s="195"/>
      <c r="CD547" s="195"/>
      <c r="CE547" s="195"/>
      <c r="CF547" s="195"/>
      <c r="CG547" s="256"/>
    </row>
    <row r="548" spans="1:85" s="254" customFormat="1" ht="13.9" customHeight="1" x14ac:dyDescent="0.2">
      <c r="A548" s="255" t="s">
        <v>158</v>
      </c>
      <c r="B548" s="187">
        <v>46</v>
      </c>
      <c r="C548" s="248" t="s">
        <v>622</v>
      </c>
      <c r="D548" s="197" t="s">
        <v>159</v>
      </c>
      <c r="E548" s="199"/>
      <c r="F548" s="199">
        <v>725303040</v>
      </c>
      <c r="G548" s="199"/>
      <c r="H548" s="197" t="s">
        <v>794</v>
      </c>
      <c r="I548" s="248" t="s">
        <v>752</v>
      </c>
      <c r="J548" s="187">
        <v>1</v>
      </c>
      <c r="K548" s="187">
        <v>1</v>
      </c>
      <c r="L548" s="187">
        <v>12</v>
      </c>
      <c r="M548" s="172">
        <f t="shared" si="92"/>
        <v>1</v>
      </c>
      <c r="N548" s="180" t="s">
        <v>36</v>
      </c>
      <c r="O548" s="181" t="str">
        <f>IF(ISBLANK(N548),"",VLOOKUP(N548,[17]Parámetros!$G$2:$H$23,2,FALSE))</f>
        <v xml:space="preserve">Contratación directa (con ofertas) </v>
      </c>
      <c r="P548" s="249">
        <f t="shared" si="98"/>
        <v>1</v>
      </c>
      <c r="Q548" s="183">
        <f t="shared" si="93"/>
        <v>725303040</v>
      </c>
      <c r="R548" s="183">
        <f t="shared" si="94"/>
        <v>725303040</v>
      </c>
      <c r="S548" s="250" t="s">
        <v>223</v>
      </c>
      <c r="T548" s="249">
        <f t="shared" si="99"/>
        <v>0</v>
      </c>
      <c r="U548" s="185" t="str">
        <f t="shared" si="95"/>
        <v>SUBDIRECCION DE GESTION CONTRACTUAL</v>
      </c>
      <c r="V548" s="249" t="str">
        <f t="shared" si="96"/>
        <v>CO-DC</v>
      </c>
      <c r="W548" s="249" t="str">
        <f t="shared" si="97"/>
        <v>Distrito Capital de Bogotá</v>
      </c>
      <c r="X548" s="197" t="s">
        <v>591</v>
      </c>
      <c r="Y548" s="187">
        <v>2427400</v>
      </c>
      <c r="Z548" s="201" t="s">
        <v>160</v>
      </c>
      <c r="AA548" s="252"/>
      <c r="AB548" s="252"/>
      <c r="AC548" s="252"/>
      <c r="AD548" s="252"/>
      <c r="AE548" s="252"/>
      <c r="AF548" s="252"/>
      <c r="AG548" s="252"/>
      <c r="AH548" s="252"/>
      <c r="AI548" s="252"/>
      <c r="AJ548" s="252"/>
      <c r="AK548" s="252"/>
      <c r="AL548" s="252"/>
      <c r="AM548" s="252"/>
      <c r="AN548" s="252"/>
      <c r="AO548" s="252"/>
      <c r="AP548" s="252"/>
      <c r="AQ548" s="252"/>
      <c r="AR548" s="252"/>
      <c r="AS548" s="252"/>
      <c r="AT548" s="252"/>
      <c r="AU548" s="195"/>
      <c r="AV548" s="195"/>
      <c r="AW548" s="195"/>
      <c r="AX548" s="195"/>
      <c r="AY548" s="195"/>
      <c r="AZ548" s="195"/>
      <c r="BA548" s="195"/>
      <c r="BB548" s="195"/>
      <c r="BC548" s="195"/>
      <c r="BD548" s="195"/>
      <c r="BE548" s="195"/>
      <c r="BF548" s="195"/>
      <c r="BG548" s="195"/>
      <c r="BH548" s="195"/>
      <c r="BI548" s="195"/>
      <c r="BJ548" s="195"/>
      <c r="BK548" s="195"/>
      <c r="BL548" s="195"/>
      <c r="BM548" s="195"/>
      <c r="BN548" s="195"/>
      <c r="BO548" s="195"/>
      <c r="BP548" s="195"/>
      <c r="BQ548" s="195"/>
      <c r="BR548" s="195"/>
      <c r="BS548" s="195"/>
      <c r="BT548" s="195"/>
      <c r="BU548" s="195"/>
      <c r="BV548" s="195"/>
      <c r="BW548" s="195"/>
      <c r="BX548" s="195"/>
      <c r="BY548" s="195"/>
      <c r="BZ548" s="195"/>
      <c r="CA548" s="195"/>
      <c r="CB548" s="195"/>
      <c r="CC548" s="195"/>
      <c r="CD548" s="195"/>
      <c r="CE548" s="195"/>
      <c r="CF548" s="195"/>
      <c r="CG548" s="256"/>
    </row>
    <row r="549" spans="1:85" s="254" customFormat="1" ht="13.9" customHeight="1" x14ac:dyDescent="0.2">
      <c r="A549" s="255" t="s">
        <v>158</v>
      </c>
      <c r="B549" s="187">
        <v>47</v>
      </c>
      <c r="C549" s="248" t="s">
        <v>622</v>
      </c>
      <c r="D549" s="197" t="s">
        <v>159</v>
      </c>
      <c r="E549" s="199"/>
      <c r="F549" s="199">
        <v>360741600</v>
      </c>
      <c r="G549" s="199"/>
      <c r="H549" s="197" t="s">
        <v>794</v>
      </c>
      <c r="I549" s="248" t="s">
        <v>753</v>
      </c>
      <c r="J549" s="187">
        <v>1</v>
      </c>
      <c r="K549" s="187">
        <v>1</v>
      </c>
      <c r="L549" s="187">
        <v>12</v>
      </c>
      <c r="M549" s="172">
        <f t="shared" si="92"/>
        <v>1</v>
      </c>
      <c r="N549" s="180" t="s">
        <v>36</v>
      </c>
      <c r="O549" s="181" t="str">
        <f>IF(ISBLANK(N549),"",VLOOKUP(N549,[17]Parámetros!$G$2:$H$23,2,FALSE))</f>
        <v xml:space="preserve">Contratación directa (con ofertas) </v>
      </c>
      <c r="P549" s="249">
        <f t="shared" si="98"/>
        <v>1</v>
      </c>
      <c r="Q549" s="183">
        <f t="shared" si="93"/>
        <v>360741600</v>
      </c>
      <c r="R549" s="183">
        <f t="shared" si="94"/>
        <v>360741600</v>
      </c>
      <c r="S549" s="250" t="s">
        <v>223</v>
      </c>
      <c r="T549" s="249">
        <f t="shared" si="99"/>
        <v>0</v>
      </c>
      <c r="U549" s="185" t="str">
        <f t="shared" si="95"/>
        <v>SUBDIRECCION DE GESTION CONTRACTUAL</v>
      </c>
      <c r="V549" s="249" t="str">
        <f t="shared" si="96"/>
        <v>CO-DC</v>
      </c>
      <c r="W549" s="249" t="str">
        <f t="shared" si="97"/>
        <v>Distrito Capital de Bogotá</v>
      </c>
      <c r="X549" s="197" t="s">
        <v>591</v>
      </c>
      <c r="Y549" s="187">
        <v>2427400</v>
      </c>
      <c r="Z549" s="201" t="s">
        <v>160</v>
      </c>
      <c r="AA549" s="252"/>
      <c r="AB549" s="252"/>
      <c r="AC549" s="252"/>
      <c r="AD549" s="252"/>
      <c r="AE549" s="252"/>
      <c r="AF549" s="252"/>
      <c r="AG549" s="252"/>
      <c r="AH549" s="252"/>
      <c r="AI549" s="252"/>
      <c r="AJ549" s="252"/>
      <c r="AK549" s="252"/>
      <c r="AL549" s="252"/>
      <c r="AM549" s="252"/>
      <c r="AN549" s="252"/>
      <c r="AO549" s="252"/>
      <c r="AP549" s="252"/>
      <c r="AQ549" s="252"/>
      <c r="AR549" s="252"/>
      <c r="AS549" s="252"/>
      <c r="AT549" s="252"/>
      <c r="AU549" s="195"/>
      <c r="AV549" s="195"/>
      <c r="AW549" s="195"/>
      <c r="AX549" s="195"/>
      <c r="AY549" s="195"/>
      <c r="AZ549" s="195"/>
      <c r="BA549" s="195"/>
      <c r="BB549" s="195"/>
      <c r="BC549" s="195"/>
      <c r="BD549" s="195"/>
      <c r="BE549" s="195"/>
      <c r="BF549" s="195"/>
      <c r="BG549" s="195"/>
      <c r="BH549" s="195"/>
      <c r="BI549" s="195"/>
      <c r="BJ549" s="195"/>
      <c r="BK549" s="195"/>
      <c r="BL549" s="195"/>
      <c r="BM549" s="195"/>
      <c r="BN549" s="195"/>
      <c r="BO549" s="195"/>
      <c r="BP549" s="195"/>
      <c r="BQ549" s="195"/>
      <c r="BR549" s="195"/>
      <c r="BS549" s="195"/>
      <c r="BT549" s="195"/>
      <c r="BU549" s="195"/>
      <c r="BV549" s="195"/>
      <c r="BW549" s="195"/>
      <c r="BX549" s="195"/>
      <c r="BY549" s="195"/>
      <c r="BZ549" s="195"/>
      <c r="CA549" s="195"/>
      <c r="CB549" s="195"/>
      <c r="CC549" s="195"/>
      <c r="CD549" s="195"/>
      <c r="CE549" s="195"/>
      <c r="CF549" s="195"/>
      <c r="CG549" s="256"/>
    </row>
    <row r="550" spans="1:85" s="254" customFormat="1" ht="13.9" customHeight="1" x14ac:dyDescent="0.2">
      <c r="A550" s="255" t="s">
        <v>158</v>
      </c>
      <c r="B550" s="187">
        <v>48</v>
      </c>
      <c r="C550" s="248" t="s">
        <v>622</v>
      </c>
      <c r="D550" s="197" t="s">
        <v>159</v>
      </c>
      <c r="E550" s="199"/>
      <c r="F550" s="199">
        <v>725303040</v>
      </c>
      <c r="G550" s="199"/>
      <c r="H550" s="197" t="s">
        <v>794</v>
      </c>
      <c r="I550" s="248" t="s">
        <v>754</v>
      </c>
      <c r="J550" s="187">
        <v>1</v>
      </c>
      <c r="K550" s="187">
        <v>1</v>
      </c>
      <c r="L550" s="187">
        <v>12</v>
      </c>
      <c r="M550" s="172">
        <f t="shared" si="92"/>
        <v>1</v>
      </c>
      <c r="N550" s="180" t="s">
        <v>36</v>
      </c>
      <c r="O550" s="181" t="str">
        <f>IF(ISBLANK(N550),"",VLOOKUP(N550,[17]Parámetros!$G$2:$H$23,2,FALSE))</f>
        <v xml:space="preserve">Contratación directa (con ofertas) </v>
      </c>
      <c r="P550" s="249">
        <f t="shared" si="98"/>
        <v>1</v>
      </c>
      <c r="Q550" s="183">
        <f t="shared" si="93"/>
        <v>725303040</v>
      </c>
      <c r="R550" s="183">
        <f t="shared" si="94"/>
        <v>725303040</v>
      </c>
      <c r="S550" s="250" t="s">
        <v>223</v>
      </c>
      <c r="T550" s="249">
        <f t="shared" si="99"/>
        <v>0</v>
      </c>
      <c r="U550" s="185" t="str">
        <f t="shared" si="95"/>
        <v>SUBDIRECCION DE GESTION CONTRACTUAL</v>
      </c>
      <c r="V550" s="249" t="str">
        <f t="shared" si="96"/>
        <v>CO-DC</v>
      </c>
      <c r="W550" s="249" t="str">
        <f t="shared" si="97"/>
        <v>Distrito Capital de Bogotá</v>
      </c>
      <c r="X550" s="197" t="s">
        <v>591</v>
      </c>
      <c r="Y550" s="187">
        <v>2427400</v>
      </c>
      <c r="Z550" s="201" t="s">
        <v>160</v>
      </c>
      <c r="AA550" s="252"/>
      <c r="AB550" s="252"/>
      <c r="AC550" s="252"/>
      <c r="AD550" s="252"/>
      <c r="AE550" s="252"/>
      <c r="AF550" s="252"/>
      <c r="AG550" s="252"/>
      <c r="AH550" s="252"/>
      <c r="AI550" s="252"/>
      <c r="AJ550" s="252"/>
      <c r="AK550" s="252"/>
      <c r="AL550" s="252"/>
      <c r="AM550" s="252"/>
      <c r="AN550" s="252"/>
      <c r="AO550" s="252"/>
      <c r="AP550" s="252"/>
      <c r="AQ550" s="252"/>
      <c r="AR550" s="252"/>
      <c r="AS550" s="252"/>
      <c r="AT550" s="252"/>
      <c r="AU550" s="195"/>
      <c r="AV550" s="195"/>
      <c r="AW550" s="195"/>
      <c r="AX550" s="195"/>
      <c r="AY550" s="195"/>
      <c r="AZ550" s="195"/>
      <c r="BA550" s="195"/>
      <c r="BB550" s="195"/>
      <c r="BC550" s="195"/>
      <c r="BD550" s="195"/>
      <c r="BE550" s="195"/>
      <c r="BF550" s="195"/>
      <c r="BG550" s="195"/>
      <c r="BH550" s="195"/>
      <c r="BI550" s="195"/>
      <c r="BJ550" s="195"/>
      <c r="BK550" s="195"/>
      <c r="BL550" s="195"/>
      <c r="BM550" s="195"/>
      <c r="BN550" s="195"/>
      <c r="BO550" s="195"/>
      <c r="BP550" s="195"/>
      <c r="BQ550" s="195"/>
      <c r="BR550" s="195"/>
      <c r="BS550" s="195"/>
      <c r="BT550" s="195"/>
      <c r="BU550" s="195"/>
      <c r="BV550" s="195"/>
      <c r="BW550" s="195"/>
      <c r="BX550" s="195"/>
      <c r="BY550" s="195"/>
      <c r="BZ550" s="195"/>
      <c r="CA550" s="195"/>
      <c r="CB550" s="195"/>
      <c r="CC550" s="195"/>
      <c r="CD550" s="195"/>
      <c r="CE550" s="195"/>
      <c r="CF550" s="195"/>
      <c r="CG550" s="256"/>
    </row>
    <row r="551" spans="1:85" s="254" customFormat="1" ht="13.9" customHeight="1" x14ac:dyDescent="0.2">
      <c r="A551" s="255" t="s">
        <v>158</v>
      </c>
      <c r="B551" s="187">
        <v>49</v>
      </c>
      <c r="C551" s="248" t="s">
        <v>622</v>
      </c>
      <c r="D551" s="197" t="s">
        <v>159</v>
      </c>
      <c r="E551" s="199"/>
      <c r="F551" s="199">
        <v>305440000</v>
      </c>
      <c r="G551" s="199"/>
      <c r="H551" s="197" t="s">
        <v>794</v>
      </c>
      <c r="I551" s="248" t="s">
        <v>755</v>
      </c>
      <c r="J551" s="187">
        <v>1</v>
      </c>
      <c r="K551" s="187">
        <v>1</v>
      </c>
      <c r="L551" s="187">
        <v>12</v>
      </c>
      <c r="M551" s="172">
        <f t="shared" si="92"/>
        <v>1</v>
      </c>
      <c r="N551" s="180" t="s">
        <v>36</v>
      </c>
      <c r="O551" s="181" t="str">
        <f>IF(ISBLANK(N551),"",VLOOKUP(N551,[17]Parámetros!$G$2:$H$23,2,FALSE))</f>
        <v xml:space="preserve">Contratación directa (con ofertas) </v>
      </c>
      <c r="P551" s="249">
        <f t="shared" si="98"/>
        <v>1</v>
      </c>
      <c r="Q551" s="183">
        <f t="shared" si="93"/>
        <v>305440000</v>
      </c>
      <c r="R551" s="183">
        <f t="shared" si="94"/>
        <v>305440000</v>
      </c>
      <c r="S551" s="250" t="s">
        <v>223</v>
      </c>
      <c r="T551" s="249">
        <f t="shared" si="99"/>
        <v>0</v>
      </c>
      <c r="U551" s="185" t="str">
        <f t="shared" si="95"/>
        <v>SUBDIRECCION DE GESTION CONTRACTUAL</v>
      </c>
      <c r="V551" s="249" t="str">
        <f t="shared" si="96"/>
        <v>CO-DC</v>
      </c>
      <c r="W551" s="249" t="str">
        <f t="shared" si="97"/>
        <v>Distrito Capital de Bogotá</v>
      </c>
      <c r="X551" s="197" t="s">
        <v>591</v>
      </c>
      <c r="Y551" s="187">
        <v>2427400</v>
      </c>
      <c r="Z551" s="201" t="s">
        <v>160</v>
      </c>
      <c r="AA551" s="252"/>
      <c r="AB551" s="252"/>
      <c r="AC551" s="252"/>
      <c r="AD551" s="252"/>
      <c r="AE551" s="252"/>
      <c r="AF551" s="252"/>
      <c r="AG551" s="252"/>
      <c r="AH551" s="252"/>
      <c r="AI551" s="252"/>
      <c r="AJ551" s="252"/>
      <c r="AK551" s="252"/>
      <c r="AL551" s="252"/>
      <c r="AM551" s="252"/>
      <c r="AN551" s="252"/>
      <c r="AO551" s="252"/>
      <c r="AP551" s="252"/>
      <c r="AQ551" s="252"/>
      <c r="AR551" s="252"/>
      <c r="AS551" s="252"/>
      <c r="AT551" s="252"/>
      <c r="AU551" s="195"/>
      <c r="AV551" s="195"/>
      <c r="AW551" s="195"/>
      <c r="AX551" s="195"/>
      <c r="AY551" s="195"/>
      <c r="AZ551" s="195"/>
      <c r="BA551" s="195"/>
      <c r="BB551" s="195"/>
      <c r="BC551" s="195"/>
      <c r="BD551" s="195"/>
      <c r="BE551" s="195"/>
      <c r="BF551" s="195"/>
      <c r="BG551" s="195"/>
      <c r="BH551" s="195"/>
      <c r="BI551" s="195"/>
      <c r="BJ551" s="195"/>
      <c r="BK551" s="195"/>
      <c r="BL551" s="195"/>
      <c r="BM551" s="195"/>
      <c r="BN551" s="195"/>
      <c r="BO551" s="195"/>
      <c r="BP551" s="195"/>
      <c r="BQ551" s="195"/>
      <c r="BR551" s="195"/>
      <c r="BS551" s="195"/>
      <c r="BT551" s="195"/>
      <c r="BU551" s="195"/>
      <c r="BV551" s="195"/>
      <c r="BW551" s="195"/>
      <c r="BX551" s="195"/>
      <c r="BY551" s="195"/>
      <c r="BZ551" s="195"/>
      <c r="CA551" s="195"/>
      <c r="CB551" s="195"/>
      <c r="CC551" s="195"/>
      <c r="CD551" s="195"/>
      <c r="CE551" s="195"/>
      <c r="CF551" s="195"/>
      <c r="CG551" s="256"/>
    </row>
    <row r="552" spans="1:85" s="254" customFormat="1" ht="13.9" customHeight="1" x14ac:dyDescent="0.2">
      <c r="A552" s="255" t="s">
        <v>158</v>
      </c>
      <c r="B552" s="187">
        <v>50</v>
      </c>
      <c r="C552" s="248" t="s">
        <v>622</v>
      </c>
      <c r="D552" s="197" t="s">
        <v>159</v>
      </c>
      <c r="E552" s="199"/>
      <c r="F552" s="199">
        <v>367679250</v>
      </c>
      <c r="G552" s="199"/>
      <c r="H552" s="197" t="s">
        <v>794</v>
      </c>
      <c r="I552" s="248" t="s">
        <v>756</v>
      </c>
      <c r="J552" s="187">
        <v>1</v>
      </c>
      <c r="K552" s="187">
        <v>1</v>
      </c>
      <c r="L552" s="187">
        <v>12</v>
      </c>
      <c r="M552" s="172">
        <f t="shared" si="92"/>
        <v>1</v>
      </c>
      <c r="N552" s="180" t="s">
        <v>36</v>
      </c>
      <c r="O552" s="181" t="str">
        <f>IF(ISBLANK(N552),"",VLOOKUP(N552,[17]Parámetros!$G$2:$H$23,2,FALSE))</f>
        <v xml:space="preserve">Contratación directa (con ofertas) </v>
      </c>
      <c r="P552" s="249">
        <f t="shared" si="98"/>
        <v>1</v>
      </c>
      <c r="Q552" s="183">
        <f t="shared" si="93"/>
        <v>367679250</v>
      </c>
      <c r="R552" s="183">
        <f t="shared" si="94"/>
        <v>367679250</v>
      </c>
      <c r="S552" s="250" t="s">
        <v>223</v>
      </c>
      <c r="T552" s="249">
        <f t="shared" si="99"/>
        <v>0</v>
      </c>
      <c r="U552" s="185" t="str">
        <f t="shared" si="95"/>
        <v>SUBDIRECCION DE GESTION CONTRACTUAL</v>
      </c>
      <c r="V552" s="249" t="str">
        <f t="shared" si="96"/>
        <v>CO-DC</v>
      </c>
      <c r="W552" s="249" t="str">
        <f t="shared" si="97"/>
        <v>Distrito Capital de Bogotá</v>
      </c>
      <c r="X552" s="197" t="s">
        <v>591</v>
      </c>
      <c r="Y552" s="187">
        <v>2427400</v>
      </c>
      <c r="Z552" s="201" t="s">
        <v>160</v>
      </c>
      <c r="AA552" s="252"/>
      <c r="AB552" s="252"/>
      <c r="AC552" s="252"/>
      <c r="AD552" s="252"/>
      <c r="AE552" s="252"/>
      <c r="AF552" s="252"/>
      <c r="AG552" s="252"/>
      <c r="AH552" s="252"/>
      <c r="AI552" s="252"/>
      <c r="AJ552" s="252"/>
      <c r="AK552" s="252"/>
      <c r="AL552" s="252"/>
      <c r="AM552" s="252"/>
      <c r="AN552" s="252"/>
      <c r="AO552" s="252"/>
      <c r="AP552" s="252"/>
      <c r="AQ552" s="252"/>
      <c r="AR552" s="252"/>
      <c r="AS552" s="252"/>
      <c r="AT552" s="252"/>
      <c r="AU552" s="195"/>
      <c r="AV552" s="195"/>
      <c r="AW552" s="195"/>
      <c r="AX552" s="195"/>
      <c r="AY552" s="195"/>
      <c r="AZ552" s="195"/>
      <c r="BA552" s="195"/>
      <c r="BB552" s="195"/>
      <c r="BC552" s="195"/>
      <c r="BD552" s="195"/>
      <c r="BE552" s="195"/>
      <c r="BF552" s="195"/>
      <c r="BG552" s="195"/>
      <c r="BH552" s="195"/>
      <c r="BI552" s="195"/>
      <c r="BJ552" s="195"/>
      <c r="BK552" s="195"/>
      <c r="BL552" s="195"/>
      <c r="BM552" s="195"/>
      <c r="BN552" s="195"/>
      <c r="BO552" s="195"/>
      <c r="BP552" s="195"/>
      <c r="BQ552" s="195"/>
      <c r="BR552" s="195"/>
      <c r="BS552" s="195"/>
      <c r="BT552" s="195"/>
      <c r="BU552" s="195"/>
      <c r="BV552" s="195"/>
      <c r="BW552" s="195"/>
      <c r="BX552" s="195"/>
      <c r="BY552" s="195"/>
      <c r="BZ552" s="195"/>
      <c r="CA552" s="195"/>
      <c r="CB552" s="195"/>
      <c r="CC552" s="195"/>
      <c r="CD552" s="195"/>
      <c r="CE552" s="195"/>
      <c r="CF552" s="195"/>
      <c r="CG552" s="256"/>
    </row>
    <row r="553" spans="1:85" s="254" customFormat="1" ht="13.9" customHeight="1" x14ac:dyDescent="0.2">
      <c r="A553" s="255" t="s">
        <v>158</v>
      </c>
      <c r="B553" s="187">
        <v>51</v>
      </c>
      <c r="C553" s="248" t="s">
        <v>622</v>
      </c>
      <c r="D553" s="197" t="s">
        <v>159</v>
      </c>
      <c r="E553" s="199"/>
      <c r="F553" s="199">
        <v>250000000</v>
      </c>
      <c r="G553" s="199"/>
      <c r="H553" s="197" t="s">
        <v>794</v>
      </c>
      <c r="I553" s="248" t="s">
        <v>757</v>
      </c>
      <c r="J553" s="187">
        <v>1</v>
      </c>
      <c r="K553" s="187">
        <v>1</v>
      </c>
      <c r="L553" s="187">
        <v>12</v>
      </c>
      <c r="M553" s="172">
        <f t="shared" si="92"/>
        <v>1</v>
      </c>
      <c r="N553" s="180" t="s">
        <v>36</v>
      </c>
      <c r="O553" s="181" t="str">
        <f>IF(ISBLANK(N553),"",VLOOKUP(N553,[17]Parámetros!$G$2:$H$23,2,FALSE))</f>
        <v xml:space="preserve">Contratación directa (con ofertas) </v>
      </c>
      <c r="P553" s="249">
        <f t="shared" si="98"/>
        <v>1</v>
      </c>
      <c r="Q553" s="183">
        <f t="shared" si="93"/>
        <v>250000000</v>
      </c>
      <c r="R553" s="183">
        <f t="shared" si="94"/>
        <v>250000000</v>
      </c>
      <c r="S553" s="250" t="s">
        <v>223</v>
      </c>
      <c r="T553" s="249">
        <f t="shared" si="99"/>
        <v>0</v>
      </c>
      <c r="U553" s="185" t="str">
        <f t="shared" si="95"/>
        <v>SUBDIRECCION DE GESTION CONTRACTUAL</v>
      </c>
      <c r="V553" s="249" t="str">
        <f t="shared" si="96"/>
        <v>CO-DC</v>
      </c>
      <c r="W553" s="249" t="str">
        <f t="shared" si="97"/>
        <v>Distrito Capital de Bogotá</v>
      </c>
      <c r="X553" s="197" t="s">
        <v>591</v>
      </c>
      <c r="Y553" s="187">
        <v>2427400</v>
      </c>
      <c r="Z553" s="201" t="s">
        <v>160</v>
      </c>
      <c r="AA553" s="252"/>
      <c r="AB553" s="252"/>
      <c r="AC553" s="252"/>
      <c r="AD553" s="252"/>
      <c r="AE553" s="252"/>
      <c r="AF553" s="252"/>
      <c r="AG553" s="252"/>
      <c r="AH553" s="252"/>
      <c r="AI553" s="252"/>
      <c r="AJ553" s="252"/>
      <c r="AK553" s="252"/>
      <c r="AL553" s="252"/>
      <c r="AM553" s="252"/>
      <c r="AN553" s="252"/>
      <c r="AO553" s="252"/>
      <c r="AP553" s="252"/>
      <c r="AQ553" s="252"/>
      <c r="AR553" s="252"/>
      <c r="AS553" s="252"/>
      <c r="AT553" s="252"/>
      <c r="AU553" s="195"/>
      <c r="AV553" s="195"/>
      <c r="AW553" s="195"/>
      <c r="AX553" s="195"/>
      <c r="AY553" s="195"/>
      <c r="AZ553" s="195"/>
      <c r="BA553" s="195"/>
      <c r="BB553" s="195"/>
      <c r="BC553" s="195"/>
      <c r="BD553" s="195"/>
      <c r="BE553" s="195"/>
      <c r="BF553" s="195"/>
      <c r="BG553" s="195"/>
      <c r="BH553" s="195"/>
      <c r="BI553" s="195"/>
      <c r="BJ553" s="195"/>
      <c r="BK553" s="195"/>
      <c r="BL553" s="195"/>
      <c r="BM553" s="195"/>
      <c r="BN553" s="195"/>
      <c r="BO553" s="195"/>
      <c r="BP553" s="195"/>
      <c r="BQ553" s="195"/>
      <c r="BR553" s="195"/>
      <c r="BS553" s="195"/>
      <c r="BT553" s="195"/>
      <c r="BU553" s="195"/>
      <c r="BV553" s="195"/>
      <c r="BW553" s="195"/>
      <c r="BX553" s="195"/>
      <c r="BY553" s="195"/>
      <c r="BZ553" s="195"/>
      <c r="CA553" s="195"/>
      <c r="CB553" s="195"/>
      <c r="CC553" s="195"/>
      <c r="CD553" s="195"/>
      <c r="CE553" s="195"/>
      <c r="CF553" s="195"/>
      <c r="CG553" s="256"/>
    </row>
    <row r="554" spans="1:85" s="254" customFormat="1" ht="13.9" customHeight="1" x14ac:dyDescent="0.2">
      <c r="A554" s="255" t="s">
        <v>158</v>
      </c>
      <c r="B554" s="187">
        <v>52</v>
      </c>
      <c r="C554" s="248" t="s">
        <v>622</v>
      </c>
      <c r="D554" s="197" t="s">
        <v>159</v>
      </c>
      <c r="E554" s="199"/>
      <c r="F554" s="199">
        <v>1459293457</v>
      </c>
      <c r="G554" s="199"/>
      <c r="H554" s="197" t="s">
        <v>798</v>
      </c>
      <c r="I554" s="248" t="s">
        <v>758</v>
      </c>
      <c r="J554" s="187">
        <v>1</v>
      </c>
      <c r="K554" s="187">
        <v>1</v>
      </c>
      <c r="L554" s="187">
        <v>12</v>
      </c>
      <c r="M554" s="172">
        <f t="shared" si="92"/>
        <v>1</v>
      </c>
      <c r="N554" s="180" t="s">
        <v>36</v>
      </c>
      <c r="O554" s="181" t="str">
        <f>IF(ISBLANK(N554),"",VLOOKUP(N554,[17]Parámetros!$G$2:$H$23,2,FALSE))</f>
        <v xml:space="preserve">Contratación directa (con ofertas) </v>
      </c>
      <c r="P554" s="249">
        <f t="shared" si="98"/>
        <v>1</v>
      </c>
      <c r="Q554" s="183">
        <f t="shared" si="93"/>
        <v>1459293457</v>
      </c>
      <c r="R554" s="183">
        <f t="shared" si="94"/>
        <v>1459293457</v>
      </c>
      <c r="S554" s="250" t="s">
        <v>223</v>
      </c>
      <c r="T554" s="249">
        <f t="shared" si="99"/>
        <v>0</v>
      </c>
      <c r="U554" s="185" t="str">
        <f t="shared" si="95"/>
        <v>SUBDIRECCION DE GESTION CONTRACTUAL</v>
      </c>
      <c r="V554" s="249" t="str">
        <f t="shared" si="96"/>
        <v>CO-DC</v>
      </c>
      <c r="W554" s="249" t="str">
        <f t="shared" si="97"/>
        <v>Distrito Capital de Bogotá</v>
      </c>
      <c r="X554" s="197" t="s">
        <v>591</v>
      </c>
      <c r="Y554" s="187">
        <v>2427400</v>
      </c>
      <c r="Z554" s="201" t="s">
        <v>160</v>
      </c>
      <c r="AA554" s="252"/>
      <c r="AB554" s="252"/>
      <c r="AC554" s="252"/>
      <c r="AD554" s="252"/>
      <c r="AE554" s="252"/>
      <c r="AF554" s="252"/>
      <c r="AG554" s="252"/>
      <c r="AH554" s="252"/>
      <c r="AI554" s="252"/>
      <c r="AJ554" s="252"/>
      <c r="AK554" s="252"/>
      <c r="AL554" s="252"/>
      <c r="AM554" s="252"/>
      <c r="AN554" s="252"/>
      <c r="AO554" s="252"/>
      <c r="AP554" s="252"/>
      <c r="AQ554" s="252"/>
      <c r="AR554" s="252"/>
      <c r="AS554" s="252"/>
      <c r="AT554" s="252"/>
      <c r="AU554" s="195"/>
      <c r="AV554" s="195"/>
      <c r="AW554" s="195"/>
      <c r="AX554" s="195"/>
      <c r="AY554" s="195"/>
      <c r="AZ554" s="195"/>
      <c r="BA554" s="195"/>
      <c r="BB554" s="195"/>
      <c r="BC554" s="195"/>
      <c r="BD554" s="195"/>
      <c r="BE554" s="195"/>
      <c r="BF554" s="195"/>
      <c r="BG554" s="195"/>
      <c r="BH554" s="195"/>
      <c r="BI554" s="195"/>
      <c r="BJ554" s="195"/>
      <c r="BK554" s="195"/>
      <c r="BL554" s="195"/>
      <c r="BM554" s="195"/>
      <c r="BN554" s="195"/>
      <c r="BO554" s="195"/>
      <c r="BP554" s="195"/>
      <c r="BQ554" s="195"/>
      <c r="BR554" s="195"/>
      <c r="BS554" s="195"/>
      <c r="BT554" s="195"/>
      <c r="BU554" s="195"/>
      <c r="BV554" s="195"/>
      <c r="BW554" s="195"/>
      <c r="BX554" s="195"/>
      <c r="BY554" s="195"/>
      <c r="BZ554" s="195"/>
      <c r="CA554" s="195"/>
      <c r="CB554" s="195"/>
      <c r="CC554" s="195"/>
      <c r="CD554" s="195"/>
      <c r="CE554" s="195"/>
      <c r="CF554" s="195"/>
      <c r="CG554" s="256"/>
    </row>
    <row r="555" spans="1:85" s="254" customFormat="1" ht="13.9" customHeight="1" x14ac:dyDescent="0.2">
      <c r="A555" s="255" t="s">
        <v>158</v>
      </c>
      <c r="B555" s="187">
        <v>53</v>
      </c>
      <c r="C555" s="248" t="s">
        <v>622</v>
      </c>
      <c r="D555" s="197" t="s">
        <v>159</v>
      </c>
      <c r="E555" s="199"/>
      <c r="F555" s="199">
        <v>147071700</v>
      </c>
      <c r="G555" s="199"/>
      <c r="H555" s="197" t="s">
        <v>794</v>
      </c>
      <c r="I555" s="248" t="s">
        <v>759</v>
      </c>
      <c r="J555" s="187">
        <v>1</v>
      </c>
      <c r="K555" s="187">
        <v>1</v>
      </c>
      <c r="L555" s="187">
        <v>12</v>
      </c>
      <c r="M555" s="172">
        <f t="shared" si="92"/>
        <v>1</v>
      </c>
      <c r="N555" s="180" t="s">
        <v>36</v>
      </c>
      <c r="O555" s="181" t="str">
        <f>IF(ISBLANK(N555),"",VLOOKUP(N555,[17]Parámetros!$G$2:$H$23,2,FALSE))</f>
        <v xml:space="preserve">Contratación directa (con ofertas) </v>
      </c>
      <c r="P555" s="249">
        <f t="shared" si="98"/>
        <v>1</v>
      </c>
      <c r="Q555" s="183">
        <f t="shared" si="93"/>
        <v>147071700</v>
      </c>
      <c r="R555" s="183">
        <f t="shared" si="94"/>
        <v>147071700</v>
      </c>
      <c r="S555" s="250" t="s">
        <v>223</v>
      </c>
      <c r="T555" s="249">
        <f t="shared" si="99"/>
        <v>0</v>
      </c>
      <c r="U555" s="185" t="str">
        <f t="shared" si="95"/>
        <v>SUBDIRECCION DE GESTION CONTRACTUAL</v>
      </c>
      <c r="V555" s="249" t="str">
        <f t="shared" si="96"/>
        <v>CO-DC</v>
      </c>
      <c r="W555" s="249" t="str">
        <f t="shared" si="97"/>
        <v>Distrito Capital de Bogotá</v>
      </c>
      <c r="X555" s="197" t="s">
        <v>591</v>
      </c>
      <c r="Y555" s="187">
        <v>2427400</v>
      </c>
      <c r="Z555" s="201" t="s">
        <v>160</v>
      </c>
      <c r="AA555" s="252"/>
      <c r="AB555" s="252"/>
      <c r="AC555" s="252"/>
      <c r="AD555" s="252"/>
      <c r="AE555" s="252"/>
      <c r="AF555" s="252"/>
      <c r="AG555" s="252"/>
      <c r="AH555" s="252"/>
      <c r="AI555" s="252"/>
      <c r="AJ555" s="252"/>
      <c r="AK555" s="252"/>
      <c r="AL555" s="252"/>
      <c r="AM555" s="252"/>
      <c r="AN555" s="252"/>
      <c r="AO555" s="252"/>
      <c r="AP555" s="252"/>
      <c r="AQ555" s="252"/>
      <c r="AR555" s="252"/>
      <c r="AS555" s="252"/>
      <c r="AT555" s="252"/>
      <c r="AU555" s="195"/>
      <c r="AV555" s="195"/>
      <c r="AW555" s="195"/>
      <c r="AX555" s="195"/>
      <c r="AY555" s="195"/>
      <c r="AZ555" s="195"/>
      <c r="BA555" s="195"/>
      <c r="BB555" s="195"/>
      <c r="BC555" s="195"/>
      <c r="BD555" s="195"/>
      <c r="BE555" s="195"/>
      <c r="BF555" s="195"/>
      <c r="BG555" s="195"/>
      <c r="BH555" s="195"/>
      <c r="BI555" s="195"/>
      <c r="BJ555" s="195"/>
      <c r="BK555" s="195"/>
      <c r="BL555" s="195"/>
      <c r="BM555" s="195"/>
      <c r="BN555" s="195"/>
      <c r="BO555" s="195"/>
      <c r="BP555" s="195"/>
      <c r="BQ555" s="195"/>
      <c r="BR555" s="195"/>
      <c r="BS555" s="195"/>
      <c r="BT555" s="195"/>
      <c r="BU555" s="195"/>
      <c r="BV555" s="195"/>
      <c r="BW555" s="195"/>
      <c r="BX555" s="195"/>
      <c r="BY555" s="195"/>
      <c r="BZ555" s="195"/>
      <c r="CA555" s="195"/>
      <c r="CB555" s="195"/>
      <c r="CC555" s="195"/>
      <c r="CD555" s="195"/>
      <c r="CE555" s="195"/>
      <c r="CF555" s="195"/>
      <c r="CG555" s="256"/>
    </row>
    <row r="556" spans="1:85" s="254" customFormat="1" ht="13.9" customHeight="1" x14ac:dyDescent="0.2">
      <c r="A556" s="255" t="s">
        <v>158</v>
      </c>
      <c r="B556" s="187">
        <v>54</v>
      </c>
      <c r="C556" s="248" t="s">
        <v>622</v>
      </c>
      <c r="D556" s="197" t="s">
        <v>159</v>
      </c>
      <c r="E556" s="199"/>
      <c r="F556" s="199">
        <v>393269024</v>
      </c>
      <c r="G556" s="199"/>
      <c r="H556" s="197" t="s">
        <v>798</v>
      </c>
      <c r="I556" s="248" t="s">
        <v>761</v>
      </c>
      <c r="J556" s="187">
        <v>1</v>
      </c>
      <c r="K556" s="187">
        <v>1</v>
      </c>
      <c r="L556" s="187">
        <v>12</v>
      </c>
      <c r="M556" s="172">
        <f t="shared" si="92"/>
        <v>1</v>
      </c>
      <c r="N556" s="180" t="s">
        <v>36</v>
      </c>
      <c r="O556" s="181" t="str">
        <f>IF(ISBLANK(N556),"",VLOOKUP(N556,[17]Parámetros!$G$2:$H$23,2,FALSE))</f>
        <v xml:space="preserve">Contratación directa (con ofertas) </v>
      </c>
      <c r="P556" s="249">
        <f t="shared" si="98"/>
        <v>1</v>
      </c>
      <c r="Q556" s="183">
        <f t="shared" si="93"/>
        <v>393269024</v>
      </c>
      <c r="R556" s="183">
        <f t="shared" si="94"/>
        <v>393269024</v>
      </c>
      <c r="S556" s="250" t="s">
        <v>223</v>
      </c>
      <c r="T556" s="249">
        <f t="shared" si="99"/>
        <v>0</v>
      </c>
      <c r="U556" s="185" t="str">
        <f t="shared" si="95"/>
        <v>SUBDIRECCION DE GESTION CONTRACTUAL</v>
      </c>
      <c r="V556" s="249" t="str">
        <f t="shared" si="96"/>
        <v>CO-DC</v>
      </c>
      <c r="W556" s="249" t="str">
        <f t="shared" si="97"/>
        <v>Distrito Capital de Bogotá</v>
      </c>
      <c r="X556" s="197" t="s">
        <v>591</v>
      </c>
      <c r="Y556" s="187">
        <v>2427400</v>
      </c>
      <c r="Z556" s="201" t="s">
        <v>160</v>
      </c>
      <c r="AA556" s="252"/>
      <c r="AB556" s="252"/>
      <c r="AC556" s="252"/>
      <c r="AD556" s="252"/>
      <c r="AE556" s="252"/>
      <c r="AF556" s="252"/>
      <c r="AG556" s="252"/>
      <c r="AH556" s="252"/>
      <c r="AI556" s="252"/>
      <c r="AJ556" s="252"/>
      <c r="AK556" s="252"/>
      <c r="AL556" s="252"/>
      <c r="AM556" s="252"/>
      <c r="AN556" s="252"/>
      <c r="AO556" s="252"/>
      <c r="AP556" s="252"/>
      <c r="AQ556" s="252"/>
      <c r="AR556" s="252"/>
      <c r="AS556" s="252"/>
      <c r="AT556" s="252"/>
      <c r="AU556" s="195"/>
      <c r="AV556" s="195"/>
      <c r="AW556" s="195"/>
      <c r="AX556" s="195"/>
      <c r="AY556" s="195"/>
      <c r="AZ556" s="195"/>
      <c r="BA556" s="195"/>
      <c r="BB556" s="195"/>
      <c r="BC556" s="195"/>
      <c r="BD556" s="195"/>
      <c r="BE556" s="195"/>
      <c r="BF556" s="195"/>
      <c r="BG556" s="195"/>
      <c r="BH556" s="195"/>
      <c r="BI556" s="195"/>
      <c r="BJ556" s="195"/>
      <c r="BK556" s="195"/>
      <c r="BL556" s="195"/>
      <c r="BM556" s="195"/>
      <c r="BN556" s="195"/>
      <c r="BO556" s="195"/>
      <c r="BP556" s="195"/>
      <c r="BQ556" s="195"/>
      <c r="BR556" s="195"/>
      <c r="BS556" s="195"/>
      <c r="BT556" s="195"/>
      <c r="BU556" s="195"/>
      <c r="BV556" s="195"/>
      <c r="BW556" s="195"/>
      <c r="BX556" s="195"/>
      <c r="BY556" s="195"/>
      <c r="BZ556" s="195"/>
      <c r="CA556" s="195"/>
      <c r="CB556" s="195"/>
      <c r="CC556" s="195"/>
      <c r="CD556" s="195"/>
      <c r="CE556" s="195"/>
      <c r="CF556" s="195"/>
      <c r="CG556" s="256"/>
    </row>
    <row r="557" spans="1:85" s="254" customFormat="1" ht="13.9" customHeight="1" x14ac:dyDescent="0.2">
      <c r="A557" s="255" t="s">
        <v>158</v>
      </c>
      <c r="B557" s="187">
        <v>55</v>
      </c>
      <c r="C557" s="248" t="s">
        <v>622</v>
      </c>
      <c r="D557" s="197" t="s">
        <v>159</v>
      </c>
      <c r="E557" s="199"/>
      <c r="F557" s="199">
        <v>1030400000</v>
      </c>
      <c r="G557" s="199"/>
      <c r="H557" s="197" t="s">
        <v>794</v>
      </c>
      <c r="I557" s="248" t="s">
        <v>760</v>
      </c>
      <c r="J557" s="187">
        <v>1</v>
      </c>
      <c r="K557" s="187">
        <v>1</v>
      </c>
      <c r="L557" s="187">
        <v>12</v>
      </c>
      <c r="M557" s="172">
        <f t="shared" si="92"/>
        <v>1</v>
      </c>
      <c r="N557" s="180" t="s">
        <v>36</v>
      </c>
      <c r="O557" s="181" t="str">
        <f>IF(ISBLANK(N557),"",VLOOKUP(N557,[17]Parámetros!$G$2:$H$23,2,FALSE))</f>
        <v xml:space="preserve">Contratación directa (con ofertas) </v>
      </c>
      <c r="P557" s="249">
        <f t="shared" si="98"/>
        <v>1</v>
      </c>
      <c r="Q557" s="183">
        <f t="shared" si="93"/>
        <v>1030400000</v>
      </c>
      <c r="R557" s="183">
        <f t="shared" si="94"/>
        <v>1030400000</v>
      </c>
      <c r="S557" s="250" t="s">
        <v>223</v>
      </c>
      <c r="T557" s="249">
        <f t="shared" si="99"/>
        <v>0</v>
      </c>
      <c r="U557" s="185" t="str">
        <f t="shared" si="95"/>
        <v>SUBDIRECCION DE GESTION CONTRACTUAL</v>
      </c>
      <c r="V557" s="249" t="str">
        <f t="shared" si="96"/>
        <v>CO-DC</v>
      </c>
      <c r="W557" s="249" t="str">
        <f t="shared" si="97"/>
        <v>Distrito Capital de Bogotá</v>
      </c>
      <c r="X557" s="197" t="s">
        <v>591</v>
      </c>
      <c r="Y557" s="187">
        <v>2427400</v>
      </c>
      <c r="Z557" s="201" t="s">
        <v>160</v>
      </c>
      <c r="AA557" s="252"/>
      <c r="AB557" s="252"/>
      <c r="AC557" s="252"/>
      <c r="AD557" s="252"/>
      <c r="AE557" s="252"/>
      <c r="AF557" s="252"/>
      <c r="AG557" s="252"/>
      <c r="AH557" s="252"/>
      <c r="AI557" s="252"/>
      <c r="AJ557" s="252"/>
      <c r="AK557" s="252"/>
      <c r="AL557" s="252"/>
      <c r="AM557" s="252"/>
      <c r="AN557" s="252"/>
      <c r="AO557" s="252"/>
      <c r="AP557" s="252"/>
      <c r="AQ557" s="252"/>
      <c r="AR557" s="252"/>
      <c r="AS557" s="252"/>
      <c r="AT557" s="252"/>
      <c r="AU557" s="195"/>
      <c r="AV557" s="195"/>
      <c r="AW557" s="195"/>
      <c r="AX557" s="195"/>
      <c r="AY557" s="195"/>
      <c r="AZ557" s="195"/>
      <c r="BA557" s="195"/>
      <c r="BB557" s="195"/>
      <c r="BC557" s="195"/>
      <c r="BD557" s="195"/>
      <c r="BE557" s="195"/>
      <c r="BF557" s="195"/>
      <c r="BG557" s="195"/>
      <c r="BH557" s="195"/>
      <c r="BI557" s="195"/>
      <c r="BJ557" s="195"/>
      <c r="BK557" s="195"/>
      <c r="BL557" s="195"/>
      <c r="BM557" s="195"/>
      <c r="BN557" s="195"/>
      <c r="BO557" s="195"/>
      <c r="BP557" s="195"/>
      <c r="BQ557" s="195"/>
      <c r="BR557" s="195"/>
      <c r="BS557" s="195"/>
      <c r="BT557" s="195"/>
      <c r="BU557" s="195"/>
      <c r="BV557" s="195"/>
      <c r="BW557" s="195"/>
      <c r="BX557" s="195"/>
      <c r="BY557" s="195"/>
      <c r="BZ557" s="195"/>
      <c r="CA557" s="195"/>
      <c r="CB557" s="195"/>
      <c r="CC557" s="195"/>
      <c r="CD557" s="195"/>
      <c r="CE557" s="195"/>
      <c r="CF557" s="195"/>
      <c r="CG557" s="256"/>
    </row>
    <row r="558" spans="1:85" s="254" customFormat="1" ht="13.9" customHeight="1" x14ac:dyDescent="0.2">
      <c r="A558" s="255" t="s">
        <v>158</v>
      </c>
      <c r="B558" s="187">
        <v>56</v>
      </c>
      <c r="C558" s="248" t="s">
        <v>622</v>
      </c>
      <c r="D558" s="197" t="s">
        <v>159</v>
      </c>
      <c r="E558" s="199"/>
      <c r="F558" s="199">
        <v>147071700</v>
      </c>
      <c r="G558" s="199"/>
      <c r="H558" s="197" t="s">
        <v>794</v>
      </c>
      <c r="I558" s="248" t="s">
        <v>762</v>
      </c>
      <c r="J558" s="187">
        <v>1</v>
      </c>
      <c r="K558" s="187">
        <v>1</v>
      </c>
      <c r="L558" s="187">
        <v>12</v>
      </c>
      <c r="M558" s="172">
        <f t="shared" si="92"/>
        <v>1</v>
      </c>
      <c r="N558" s="180" t="s">
        <v>36</v>
      </c>
      <c r="O558" s="181" t="str">
        <f>IF(ISBLANK(N558),"",VLOOKUP(N558,[17]Parámetros!$G$2:$H$23,2,FALSE))</f>
        <v xml:space="preserve">Contratación directa (con ofertas) </v>
      </c>
      <c r="P558" s="249">
        <f t="shared" si="98"/>
        <v>1</v>
      </c>
      <c r="Q558" s="183">
        <f t="shared" si="93"/>
        <v>147071700</v>
      </c>
      <c r="R558" s="183">
        <f t="shared" si="94"/>
        <v>147071700</v>
      </c>
      <c r="S558" s="250" t="s">
        <v>223</v>
      </c>
      <c r="T558" s="249">
        <f t="shared" si="99"/>
        <v>0</v>
      </c>
      <c r="U558" s="185" t="str">
        <f t="shared" si="95"/>
        <v>SUBDIRECCION DE GESTION CONTRACTUAL</v>
      </c>
      <c r="V558" s="249" t="str">
        <f t="shared" si="96"/>
        <v>CO-DC</v>
      </c>
      <c r="W558" s="249" t="str">
        <f t="shared" si="97"/>
        <v>Distrito Capital de Bogotá</v>
      </c>
      <c r="X558" s="197" t="s">
        <v>591</v>
      </c>
      <c r="Y558" s="187">
        <v>2427400</v>
      </c>
      <c r="Z558" s="201" t="s">
        <v>160</v>
      </c>
      <c r="AA558" s="252"/>
      <c r="AB558" s="252"/>
      <c r="AC558" s="252"/>
      <c r="AD558" s="252"/>
      <c r="AE558" s="252"/>
      <c r="AF558" s="252"/>
      <c r="AG558" s="252"/>
      <c r="AH558" s="252"/>
      <c r="AI558" s="252"/>
      <c r="AJ558" s="252"/>
      <c r="AK558" s="252"/>
      <c r="AL558" s="252"/>
      <c r="AM558" s="252"/>
      <c r="AN558" s="252"/>
      <c r="AO558" s="252"/>
      <c r="AP558" s="252"/>
      <c r="AQ558" s="252"/>
      <c r="AR558" s="252"/>
      <c r="AS558" s="252"/>
      <c r="AT558" s="252"/>
      <c r="AU558" s="195"/>
      <c r="AV558" s="195"/>
      <c r="AW558" s="195"/>
      <c r="AX558" s="195"/>
      <c r="AY558" s="195"/>
      <c r="AZ558" s="195"/>
      <c r="BA558" s="195"/>
      <c r="BB558" s="195"/>
      <c r="BC558" s="195"/>
      <c r="BD558" s="195"/>
      <c r="BE558" s="195"/>
      <c r="BF558" s="195"/>
      <c r="BG558" s="195"/>
      <c r="BH558" s="195"/>
      <c r="BI558" s="195"/>
      <c r="BJ558" s="195"/>
      <c r="BK558" s="195"/>
      <c r="BL558" s="195"/>
      <c r="BM558" s="195"/>
      <c r="BN558" s="195"/>
      <c r="BO558" s="195"/>
      <c r="BP558" s="195"/>
      <c r="BQ558" s="195"/>
      <c r="BR558" s="195"/>
      <c r="BS558" s="195"/>
      <c r="BT558" s="195"/>
      <c r="BU558" s="195"/>
      <c r="BV558" s="195"/>
      <c r="BW558" s="195"/>
      <c r="BX558" s="195"/>
      <c r="BY558" s="195"/>
      <c r="BZ558" s="195"/>
      <c r="CA558" s="195"/>
      <c r="CB558" s="195"/>
      <c r="CC558" s="195"/>
      <c r="CD558" s="195"/>
      <c r="CE558" s="195"/>
      <c r="CF558" s="195"/>
      <c r="CG558" s="256"/>
    </row>
    <row r="559" spans="1:85" s="254" customFormat="1" ht="13.9" customHeight="1" x14ac:dyDescent="0.2">
      <c r="A559" s="255" t="s">
        <v>158</v>
      </c>
      <c r="B559" s="187">
        <v>57</v>
      </c>
      <c r="C559" s="248" t="s">
        <v>622</v>
      </c>
      <c r="D559" s="197" t="s">
        <v>159</v>
      </c>
      <c r="E559" s="199"/>
      <c r="F559" s="199">
        <v>448548607</v>
      </c>
      <c r="G559" s="199"/>
      <c r="H559" s="197" t="s">
        <v>798</v>
      </c>
      <c r="I559" s="248" t="s">
        <v>763</v>
      </c>
      <c r="J559" s="187">
        <v>1</v>
      </c>
      <c r="K559" s="187">
        <v>1</v>
      </c>
      <c r="L559" s="187">
        <v>12</v>
      </c>
      <c r="M559" s="172">
        <f t="shared" si="92"/>
        <v>1</v>
      </c>
      <c r="N559" s="180" t="s">
        <v>36</v>
      </c>
      <c r="O559" s="181" t="str">
        <f>IF(ISBLANK(N559),"",VLOOKUP(N559,[17]Parámetros!$G$2:$H$23,2,FALSE))</f>
        <v xml:space="preserve">Contratación directa (con ofertas) </v>
      </c>
      <c r="P559" s="249">
        <f t="shared" si="98"/>
        <v>1</v>
      </c>
      <c r="Q559" s="183">
        <f t="shared" si="93"/>
        <v>448548607</v>
      </c>
      <c r="R559" s="183">
        <f t="shared" si="94"/>
        <v>448548607</v>
      </c>
      <c r="S559" s="250" t="s">
        <v>223</v>
      </c>
      <c r="T559" s="249">
        <f t="shared" si="99"/>
        <v>0</v>
      </c>
      <c r="U559" s="185" t="str">
        <f t="shared" si="95"/>
        <v>SUBDIRECCION DE GESTION CONTRACTUAL</v>
      </c>
      <c r="V559" s="249" t="str">
        <f t="shared" si="96"/>
        <v>CO-DC</v>
      </c>
      <c r="W559" s="249" t="str">
        <f t="shared" si="97"/>
        <v>Distrito Capital de Bogotá</v>
      </c>
      <c r="X559" s="197" t="s">
        <v>591</v>
      </c>
      <c r="Y559" s="187">
        <v>2427400</v>
      </c>
      <c r="Z559" s="201" t="s">
        <v>160</v>
      </c>
      <c r="AA559" s="252"/>
      <c r="AB559" s="252"/>
      <c r="AC559" s="252"/>
      <c r="AD559" s="252"/>
      <c r="AE559" s="252"/>
      <c r="AF559" s="252"/>
      <c r="AG559" s="252"/>
      <c r="AH559" s="252"/>
      <c r="AI559" s="252"/>
      <c r="AJ559" s="252"/>
      <c r="AK559" s="252"/>
      <c r="AL559" s="252"/>
      <c r="AM559" s="252"/>
      <c r="AN559" s="252"/>
      <c r="AO559" s="252"/>
      <c r="AP559" s="252"/>
      <c r="AQ559" s="252"/>
      <c r="AR559" s="252"/>
      <c r="AS559" s="252"/>
      <c r="AT559" s="252"/>
      <c r="AU559" s="195"/>
      <c r="AV559" s="195"/>
      <c r="AW559" s="195"/>
      <c r="AX559" s="195"/>
      <c r="AY559" s="195"/>
      <c r="AZ559" s="195"/>
      <c r="BA559" s="195"/>
      <c r="BB559" s="195"/>
      <c r="BC559" s="195"/>
      <c r="BD559" s="195"/>
      <c r="BE559" s="195"/>
      <c r="BF559" s="195"/>
      <c r="BG559" s="195"/>
      <c r="BH559" s="195"/>
      <c r="BI559" s="195"/>
      <c r="BJ559" s="195"/>
      <c r="BK559" s="195"/>
      <c r="BL559" s="195"/>
      <c r="BM559" s="195"/>
      <c r="BN559" s="195"/>
      <c r="BO559" s="195"/>
      <c r="BP559" s="195"/>
      <c r="BQ559" s="195"/>
      <c r="BR559" s="195"/>
      <c r="BS559" s="195"/>
      <c r="BT559" s="195"/>
      <c r="BU559" s="195"/>
      <c r="BV559" s="195"/>
      <c r="BW559" s="195"/>
      <c r="BX559" s="195"/>
      <c r="BY559" s="195"/>
      <c r="BZ559" s="195"/>
      <c r="CA559" s="195"/>
      <c r="CB559" s="195"/>
      <c r="CC559" s="195"/>
      <c r="CD559" s="195"/>
      <c r="CE559" s="195"/>
      <c r="CF559" s="195"/>
      <c r="CG559" s="256"/>
    </row>
    <row r="560" spans="1:85" s="254" customFormat="1" ht="13.9" customHeight="1" x14ac:dyDescent="0.2">
      <c r="A560" s="255" t="s">
        <v>158</v>
      </c>
      <c r="B560" s="187">
        <v>58</v>
      </c>
      <c r="C560" s="248" t="s">
        <v>622</v>
      </c>
      <c r="D560" s="197" t="s">
        <v>159</v>
      </c>
      <c r="E560" s="199"/>
      <c r="F560" s="199">
        <v>414000000</v>
      </c>
      <c r="G560" s="199"/>
      <c r="H560" s="197" t="s">
        <v>794</v>
      </c>
      <c r="I560" s="248" t="s">
        <v>764</v>
      </c>
      <c r="J560" s="187">
        <v>1</v>
      </c>
      <c r="K560" s="187">
        <v>1</v>
      </c>
      <c r="L560" s="187">
        <v>12</v>
      </c>
      <c r="M560" s="172">
        <f t="shared" si="92"/>
        <v>1</v>
      </c>
      <c r="N560" s="180" t="s">
        <v>36</v>
      </c>
      <c r="O560" s="181" t="str">
        <f>IF(ISBLANK(N560),"",VLOOKUP(N560,[17]Parámetros!$G$2:$H$23,2,FALSE))</f>
        <v xml:space="preserve">Contratación directa (con ofertas) </v>
      </c>
      <c r="P560" s="249">
        <f t="shared" si="98"/>
        <v>1</v>
      </c>
      <c r="Q560" s="183">
        <f t="shared" si="93"/>
        <v>414000000</v>
      </c>
      <c r="R560" s="183">
        <f t="shared" si="94"/>
        <v>414000000</v>
      </c>
      <c r="S560" s="250" t="s">
        <v>223</v>
      </c>
      <c r="T560" s="249">
        <f t="shared" si="99"/>
        <v>0</v>
      </c>
      <c r="U560" s="185" t="str">
        <f t="shared" si="95"/>
        <v>SUBDIRECCION DE GESTION CONTRACTUAL</v>
      </c>
      <c r="V560" s="249" t="str">
        <f t="shared" si="96"/>
        <v>CO-DC</v>
      </c>
      <c r="W560" s="249" t="str">
        <f t="shared" si="97"/>
        <v>Distrito Capital de Bogotá</v>
      </c>
      <c r="X560" s="197" t="s">
        <v>591</v>
      </c>
      <c r="Y560" s="187">
        <v>2427400</v>
      </c>
      <c r="Z560" s="201" t="s">
        <v>160</v>
      </c>
      <c r="AA560" s="252"/>
      <c r="AB560" s="252"/>
      <c r="AC560" s="252"/>
      <c r="AD560" s="252"/>
      <c r="AE560" s="252"/>
      <c r="AF560" s="252"/>
      <c r="AG560" s="252"/>
      <c r="AH560" s="252"/>
      <c r="AI560" s="252"/>
      <c r="AJ560" s="252"/>
      <c r="AK560" s="252"/>
      <c r="AL560" s="252"/>
      <c r="AM560" s="252"/>
      <c r="AN560" s="252"/>
      <c r="AO560" s="252"/>
      <c r="AP560" s="252"/>
      <c r="AQ560" s="252"/>
      <c r="AR560" s="252"/>
      <c r="AS560" s="252"/>
      <c r="AT560" s="252"/>
      <c r="AU560" s="195"/>
      <c r="AV560" s="195"/>
      <c r="AW560" s="195"/>
      <c r="AX560" s="195"/>
      <c r="AY560" s="195"/>
      <c r="AZ560" s="195"/>
      <c r="BA560" s="195"/>
      <c r="BB560" s="195"/>
      <c r="BC560" s="195"/>
      <c r="BD560" s="195"/>
      <c r="BE560" s="195"/>
      <c r="BF560" s="195"/>
      <c r="BG560" s="195"/>
      <c r="BH560" s="195"/>
      <c r="BI560" s="195"/>
      <c r="BJ560" s="195"/>
      <c r="BK560" s="195"/>
      <c r="BL560" s="195"/>
      <c r="BM560" s="195"/>
      <c r="BN560" s="195"/>
      <c r="BO560" s="195"/>
      <c r="BP560" s="195"/>
      <c r="BQ560" s="195"/>
      <c r="BR560" s="195"/>
      <c r="BS560" s="195"/>
      <c r="BT560" s="195"/>
      <c r="BU560" s="195"/>
      <c r="BV560" s="195"/>
      <c r="BW560" s="195"/>
      <c r="BX560" s="195"/>
      <c r="BY560" s="195"/>
      <c r="BZ560" s="195"/>
      <c r="CA560" s="195"/>
      <c r="CB560" s="195"/>
      <c r="CC560" s="195"/>
      <c r="CD560" s="195"/>
      <c r="CE560" s="195"/>
      <c r="CF560" s="195"/>
      <c r="CG560" s="256"/>
    </row>
    <row r="561" spans="1:85" s="254" customFormat="1" ht="13.9" customHeight="1" x14ac:dyDescent="0.2">
      <c r="A561" s="255" t="s">
        <v>158</v>
      </c>
      <c r="B561" s="187">
        <v>59</v>
      </c>
      <c r="C561" s="248" t="s">
        <v>622</v>
      </c>
      <c r="D561" s="197" t="s">
        <v>159</v>
      </c>
      <c r="E561" s="199"/>
      <c r="F561" s="199">
        <v>514750950</v>
      </c>
      <c r="G561" s="199"/>
      <c r="H561" s="197" t="s">
        <v>794</v>
      </c>
      <c r="I561" s="248" t="s">
        <v>765</v>
      </c>
      <c r="J561" s="187">
        <v>1</v>
      </c>
      <c r="K561" s="187">
        <v>1</v>
      </c>
      <c r="L561" s="187">
        <v>12</v>
      </c>
      <c r="M561" s="172">
        <f t="shared" si="92"/>
        <v>1</v>
      </c>
      <c r="N561" s="180" t="s">
        <v>36</v>
      </c>
      <c r="O561" s="181" t="str">
        <f>IF(ISBLANK(N561),"",VLOOKUP(N561,[17]Parámetros!$G$2:$H$23,2,FALSE))</f>
        <v xml:space="preserve">Contratación directa (con ofertas) </v>
      </c>
      <c r="P561" s="249">
        <f t="shared" si="98"/>
        <v>1</v>
      </c>
      <c r="Q561" s="183">
        <f t="shared" si="93"/>
        <v>514750950</v>
      </c>
      <c r="R561" s="183">
        <f t="shared" si="94"/>
        <v>514750950</v>
      </c>
      <c r="S561" s="250" t="s">
        <v>223</v>
      </c>
      <c r="T561" s="249">
        <f t="shared" si="99"/>
        <v>0</v>
      </c>
      <c r="U561" s="185" t="str">
        <f t="shared" si="95"/>
        <v>SUBDIRECCION DE GESTION CONTRACTUAL</v>
      </c>
      <c r="V561" s="249" t="str">
        <f t="shared" si="96"/>
        <v>CO-DC</v>
      </c>
      <c r="W561" s="249" t="str">
        <f t="shared" si="97"/>
        <v>Distrito Capital de Bogotá</v>
      </c>
      <c r="X561" s="197" t="s">
        <v>591</v>
      </c>
      <c r="Y561" s="187">
        <v>2427400</v>
      </c>
      <c r="Z561" s="201" t="s">
        <v>160</v>
      </c>
      <c r="AA561" s="252"/>
      <c r="AB561" s="252"/>
      <c r="AC561" s="252"/>
      <c r="AD561" s="252"/>
      <c r="AE561" s="252"/>
      <c r="AF561" s="252"/>
      <c r="AG561" s="252"/>
      <c r="AH561" s="252"/>
      <c r="AI561" s="252"/>
      <c r="AJ561" s="252"/>
      <c r="AK561" s="252"/>
      <c r="AL561" s="252"/>
      <c r="AM561" s="252"/>
      <c r="AN561" s="252"/>
      <c r="AO561" s="252"/>
      <c r="AP561" s="252"/>
      <c r="AQ561" s="252"/>
      <c r="AR561" s="252"/>
      <c r="AS561" s="252"/>
      <c r="AT561" s="252"/>
      <c r="AU561" s="195"/>
      <c r="AV561" s="195"/>
      <c r="AW561" s="195"/>
      <c r="AX561" s="195"/>
      <c r="AY561" s="195"/>
      <c r="AZ561" s="195"/>
      <c r="BA561" s="195"/>
      <c r="BB561" s="195"/>
      <c r="BC561" s="195"/>
      <c r="BD561" s="195"/>
      <c r="BE561" s="195"/>
      <c r="BF561" s="195"/>
      <c r="BG561" s="195"/>
      <c r="BH561" s="195"/>
      <c r="BI561" s="195"/>
      <c r="BJ561" s="195"/>
      <c r="BK561" s="195"/>
      <c r="BL561" s="195"/>
      <c r="BM561" s="195"/>
      <c r="BN561" s="195"/>
      <c r="BO561" s="195"/>
      <c r="BP561" s="195"/>
      <c r="BQ561" s="195"/>
      <c r="BR561" s="195"/>
      <c r="BS561" s="195"/>
      <c r="BT561" s="195"/>
      <c r="BU561" s="195"/>
      <c r="BV561" s="195"/>
      <c r="BW561" s="195"/>
      <c r="BX561" s="195"/>
      <c r="BY561" s="195"/>
      <c r="BZ561" s="195"/>
      <c r="CA561" s="195"/>
      <c r="CB561" s="195"/>
      <c r="CC561" s="195"/>
      <c r="CD561" s="195"/>
      <c r="CE561" s="195"/>
      <c r="CF561" s="195"/>
      <c r="CG561" s="256"/>
    </row>
    <row r="562" spans="1:85" s="254" customFormat="1" ht="13.9" customHeight="1" x14ac:dyDescent="0.2">
      <c r="A562" s="255" t="s">
        <v>158</v>
      </c>
      <c r="B562" s="187">
        <v>60</v>
      </c>
      <c r="C562" s="248" t="s">
        <v>622</v>
      </c>
      <c r="D562" s="197" t="s">
        <v>159</v>
      </c>
      <c r="E562" s="199"/>
      <c r="F562" s="199">
        <v>215180000</v>
      </c>
      <c r="G562" s="199"/>
      <c r="H562" s="197" t="s">
        <v>794</v>
      </c>
      <c r="I562" s="248" t="s">
        <v>766</v>
      </c>
      <c r="J562" s="187">
        <v>1</v>
      </c>
      <c r="K562" s="187">
        <v>1</v>
      </c>
      <c r="L562" s="187">
        <v>12</v>
      </c>
      <c r="M562" s="172">
        <f t="shared" si="92"/>
        <v>1</v>
      </c>
      <c r="N562" s="180" t="s">
        <v>36</v>
      </c>
      <c r="O562" s="181" t="str">
        <f>IF(ISBLANK(N562),"",VLOOKUP(N562,[17]Parámetros!$G$2:$H$23,2,FALSE))</f>
        <v xml:space="preserve">Contratación directa (con ofertas) </v>
      </c>
      <c r="P562" s="249">
        <f t="shared" si="98"/>
        <v>1</v>
      </c>
      <c r="Q562" s="183">
        <f t="shared" si="93"/>
        <v>215180000</v>
      </c>
      <c r="R562" s="183">
        <f t="shared" si="94"/>
        <v>215180000</v>
      </c>
      <c r="S562" s="250" t="s">
        <v>223</v>
      </c>
      <c r="T562" s="249">
        <f t="shared" si="99"/>
        <v>0</v>
      </c>
      <c r="U562" s="185" t="str">
        <f t="shared" si="95"/>
        <v>SUBDIRECCION DE GESTION CONTRACTUAL</v>
      </c>
      <c r="V562" s="249" t="str">
        <f t="shared" si="96"/>
        <v>CO-DC</v>
      </c>
      <c r="W562" s="249" t="str">
        <f t="shared" si="97"/>
        <v>Distrito Capital de Bogotá</v>
      </c>
      <c r="X562" s="197" t="s">
        <v>591</v>
      </c>
      <c r="Y562" s="187">
        <v>2427400</v>
      </c>
      <c r="Z562" s="201" t="s">
        <v>160</v>
      </c>
      <c r="AA562" s="252"/>
      <c r="AB562" s="252"/>
      <c r="AC562" s="252"/>
      <c r="AD562" s="252"/>
      <c r="AE562" s="252"/>
      <c r="AF562" s="252"/>
      <c r="AG562" s="252"/>
      <c r="AH562" s="252"/>
      <c r="AI562" s="252"/>
      <c r="AJ562" s="252"/>
      <c r="AK562" s="252"/>
      <c r="AL562" s="252"/>
      <c r="AM562" s="252"/>
      <c r="AN562" s="252"/>
      <c r="AO562" s="252"/>
      <c r="AP562" s="252"/>
      <c r="AQ562" s="252"/>
      <c r="AR562" s="252"/>
      <c r="AS562" s="252"/>
      <c r="AT562" s="252"/>
      <c r="AU562" s="195"/>
      <c r="AV562" s="195"/>
      <c r="AW562" s="195"/>
      <c r="AX562" s="195"/>
      <c r="AY562" s="195"/>
      <c r="AZ562" s="195"/>
      <c r="BA562" s="195"/>
      <c r="BB562" s="195"/>
      <c r="BC562" s="195"/>
      <c r="BD562" s="195"/>
      <c r="BE562" s="195"/>
      <c r="BF562" s="195"/>
      <c r="BG562" s="195"/>
      <c r="BH562" s="195"/>
      <c r="BI562" s="195"/>
      <c r="BJ562" s="195"/>
      <c r="BK562" s="195"/>
      <c r="BL562" s="195"/>
      <c r="BM562" s="195"/>
      <c r="BN562" s="195"/>
      <c r="BO562" s="195"/>
      <c r="BP562" s="195"/>
      <c r="BQ562" s="195"/>
      <c r="BR562" s="195"/>
      <c r="BS562" s="195"/>
      <c r="BT562" s="195"/>
      <c r="BU562" s="195"/>
      <c r="BV562" s="195"/>
      <c r="BW562" s="195"/>
      <c r="BX562" s="195"/>
      <c r="BY562" s="195"/>
      <c r="BZ562" s="195"/>
      <c r="CA562" s="195"/>
      <c r="CB562" s="195"/>
      <c r="CC562" s="195"/>
      <c r="CD562" s="195"/>
      <c r="CE562" s="195"/>
      <c r="CF562" s="195"/>
      <c r="CG562" s="256"/>
    </row>
    <row r="563" spans="1:85" s="254" customFormat="1" ht="13.9" customHeight="1" x14ac:dyDescent="0.2">
      <c r="A563" s="255" t="s">
        <v>158</v>
      </c>
      <c r="B563" s="187">
        <v>61</v>
      </c>
      <c r="C563" s="248" t="s">
        <v>622</v>
      </c>
      <c r="D563" s="197" t="s">
        <v>159</v>
      </c>
      <c r="E563" s="199"/>
      <c r="F563" s="199">
        <v>6901188760</v>
      </c>
      <c r="G563" s="199"/>
      <c r="H563" s="197" t="s">
        <v>798</v>
      </c>
      <c r="I563" s="248" t="s">
        <v>767</v>
      </c>
      <c r="J563" s="187">
        <v>1</v>
      </c>
      <c r="K563" s="187">
        <v>1</v>
      </c>
      <c r="L563" s="187">
        <v>12</v>
      </c>
      <c r="M563" s="172">
        <f t="shared" si="92"/>
        <v>1</v>
      </c>
      <c r="N563" s="180" t="s">
        <v>36</v>
      </c>
      <c r="O563" s="181" t="str">
        <f>IF(ISBLANK(N563),"",VLOOKUP(N563,[17]Parámetros!$G$2:$H$23,2,FALSE))</f>
        <v xml:space="preserve">Contratación directa (con ofertas) </v>
      </c>
      <c r="P563" s="249">
        <f t="shared" si="98"/>
        <v>1</v>
      </c>
      <c r="Q563" s="183">
        <f t="shared" si="93"/>
        <v>6901188760</v>
      </c>
      <c r="R563" s="183">
        <f t="shared" si="94"/>
        <v>6901188760</v>
      </c>
      <c r="S563" s="250" t="s">
        <v>223</v>
      </c>
      <c r="T563" s="249">
        <f t="shared" si="99"/>
        <v>0</v>
      </c>
      <c r="U563" s="185" t="str">
        <f t="shared" si="95"/>
        <v>SUBDIRECCION DE GESTION CONTRACTUAL</v>
      </c>
      <c r="V563" s="249" t="str">
        <f t="shared" si="96"/>
        <v>CO-DC</v>
      </c>
      <c r="W563" s="249" t="str">
        <f t="shared" si="97"/>
        <v>Distrito Capital de Bogotá</v>
      </c>
      <c r="X563" s="197" t="s">
        <v>591</v>
      </c>
      <c r="Y563" s="187">
        <v>2427400</v>
      </c>
      <c r="Z563" s="201" t="s">
        <v>160</v>
      </c>
      <c r="AA563" s="252"/>
      <c r="AB563" s="252"/>
      <c r="AC563" s="252"/>
      <c r="AD563" s="252"/>
      <c r="AE563" s="252"/>
      <c r="AF563" s="252"/>
      <c r="AG563" s="252"/>
      <c r="AH563" s="252"/>
      <c r="AI563" s="252"/>
      <c r="AJ563" s="252"/>
      <c r="AK563" s="252"/>
      <c r="AL563" s="252"/>
      <c r="AM563" s="252"/>
      <c r="AN563" s="252"/>
      <c r="AO563" s="252"/>
      <c r="AP563" s="252"/>
      <c r="AQ563" s="252"/>
      <c r="AR563" s="252"/>
      <c r="AS563" s="252"/>
      <c r="AT563" s="252"/>
      <c r="AU563" s="195"/>
      <c r="AV563" s="195"/>
      <c r="AW563" s="195"/>
      <c r="AX563" s="195"/>
      <c r="AY563" s="195"/>
      <c r="AZ563" s="195"/>
      <c r="BA563" s="195"/>
      <c r="BB563" s="195"/>
      <c r="BC563" s="195"/>
      <c r="BD563" s="195"/>
      <c r="BE563" s="195"/>
      <c r="BF563" s="195"/>
      <c r="BG563" s="195"/>
      <c r="BH563" s="195"/>
      <c r="BI563" s="195"/>
      <c r="BJ563" s="195"/>
      <c r="BK563" s="195"/>
      <c r="BL563" s="195"/>
      <c r="BM563" s="195"/>
      <c r="BN563" s="195"/>
      <c r="BO563" s="195"/>
      <c r="BP563" s="195"/>
      <c r="BQ563" s="195"/>
      <c r="BR563" s="195"/>
      <c r="BS563" s="195"/>
      <c r="BT563" s="195"/>
      <c r="BU563" s="195"/>
      <c r="BV563" s="195"/>
      <c r="BW563" s="195"/>
      <c r="BX563" s="195"/>
      <c r="BY563" s="195"/>
      <c r="BZ563" s="195"/>
      <c r="CA563" s="195"/>
      <c r="CB563" s="195"/>
      <c r="CC563" s="195"/>
      <c r="CD563" s="195"/>
      <c r="CE563" s="195"/>
      <c r="CF563" s="195"/>
      <c r="CG563" s="256"/>
    </row>
    <row r="564" spans="1:85" s="254" customFormat="1" ht="13.9" customHeight="1" x14ac:dyDescent="0.2">
      <c r="A564" s="255" t="s">
        <v>158</v>
      </c>
      <c r="B564" s="187">
        <v>62</v>
      </c>
      <c r="C564" s="248" t="s">
        <v>622</v>
      </c>
      <c r="D564" s="197" t="s">
        <v>159</v>
      </c>
      <c r="E564" s="199"/>
      <c r="F564" s="199">
        <v>441215100</v>
      </c>
      <c r="G564" s="199"/>
      <c r="H564" s="197" t="s">
        <v>794</v>
      </c>
      <c r="I564" s="248" t="s">
        <v>768</v>
      </c>
      <c r="J564" s="187">
        <v>1</v>
      </c>
      <c r="K564" s="187">
        <v>1</v>
      </c>
      <c r="L564" s="187">
        <v>12</v>
      </c>
      <c r="M564" s="172">
        <f t="shared" si="92"/>
        <v>1</v>
      </c>
      <c r="N564" s="180" t="s">
        <v>36</v>
      </c>
      <c r="O564" s="181" t="str">
        <f>IF(ISBLANK(N564),"",VLOOKUP(N564,[17]Parámetros!$G$2:$H$23,2,FALSE))</f>
        <v xml:space="preserve">Contratación directa (con ofertas) </v>
      </c>
      <c r="P564" s="249">
        <f t="shared" si="98"/>
        <v>1</v>
      </c>
      <c r="Q564" s="183">
        <f t="shared" si="93"/>
        <v>441215100</v>
      </c>
      <c r="R564" s="183">
        <f t="shared" si="94"/>
        <v>441215100</v>
      </c>
      <c r="S564" s="250" t="s">
        <v>223</v>
      </c>
      <c r="T564" s="249">
        <f t="shared" si="99"/>
        <v>0</v>
      </c>
      <c r="U564" s="185" t="str">
        <f t="shared" si="95"/>
        <v>SUBDIRECCION DE GESTION CONTRACTUAL</v>
      </c>
      <c r="V564" s="249" t="str">
        <f t="shared" si="96"/>
        <v>CO-DC</v>
      </c>
      <c r="W564" s="249" t="str">
        <f t="shared" si="97"/>
        <v>Distrito Capital de Bogotá</v>
      </c>
      <c r="X564" s="197" t="s">
        <v>591</v>
      </c>
      <c r="Y564" s="187">
        <v>2427400</v>
      </c>
      <c r="Z564" s="201" t="s">
        <v>160</v>
      </c>
      <c r="AA564" s="252"/>
      <c r="AB564" s="252"/>
      <c r="AC564" s="252"/>
      <c r="AD564" s="252"/>
      <c r="AE564" s="252"/>
      <c r="AF564" s="252"/>
      <c r="AG564" s="252"/>
      <c r="AH564" s="252"/>
      <c r="AI564" s="252"/>
      <c r="AJ564" s="252"/>
      <c r="AK564" s="252"/>
      <c r="AL564" s="252"/>
      <c r="AM564" s="252"/>
      <c r="AN564" s="252"/>
      <c r="AO564" s="252"/>
      <c r="AP564" s="252"/>
      <c r="AQ564" s="252"/>
      <c r="AR564" s="252"/>
      <c r="AS564" s="252"/>
      <c r="AT564" s="252"/>
      <c r="AU564" s="195"/>
      <c r="AV564" s="195"/>
      <c r="AW564" s="195"/>
      <c r="AX564" s="195"/>
      <c r="AY564" s="195"/>
      <c r="AZ564" s="195"/>
      <c r="BA564" s="195"/>
      <c r="BB564" s="195"/>
      <c r="BC564" s="195"/>
      <c r="BD564" s="195"/>
      <c r="BE564" s="195"/>
      <c r="BF564" s="195"/>
      <c r="BG564" s="195"/>
      <c r="BH564" s="195"/>
      <c r="BI564" s="195"/>
      <c r="BJ564" s="195"/>
      <c r="BK564" s="195"/>
      <c r="BL564" s="195"/>
      <c r="BM564" s="195"/>
      <c r="BN564" s="195"/>
      <c r="BO564" s="195"/>
      <c r="BP564" s="195"/>
      <c r="BQ564" s="195"/>
      <c r="BR564" s="195"/>
      <c r="BS564" s="195"/>
      <c r="BT564" s="195"/>
      <c r="BU564" s="195"/>
      <c r="BV564" s="195"/>
      <c r="BW564" s="195"/>
      <c r="BX564" s="195"/>
      <c r="BY564" s="195"/>
      <c r="BZ564" s="195"/>
      <c r="CA564" s="195"/>
      <c r="CB564" s="195"/>
      <c r="CC564" s="195"/>
      <c r="CD564" s="195"/>
      <c r="CE564" s="195"/>
      <c r="CF564" s="195"/>
      <c r="CG564" s="256"/>
    </row>
    <row r="565" spans="1:85" s="254" customFormat="1" ht="13.9" customHeight="1" x14ac:dyDescent="0.2">
      <c r="A565" s="255" t="s">
        <v>158</v>
      </c>
      <c r="B565" s="187">
        <v>63</v>
      </c>
      <c r="C565" s="248" t="s">
        <v>622</v>
      </c>
      <c r="D565" s="197" t="s">
        <v>159</v>
      </c>
      <c r="E565" s="199"/>
      <c r="F565" s="199">
        <v>448224357</v>
      </c>
      <c r="G565" s="199"/>
      <c r="H565" s="197" t="s">
        <v>794</v>
      </c>
      <c r="I565" s="248" t="s">
        <v>769</v>
      </c>
      <c r="J565" s="187">
        <v>1</v>
      </c>
      <c r="K565" s="187">
        <v>1</v>
      </c>
      <c r="L565" s="187">
        <v>12</v>
      </c>
      <c r="M565" s="172">
        <f t="shared" si="92"/>
        <v>1</v>
      </c>
      <c r="N565" s="180" t="s">
        <v>36</v>
      </c>
      <c r="O565" s="181" t="str">
        <f>IF(ISBLANK(N565),"",VLOOKUP(N565,[17]Parámetros!$G$2:$H$23,2,FALSE))</f>
        <v xml:space="preserve">Contratación directa (con ofertas) </v>
      </c>
      <c r="P565" s="249">
        <f t="shared" si="98"/>
        <v>1</v>
      </c>
      <c r="Q565" s="183">
        <f t="shared" si="93"/>
        <v>448224357</v>
      </c>
      <c r="R565" s="183">
        <f t="shared" si="94"/>
        <v>448224357</v>
      </c>
      <c r="S565" s="250" t="s">
        <v>223</v>
      </c>
      <c r="T565" s="249">
        <f t="shared" si="99"/>
        <v>0</v>
      </c>
      <c r="U565" s="185" t="str">
        <f t="shared" si="95"/>
        <v>SUBDIRECCION DE GESTION CONTRACTUAL</v>
      </c>
      <c r="V565" s="249" t="str">
        <f t="shared" si="96"/>
        <v>CO-DC</v>
      </c>
      <c r="W565" s="249" t="str">
        <f t="shared" si="97"/>
        <v>Distrito Capital de Bogotá</v>
      </c>
      <c r="X565" s="197" t="s">
        <v>591</v>
      </c>
      <c r="Y565" s="187">
        <v>2427400</v>
      </c>
      <c r="Z565" s="201" t="s">
        <v>160</v>
      </c>
      <c r="AA565" s="252"/>
      <c r="AB565" s="252"/>
      <c r="AC565" s="252"/>
      <c r="AD565" s="252"/>
      <c r="AE565" s="252"/>
      <c r="AF565" s="252"/>
      <c r="AG565" s="252"/>
      <c r="AH565" s="252"/>
      <c r="AI565" s="252"/>
      <c r="AJ565" s="252"/>
      <c r="AK565" s="252"/>
      <c r="AL565" s="252"/>
      <c r="AM565" s="252"/>
      <c r="AN565" s="252"/>
      <c r="AO565" s="252"/>
      <c r="AP565" s="252"/>
      <c r="AQ565" s="252"/>
      <c r="AR565" s="252"/>
      <c r="AS565" s="252"/>
      <c r="AT565" s="252"/>
      <c r="AU565" s="195"/>
      <c r="AV565" s="195"/>
      <c r="AW565" s="195"/>
      <c r="AX565" s="195"/>
      <c r="AY565" s="195"/>
      <c r="AZ565" s="195"/>
      <c r="BA565" s="195"/>
      <c r="BB565" s="195"/>
      <c r="BC565" s="195"/>
      <c r="BD565" s="195"/>
      <c r="BE565" s="195"/>
      <c r="BF565" s="195"/>
      <c r="BG565" s="195"/>
      <c r="BH565" s="195"/>
      <c r="BI565" s="195"/>
      <c r="BJ565" s="195"/>
      <c r="BK565" s="195"/>
      <c r="BL565" s="195"/>
      <c r="BM565" s="195"/>
      <c r="BN565" s="195"/>
      <c r="BO565" s="195"/>
      <c r="BP565" s="195"/>
      <c r="BQ565" s="195"/>
      <c r="BR565" s="195"/>
      <c r="BS565" s="195"/>
      <c r="BT565" s="195"/>
      <c r="BU565" s="195"/>
      <c r="BV565" s="195"/>
      <c r="BW565" s="195"/>
      <c r="BX565" s="195"/>
      <c r="BY565" s="195"/>
      <c r="BZ565" s="195"/>
      <c r="CA565" s="195"/>
      <c r="CB565" s="195"/>
      <c r="CC565" s="195"/>
      <c r="CD565" s="195"/>
      <c r="CE565" s="195"/>
      <c r="CF565" s="195"/>
      <c r="CG565" s="256"/>
    </row>
    <row r="566" spans="1:85" s="254" customFormat="1" ht="13.9" customHeight="1" x14ac:dyDescent="0.2">
      <c r="A566" s="255" t="s">
        <v>158</v>
      </c>
      <c r="B566" s="187">
        <v>64</v>
      </c>
      <c r="C566" s="248" t="s">
        <v>622</v>
      </c>
      <c r="D566" s="197" t="s">
        <v>159</v>
      </c>
      <c r="E566" s="199"/>
      <c r="F566" s="199">
        <v>205000000</v>
      </c>
      <c r="G566" s="199"/>
      <c r="H566" s="197" t="s">
        <v>794</v>
      </c>
      <c r="I566" s="248" t="s">
        <v>770</v>
      </c>
      <c r="J566" s="187">
        <v>1</v>
      </c>
      <c r="K566" s="187">
        <v>1</v>
      </c>
      <c r="L566" s="187">
        <v>12</v>
      </c>
      <c r="M566" s="172">
        <f t="shared" si="92"/>
        <v>1</v>
      </c>
      <c r="N566" s="180" t="s">
        <v>36</v>
      </c>
      <c r="O566" s="181" t="str">
        <f>IF(ISBLANK(N566),"",VLOOKUP(N566,[17]Parámetros!$G$2:$H$23,2,FALSE))</f>
        <v xml:space="preserve">Contratación directa (con ofertas) </v>
      </c>
      <c r="P566" s="249">
        <f t="shared" si="98"/>
        <v>1</v>
      </c>
      <c r="Q566" s="183">
        <f t="shared" si="93"/>
        <v>205000000</v>
      </c>
      <c r="R566" s="183">
        <f t="shared" si="94"/>
        <v>205000000</v>
      </c>
      <c r="S566" s="250" t="s">
        <v>223</v>
      </c>
      <c r="T566" s="249">
        <f t="shared" si="99"/>
        <v>0</v>
      </c>
      <c r="U566" s="185" t="str">
        <f t="shared" si="95"/>
        <v>SUBDIRECCION DE GESTION CONTRACTUAL</v>
      </c>
      <c r="V566" s="249" t="str">
        <f t="shared" ref="V566:V597" si="100">IF(ISBLANK(N566),"","CO-DC")</f>
        <v>CO-DC</v>
      </c>
      <c r="W566" s="249" t="str">
        <f t="shared" ref="W566:W597" si="101">IF(ISBLANK(N566),"","Distrito Capital de Bogotá")</f>
        <v>Distrito Capital de Bogotá</v>
      </c>
      <c r="X566" s="197" t="s">
        <v>591</v>
      </c>
      <c r="Y566" s="187">
        <v>2427400</v>
      </c>
      <c r="Z566" s="201" t="s">
        <v>160</v>
      </c>
      <c r="AA566" s="252"/>
      <c r="AB566" s="252"/>
      <c r="AC566" s="252"/>
      <c r="AD566" s="252"/>
      <c r="AE566" s="252"/>
      <c r="AF566" s="252"/>
      <c r="AG566" s="252"/>
      <c r="AH566" s="252"/>
      <c r="AI566" s="252"/>
      <c r="AJ566" s="252"/>
      <c r="AK566" s="252"/>
      <c r="AL566" s="252"/>
      <c r="AM566" s="252"/>
      <c r="AN566" s="252"/>
      <c r="AO566" s="252"/>
      <c r="AP566" s="252"/>
      <c r="AQ566" s="252"/>
      <c r="AR566" s="252"/>
      <c r="AS566" s="252"/>
      <c r="AT566" s="252"/>
      <c r="AU566" s="195"/>
      <c r="AV566" s="195"/>
      <c r="AW566" s="195"/>
      <c r="AX566" s="195"/>
      <c r="AY566" s="195"/>
      <c r="AZ566" s="195"/>
      <c r="BA566" s="195"/>
      <c r="BB566" s="195"/>
      <c r="BC566" s="195"/>
      <c r="BD566" s="195"/>
      <c r="BE566" s="195"/>
      <c r="BF566" s="195"/>
      <c r="BG566" s="195"/>
      <c r="BH566" s="195"/>
      <c r="BI566" s="195"/>
      <c r="BJ566" s="195"/>
      <c r="BK566" s="195"/>
      <c r="BL566" s="195"/>
      <c r="BM566" s="195"/>
      <c r="BN566" s="195"/>
      <c r="BO566" s="195"/>
      <c r="BP566" s="195"/>
      <c r="BQ566" s="195"/>
      <c r="BR566" s="195"/>
      <c r="BS566" s="195"/>
      <c r="BT566" s="195"/>
      <c r="BU566" s="195"/>
      <c r="BV566" s="195"/>
      <c r="BW566" s="195"/>
      <c r="BX566" s="195"/>
      <c r="BY566" s="195"/>
      <c r="BZ566" s="195"/>
      <c r="CA566" s="195"/>
      <c r="CB566" s="195"/>
      <c r="CC566" s="195"/>
      <c r="CD566" s="195"/>
      <c r="CE566" s="195"/>
      <c r="CF566" s="195"/>
      <c r="CG566" s="256"/>
    </row>
    <row r="567" spans="1:85" s="254" customFormat="1" ht="13.9" customHeight="1" x14ac:dyDescent="0.2">
      <c r="A567" s="255" t="s">
        <v>158</v>
      </c>
      <c r="B567" s="187">
        <v>65</v>
      </c>
      <c r="C567" s="248" t="s">
        <v>622</v>
      </c>
      <c r="D567" s="197" t="s">
        <v>159</v>
      </c>
      <c r="E567" s="199"/>
      <c r="F567" s="199">
        <v>147071700</v>
      </c>
      <c r="G567" s="199"/>
      <c r="H567" s="197" t="s">
        <v>794</v>
      </c>
      <c r="I567" s="248" t="s">
        <v>771</v>
      </c>
      <c r="J567" s="187">
        <v>1</v>
      </c>
      <c r="K567" s="187">
        <v>1</v>
      </c>
      <c r="L567" s="187">
        <v>12</v>
      </c>
      <c r="M567" s="172">
        <f t="shared" si="92"/>
        <v>1</v>
      </c>
      <c r="N567" s="180" t="s">
        <v>36</v>
      </c>
      <c r="O567" s="181" t="str">
        <f>IF(ISBLANK(N567),"",VLOOKUP(N567,[17]Parámetros!$G$2:$H$23,2,FALSE))</f>
        <v xml:space="preserve">Contratación directa (con ofertas) </v>
      </c>
      <c r="P567" s="249">
        <f t="shared" ref="P567:P598" si="102">IF(ISBLANK(N567),"",1)</f>
        <v>1</v>
      </c>
      <c r="Q567" s="183">
        <f t="shared" si="93"/>
        <v>147071700</v>
      </c>
      <c r="R567" s="183">
        <f t="shared" si="94"/>
        <v>147071700</v>
      </c>
      <c r="S567" s="250" t="s">
        <v>223</v>
      </c>
      <c r="T567" s="249">
        <f t="shared" si="99"/>
        <v>0</v>
      </c>
      <c r="U567" s="185" t="str">
        <f t="shared" si="95"/>
        <v>SUBDIRECCION DE GESTION CONTRACTUAL</v>
      </c>
      <c r="V567" s="249" t="str">
        <f t="shared" si="100"/>
        <v>CO-DC</v>
      </c>
      <c r="W567" s="249" t="str">
        <f t="shared" si="101"/>
        <v>Distrito Capital de Bogotá</v>
      </c>
      <c r="X567" s="197" t="s">
        <v>591</v>
      </c>
      <c r="Y567" s="187">
        <v>2427400</v>
      </c>
      <c r="Z567" s="201" t="s">
        <v>160</v>
      </c>
      <c r="AA567" s="252"/>
      <c r="AB567" s="252"/>
      <c r="AC567" s="252"/>
      <c r="AD567" s="252"/>
      <c r="AE567" s="252"/>
      <c r="AF567" s="252"/>
      <c r="AG567" s="252"/>
      <c r="AH567" s="252"/>
      <c r="AI567" s="252"/>
      <c r="AJ567" s="252"/>
      <c r="AK567" s="252"/>
      <c r="AL567" s="252"/>
      <c r="AM567" s="252"/>
      <c r="AN567" s="252"/>
      <c r="AO567" s="252"/>
      <c r="AP567" s="252"/>
      <c r="AQ567" s="252"/>
      <c r="AR567" s="252"/>
      <c r="AS567" s="252"/>
      <c r="AT567" s="252"/>
      <c r="AU567" s="195"/>
      <c r="AV567" s="195"/>
      <c r="AW567" s="195"/>
      <c r="AX567" s="195"/>
      <c r="AY567" s="195"/>
      <c r="AZ567" s="195"/>
      <c r="BA567" s="195"/>
      <c r="BB567" s="195"/>
      <c r="BC567" s="195"/>
      <c r="BD567" s="195"/>
      <c r="BE567" s="195"/>
      <c r="BF567" s="195"/>
      <c r="BG567" s="195"/>
      <c r="BH567" s="195"/>
      <c r="BI567" s="195"/>
      <c r="BJ567" s="195"/>
      <c r="BK567" s="195"/>
      <c r="BL567" s="195"/>
      <c r="BM567" s="195"/>
      <c r="BN567" s="195"/>
      <c r="BO567" s="195"/>
      <c r="BP567" s="195"/>
      <c r="BQ567" s="195"/>
      <c r="BR567" s="195"/>
      <c r="BS567" s="195"/>
      <c r="BT567" s="195"/>
      <c r="BU567" s="195"/>
      <c r="BV567" s="195"/>
      <c r="BW567" s="195"/>
      <c r="BX567" s="195"/>
      <c r="BY567" s="195"/>
      <c r="BZ567" s="195"/>
      <c r="CA567" s="195"/>
      <c r="CB567" s="195"/>
      <c r="CC567" s="195"/>
      <c r="CD567" s="195"/>
      <c r="CE567" s="195"/>
      <c r="CF567" s="195"/>
      <c r="CG567" s="256"/>
    </row>
    <row r="568" spans="1:85" s="254" customFormat="1" ht="13.9" customHeight="1" x14ac:dyDescent="0.2">
      <c r="A568" s="255" t="s">
        <v>158</v>
      </c>
      <c r="B568" s="187">
        <v>66</v>
      </c>
      <c r="C568" s="248" t="s">
        <v>622</v>
      </c>
      <c r="D568" s="197" t="s">
        <v>159</v>
      </c>
      <c r="E568" s="199"/>
      <c r="F568" s="199">
        <v>1234271534</v>
      </c>
      <c r="G568" s="199"/>
      <c r="H568" s="197" t="s">
        <v>798</v>
      </c>
      <c r="I568" s="248" t="s">
        <v>772</v>
      </c>
      <c r="J568" s="187">
        <v>1</v>
      </c>
      <c r="K568" s="187">
        <v>1</v>
      </c>
      <c r="L568" s="187">
        <v>12</v>
      </c>
      <c r="M568" s="172">
        <f t="shared" si="92"/>
        <v>1</v>
      </c>
      <c r="N568" s="180" t="s">
        <v>36</v>
      </c>
      <c r="O568" s="181" t="str">
        <f>IF(ISBLANK(N568),"",VLOOKUP(N568,[17]Parámetros!$G$2:$H$23,2,FALSE))</f>
        <v xml:space="preserve">Contratación directa (con ofertas) </v>
      </c>
      <c r="P568" s="249">
        <f t="shared" si="102"/>
        <v>1</v>
      </c>
      <c r="Q568" s="183">
        <f t="shared" si="93"/>
        <v>1234271534</v>
      </c>
      <c r="R568" s="183">
        <f t="shared" si="94"/>
        <v>1234271534</v>
      </c>
      <c r="S568" s="250" t="s">
        <v>223</v>
      </c>
      <c r="T568" s="249">
        <f t="shared" si="99"/>
        <v>0</v>
      </c>
      <c r="U568" s="185" t="str">
        <f t="shared" si="95"/>
        <v>SUBDIRECCION DE GESTION CONTRACTUAL</v>
      </c>
      <c r="V568" s="249" t="str">
        <f t="shared" si="100"/>
        <v>CO-DC</v>
      </c>
      <c r="W568" s="249" t="str">
        <f t="shared" si="101"/>
        <v>Distrito Capital de Bogotá</v>
      </c>
      <c r="X568" s="197" t="s">
        <v>591</v>
      </c>
      <c r="Y568" s="187">
        <v>2427400</v>
      </c>
      <c r="Z568" s="201" t="s">
        <v>160</v>
      </c>
      <c r="AA568" s="252"/>
      <c r="AB568" s="252"/>
      <c r="AC568" s="252"/>
      <c r="AD568" s="252"/>
      <c r="AE568" s="252"/>
      <c r="AF568" s="252"/>
      <c r="AG568" s="252"/>
      <c r="AH568" s="252"/>
      <c r="AI568" s="252"/>
      <c r="AJ568" s="252"/>
      <c r="AK568" s="252"/>
      <c r="AL568" s="252"/>
      <c r="AM568" s="252"/>
      <c r="AN568" s="252"/>
      <c r="AO568" s="252"/>
      <c r="AP568" s="252"/>
      <c r="AQ568" s="252"/>
      <c r="AR568" s="252"/>
      <c r="AS568" s="252"/>
      <c r="AT568" s="252"/>
      <c r="AU568" s="195"/>
      <c r="AV568" s="195"/>
      <c r="AW568" s="195"/>
      <c r="AX568" s="195"/>
      <c r="AY568" s="195"/>
      <c r="AZ568" s="195"/>
      <c r="BA568" s="195"/>
      <c r="BB568" s="195"/>
      <c r="BC568" s="195"/>
      <c r="BD568" s="195"/>
      <c r="BE568" s="195"/>
      <c r="BF568" s="195"/>
      <c r="BG568" s="195"/>
      <c r="BH568" s="195"/>
      <c r="BI568" s="195"/>
      <c r="BJ568" s="195"/>
      <c r="BK568" s="195"/>
      <c r="BL568" s="195"/>
      <c r="BM568" s="195"/>
      <c r="BN568" s="195"/>
      <c r="BO568" s="195"/>
      <c r="BP568" s="195"/>
      <c r="BQ568" s="195"/>
      <c r="BR568" s="195"/>
      <c r="BS568" s="195"/>
      <c r="BT568" s="195"/>
      <c r="BU568" s="195"/>
      <c r="BV568" s="195"/>
      <c r="BW568" s="195"/>
      <c r="BX568" s="195"/>
      <c r="BY568" s="195"/>
      <c r="BZ568" s="195"/>
      <c r="CA568" s="195"/>
      <c r="CB568" s="195"/>
      <c r="CC568" s="195"/>
      <c r="CD568" s="195"/>
      <c r="CE568" s="195"/>
      <c r="CF568" s="195"/>
      <c r="CG568" s="256"/>
    </row>
    <row r="569" spans="1:85" s="254" customFormat="1" ht="13.9" customHeight="1" x14ac:dyDescent="0.2">
      <c r="A569" s="255" t="s">
        <v>158</v>
      </c>
      <c r="B569" s="187">
        <v>67</v>
      </c>
      <c r="C569" s="248" t="s">
        <v>622</v>
      </c>
      <c r="D569" s="197" t="s">
        <v>159</v>
      </c>
      <c r="E569" s="199"/>
      <c r="F569" s="199">
        <v>147071700</v>
      </c>
      <c r="G569" s="199"/>
      <c r="H569" s="197" t="s">
        <v>794</v>
      </c>
      <c r="I569" s="248" t="s">
        <v>773</v>
      </c>
      <c r="J569" s="187">
        <v>1</v>
      </c>
      <c r="K569" s="187">
        <v>1</v>
      </c>
      <c r="L569" s="187">
        <v>12</v>
      </c>
      <c r="M569" s="172">
        <f t="shared" si="92"/>
        <v>1</v>
      </c>
      <c r="N569" s="180" t="s">
        <v>36</v>
      </c>
      <c r="O569" s="181" t="str">
        <f>IF(ISBLANK(N569),"",VLOOKUP(N569,[17]Parámetros!$G$2:$H$23,2,FALSE))</f>
        <v xml:space="preserve">Contratación directa (con ofertas) </v>
      </c>
      <c r="P569" s="249">
        <f t="shared" si="102"/>
        <v>1</v>
      </c>
      <c r="Q569" s="183">
        <f t="shared" si="93"/>
        <v>147071700</v>
      </c>
      <c r="R569" s="183">
        <f t="shared" si="94"/>
        <v>147071700</v>
      </c>
      <c r="S569" s="250" t="s">
        <v>223</v>
      </c>
      <c r="T569" s="249">
        <f t="shared" si="99"/>
        <v>0</v>
      </c>
      <c r="U569" s="185" t="str">
        <f t="shared" si="95"/>
        <v>SUBDIRECCION DE GESTION CONTRACTUAL</v>
      </c>
      <c r="V569" s="249" t="str">
        <f t="shared" si="100"/>
        <v>CO-DC</v>
      </c>
      <c r="W569" s="249" t="str">
        <f t="shared" si="101"/>
        <v>Distrito Capital de Bogotá</v>
      </c>
      <c r="X569" s="197" t="s">
        <v>591</v>
      </c>
      <c r="Y569" s="187">
        <v>2427400</v>
      </c>
      <c r="Z569" s="201" t="s">
        <v>160</v>
      </c>
      <c r="AA569" s="252"/>
      <c r="AB569" s="252"/>
      <c r="AC569" s="252"/>
      <c r="AD569" s="252"/>
      <c r="AE569" s="252"/>
      <c r="AF569" s="252"/>
      <c r="AG569" s="252"/>
      <c r="AH569" s="252"/>
      <c r="AI569" s="252"/>
      <c r="AJ569" s="252"/>
      <c r="AK569" s="252"/>
      <c r="AL569" s="252"/>
      <c r="AM569" s="252"/>
      <c r="AN569" s="252"/>
      <c r="AO569" s="252"/>
      <c r="AP569" s="252"/>
      <c r="AQ569" s="252"/>
      <c r="AR569" s="252"/>
      <c r="AS569" s="252"/>
      <c r="AT569" s="252"/>
      <c r="AU569" s="195"/>
      <c r="AV569" s="195"/>
      <c r="AW569" s="195"/>
      <c r="AX569" s="195"/>
      <c r="AY569" s="195"/>
      <c r="AZ569" s="195"/>
      <c r="BA569" s="195"/>
      <c r="BB569" s="195"/>
      <c r="BC569" s="195"/>
      <c r="BD569" s="195"/>
      <c r="BE569" s="195"/>
      <c r="BF569" s="195"/>
      <c r="BG569" s="195"/>
      <c r="BH569" s="195"/>
      <c r="BI569" s="195"/>
      <c r="BJ569" s="195"/>
      <c r="BK569" s="195"/>
      <c r="BL569" s="195"/>
      <c r="BM569" s="195"/>
      <c r="BN569" s="195"/>
      <c r="BO569" s="195"/>
      <c r="BP569" s="195"/>
      <c r="BQ569" s="195"/>
      <c r="BR569" s="195"/>
      <c r="BS569" s="195"/>
      <c r="BT569" s="195"/>
      <c r="BU569" s="195"/>
      <c r="BV569" s="195"/>
      <c r="BW569" s="195"/>
      <c r="BX569" s="195"/>
      <c r="BY569" s="195"/>
      <c r="BZ569" s="195"/>
      <c r="CA569" s="195"/>
      <c r="CB569" s="195"/>
      <c r="CC569" s="195"/>
      <c r="CD569" s="195"/>
      <c r="CE569" s="195"/>
      <c r="CF569" s="195"/>
      <c r="CG569" s="256"/>
    </row>
    <row r="570" spans="1:85" s="254" customFormat="1" ht="13.9" customHeight="1" x14ac:dyDescent="0.2">
      <c r="A570" s="255" t="s">
        <v>158</v>
      </c>
      <c r="B570" s="187">
        <v>68</v>
      </c>
      <c r="C570" s="248" t="s">
        <v>622</v>
      </c>
      <c r="D570" s="197" t="s">
        <v>159</v>
      </c>
      <c r="E570" s="199"/>
      <c r="F570" s="199">
        <v>700000000</v>
      </c>
      <c r="G570" s="199"/>
      <c r="H570" s="197" t="s">
        <v>794</v>
      </c>
      <c r="I570" s="248" t="s">
        <v>774</v>
      </c>
      <c r="J570" s="187">
        <v>1</v>
      </c>
      <c r="K570" s="187">
        <v>1</v>
      </c>
      <c r="L570" s="187">
        <v>12</v>
      </c>
      <c r="M570" s="172">
        <f t="shared" si="92"/>
        <v>1</v>
      </c>
      <c r="N570" s="180" t="s">
        <v>36</v>
      </c>
      <c r="O570" s="181" t="str">
        <f>IF(ISBLANK(N570),"",VLOOKUP(N570,[17]Parámetros!$G$2:$H$23,2,FALSE))</f>
        <v xml:space="preserve">Contratación directa (con ofertas) </v>
      </c>
      <c r="P570" s="249">
        <f t="shared" si="102"/>
        <v>1</v>
      </c>
      <c r="Q570" s="183">
        <f t="shared" si="93"/>
        <v>700000000</v>
      </c>
      <c r="R570" s="183">
        <f t="shared" si="94"/>
        <v>700000000</v>
      </c>
      <c r="S570" s="250" t="s">
        <v>223</v>
      </c>
      <c r="T570" s="249">
        <f t="shared" si="99"/>
        <v>0</v>
      </c>
      <c r="U570" s="185" t="str">
        <f t="shared" si="95"/>
        <v>SUBDIRECCION DE GESTION CONTRACTUAL</v>
      </c>
      <c r="V570" s="249" t="str">
        <f t="shared" si="100"/>
        <v>CO-DC</v>
      </c>
      <c r="W570" s="249" t="str">
        <f t="shared" si="101"/>
        <v>Distrito Capital de Bogotá</v>
      </c>
      <c r="X570" s="197" t="s">
        <v>591</v>
      </c>
      <c r="Y570" s="187">
        <v>2427400</v>
      </c>
      <c r="Z570" s="201" t="s">
        <v>160</v>
      </c>
      <c r="AA570" s="252"/>
      <c r="AB570" s="252"/>
      <c r="AC570" s="252"/>
      <c r="AD570" s="252"/>
      <c r="AE570" s="252"/>
      <c r="AF570" s="252"/>
      <c r="AG570" s="252"/>
      <c r="AH570" s="252"/>
      <c r="AI570" s="252"/>
      <c r="AJ570" s="252"/>
      <c r="AK570" s="252"/>
      <c r="AL570" s="252"/>
      <c r="AM570" s="252"/>
      <c r="AN570" s="252"/>
      <c r="AO570" s="252"/>
      <c r="AP570" s="252"/>
      <c r="AQ570" s="252"/>
      <c r="AR570" s="252"/>
      <c r="AS570" s="252"/>
      <c r="AT570" s="252"/>
      <c r="AU570" s="195"/>
      <c r="AV570" s="195"/>
      <c r="AW570" s="195"/>
      <c r="AX570" s="195"/>
      <c r="AY570" s="195"/>
      <c r="AZ570" s="195"/>
      <c r="BA570" s="195"/>
      <c r="BB570" s="195"/>
      <c r="BC570" s="195"/>
      <c r="BD570" s="195"/>
      <c r="BE570" s="195"/>
      <c r="BF570" s="195"/>
      <c r="BG570" s="195"/>
      <c r="BH570" s="195"/>
      <c r="BI570" s="195"/>
      <c r="BJ570" s="195"/>
      <c r="BK570" s="195"/>
      <c r="BL570" s="195"/>
      <c r="BM570" s="195"/>
      <c r="BN570" s="195"/>
      <c r="BO570" s="195"/>
      <c r="BP570" s="195"/>
      <c r="BQ570" s="195"/>
      <c r="BR570" s="195"/>
      <c r="BS570" s="195"/>
      <c r="BT570" s="195"/>
      <c r="BU570" s="195"/>
      <c r="BV570" s="195"/>
      <c r="BW570" s="195"/>
      <c r="BX570" s="195"/>
      <c r="BY570" s="195"/>
      <c r="BZ570" s="195"/>
      <c r="CA570" s="195"/>
      <c r="CB570" s="195"/>
      <c r="CC570" s="195"/>
      <c r="CD570" s="195"/>
      <c r="CE570" s="195"/>
      <c r="CF570" s="195"/>
      <c r="CG570" s="256"/>
    </row>
    <row r="571" spans="1:85" s="254" customFormat="1" ht="13.9" customHeight="1" x14ac:dyDescent="0.2">
      <c r="A571" s="255" t="s">
        <v>158</v>
      </c>
      <c r="B571" s="187">
        <v>69</v>
      </c>
      <c r="C571" s="248" t="s">
        <v>622</v>
      </c>
      <c r="D571" s="197" t="s">
        <v>159</v>
      </c>
      <c r="E571" s="199"/>
      <c r="F571" s="199">
        <v>1025000000</v>
      </c>
      <c r="G571" s="199"/>
      <c r="H571" s="197" t="s">
        <v>794</v>
      </c>
      <c r="I571" s="248" t="s">
        <v>775</v>
      </c>
      <c r="J571" s="187">
        <v>1</v>
      </c>
      <c r="K571" s="187">
        <v>1</v>
      </c>
      <c r="L571" s="187">
        <v>12</v>
      </c>
      <c r="M571" s="172">
        <f t="shared" si="92"/>
        <v>1</v>
      </c>
      <c r="N571" s="180" t="s">
        <v>36</v>
      </c>
      <c r="O571" s="181" t="str">
        <f>IF(ISBLANK(N571),"",VLOOKUP(N571,[17]Parámetros!$G$2:$H$23,2,FALSE))</f>
        <v xml:space="preserve">Contratación directa (con ofertas) </v>
      </c>
      <c r="P571" s="249">
        <f t="shared" si="102"/>
        <v>1</v>
      </c>
      <c r="Q571" s="183">
        <f t="shared" si="93"/>
        <v>1025000000</v>
      </c>
      <c r="R571" s="183">
        <f t="shared" si="94"/>
        <v>1025000000</v>
      </c>
      <c r="S571" s="250" t="s">
        <v>223</v>
      </c>
      <c r="T571" s="249">
        <f t="shared" si="99"/>
        <v>0</v>
      </c>
      <c r="U571" s="185" t="str">
        <f t="shared" si="95"/>
        <v>SUBDIRECCION DE GESTION CONTRACTUAL</v>
      </c>
      <c r="V571" s="249" t="str">
        <f t="shared" si="100"/>
        <v>CO-DC</v>
      </c>
      <c r="W571" s="249" t="str">
        <f t="shared" si="101"/>
        <v>Distrito Capital de Bogotá</v>
      </c>
      <c r="X571" s="197" t="s">
        <v>591</v>
      </c>
      <c r="Y571" s="187">
        <v>2427400</v>
      </c>
      <c r="Z571" s="201" t="s">
        <v>160</v>
      </c>
      <c r="AA571" s="252"/>
      <c r="AB571" s="252"/>
      <c r="AC571" s="252"/>
      <c r="AD571" s="252"/>
      <c r="AE571" s="252"/>
      <c r="AF571" s="252"/>
      <c r="AG571" s="252"/>
      <c r="AH571" s="252"/>
      <c r="AI571" s="252"/>
      <c r="AJ571" s="252"/>
      <c r="AK571" s="252"/>
      <c r="AL571" s="252"/>
      <c r="AM571" s="252"/>
      <c r="AN571" s="252"/>
      <c r="AO571" s="252"/>
      <c r="AP571" s="252"/>
      <c r="AQ571" s="252"/>
      <c r="AR571" s="252"/>
      <c r="AS571" s="252"/>
      <c r="AT571" s="252"/>
      <c r="AU571" s="195"/>
      <c r="AV571" s="195"/>
      <c r="AW571" s="195"/>
      <c r="AX571" s="195"/>
      <c r="AY571" s="195"/>
      <c r="AZ571" s="195"/>
      <c r="BA571" s="195"/>
      <c r="BB571" s="195"/>
      <c r="BC571" s="195"/>
      <c r="BD571" s="195"/>
      <c r="BE571" s="195"/>
      <c r="BF571" s="195"/>
      <c r="BG571" s="195"/>
      <c r="BH571" s="195"/>
      <c r="BI571" s="195"/>
      <c r="BJ571" s="195"/>
      <c r="BK571" s="195"/>
      <c r="BL571" s="195"/>
      <c r="BM571" s="195"/>
      <c r="BN571" s="195"/>
      <c r="BO571" s="195"/>
      <c r="BP571" s="195"/>
      <c r="BQ571" s="195"/>
      <c r="BR571" s="195"/>
      <c r="BS571" s="195"/>
      <c r="BT571" s="195"/>
      <c r="BU571" s="195"/>
      <c r="BV571" s="195"/>
      <c r="BW571" s="195"/>
      <c r="BX571" s="195"/>
      <c r="BY571" s="195"/>
      <c r="BZ571" s="195"/>
      <c r="CA571" s="195"/>
      <c r="CB571" s="195"/>
      <c r="CC571" s="195"/>
      <c r="CD571" s="195"/>
      <c r="CE571" s="195"/>
      <c r="CF571" s="195"/>
      <c r="CG571" s="256"/>
    </row>
    <row r="572" spans="1:85" s="254" customFormat="1" ht="13.9" customHeight="1" x14ac:dyDescent="0.2">
      <c r="A572" s="255" t="s">
        <v>158</v>
      </c>
      <c r="B572" s="187">
        <v>70</v>
      </c>
      <c r="C572" s="248" t="s">
        <v>622</v>
      </c>
      <c r="D572" s="197" t="s">
        <v>159</v>
      </c>
      <c r="E572" s="199"/>
      <c r="F572" s="199">
        <v>305440000</v>
      </c>
      <c r="G572" s="199"/>
      <c r="H572" s="197" t="s">
        <v>794</v>
      </c>
      <c r="I572" s="248" t="s">
        <v>776</v>
      </c>
      <c r="J572" s="187">
        <v>1</v>
      </c>
      <c r="K572" s="187">
        <v>1</v>
      </c>
      <c r="L572" s="187">
        <v>12</v>
      </c>
      <c r="M572" s="172">
        <f t="shared" si="92"/>
        <v>1</v>
      </c>
      <c r="N572" s="180" t="s">
        <v>36</v>
      </c>
      <c r="O572" s="181" t="str">
        <f>IF(ISBLANK(N572),"",VLOOKUP(N572,[17]Parámetros!$G$2:$H$23,2,FALSE))</f>
        <v xml:space="preserve">Contratación directa (con ofertas) </v>
      </c>
      <c r="P572" s="249">
        <f t="shared" si="102"/>
        <v>1</v>
      </c>
      <c r="Q572" s="183">
        <f t="shared" si="93"/>
        <v>305440000</v>
      </c>
      <c r="R572" s="183">
        <f t="shared" si="94"/>
        <v>305440000</v>
      </c>
      <c r="S572" s="250" t="s">
        <v>223</v>
      </c>
      <c r="T572" s="249">
        <f t="shared" si="99"/>
        <v>0</v>
      </c>
      <c r="U572" s="185" t="str">
        <f t="shared" si="95"/>
        <v>SUBDIRECCION DE GESTION CONTRACTUAL</v>
      </c>
      <c r="V572" s="249" t="str">
        <f t="shared" si="100"/>
        <v>CO-DC</v>
      </c>
      <c r="W572" s="249" t="str">
        <f t="shared" si="101"/>
        <v>Distrito Capital de Bogotá</v>
      </c>
      <c r="X572" s="197" t="s">
        <v>591</v>
      </c>
      <c r="Y572" s="187">
        <v>2427400</v>
      </c>
      <c r="Z572" s="201" t="s">
        <v>160</v>
      </c>
      <c r="AA572" s="252"/>
      <c r="AB572" s="252"/>
      <c r="AC572" s="252"/>
      <c r="AD572" s="252"/>
      <c r="AE572" s="252"/>
      <c r="AF572" s="252"/>
      <c r="AG572" s="252"/>
      <c r="AH572" s="252"/>
      <c r="AI572" s="252"/>
      <c r="AJ572" s="252"/>
      <c r="AK572" s="252"/>
      <c r="AL572" s="252"/>
      <c r="AM572" s="252"/>
      <c r="AN572" s="252"/>
      <c r="AO572" s="252"/>
      <c r="AP572" s="252"/>
      <c r="AQ572" s="252"/>
      <c r="AR572" s="252"/>
      <c r="AS572" s="252"/>
      <c r="AT572" s="252"/>
      <c r="AU572" s="195"/>
      <c r="AV572" s="195"/>
      <c r="AW572" s="195"/>
      <c r="AX572" s="195"/>
      <c r="AY572" s="195"/>
      <c r="AZ572" s="195"/>
      <c r="BA572" s="195"/>
      <c r="BB572" s="195"/>
      <c r="BC572" s="195"/>
      <c r="BD572" s="195"/>
      <c r="BE572" s="195"/>
      <c r="BF572" s="195"/>
      <c r="BG572" s="195"/>
      <c r="BH572" s="195"/>
      <c r="BI572" s="195"/>
      <c r="BJ572" s="195"/>
      <c r="BK572" s="195"/>
      <c r="BL572" s="195"/>
      <c r="BM572" s="195"/>
      <c r="BN572" s="195"/>
      <c r="BO572" s="195"/>
      <c r="BP572" s="195"/>
      <c r="BQ572" s="195"/>
      <c r="BR572" s="195"/>
      <c r="BS572" s="195"/>
      <c r="BT572" s="195"/>
      <c r="BU572" s="195"/>
      <c r="BV572" s="195"/>
      <c r="BW572" s="195"/>
      <c r="BX572" s="195"/>
      <c r="BY572" s="195"/>
      <c r="BZ572" s="195"/>
      <c r="CA572" s="195"/>
      <c r="CB572" s="195"/>
      <c r="CC572" s="195"/>
      <c r="CD572" s="195"/>
      <c r="CE572" s="195"/>
      <c r="CF572" s="195"/>
      <c r="CG572" s="256"/>
    </row>
    <row r="573" spans="1:85" s="254" customFormat="1" ht="13.9" customHeight="1" x14ac:dyDescent="0.2">
      <c r="A573" s="255" t="s">
        <v>158</v>
      </c>
      <c r="B573" s="187">
        <v>71</v>
      </c>
      <c r="C573" s="248" t="s">
        <v>622</v>
      </c>
      <c r="D573" s="197" t="s">
        <v>159</v>
      </c>
      <c r="E573" s="199"/>
      <c r="F573" s="199">
        <v>305440000</v>
      </c>
      <c r="G573" s="199"/>
      <c r="H573" s="197" t="s">
        <v>794</v>
      </c>
      <c r="I573" s="248" t="s">
        <v>777</v>
      </c>
      <c r="J573" s="187">
        <v>1</v>
      </c>
      <c r="K573" s="187">
        <v>1</v>
      </c>
      <c r="L573" s="187">
        <v>12</v>
      </c>
      <c r="M573" s="172">
        <f t="shared" si="92"/>
        <v>1</v>
      </c>
      <c r="N573" s="180" t="s">
        <v>36</v>
      </c>
      <c r="O573" s="181" t="str">
        <f>IF(ISBLANK(N573),"",VLOOKUP(N573,[17]Parámetros!$G$2:$H$23,2,FALSE))</f>
        <v xml:space="preserve">Contratación directa (con ofertas) </v>
      </c>
      <c r="P573" s="249">
        <f t="shared" si="102"/>
        <v>1</v>
      </c>
      <c r="Q573" s="183">
        <f t="shared" si="93"/>
        <v>305440000</v>
      </c>
      <c r="R573" s="183">
        <f t="shared" si="94"/>
        <v>305440000</v>
      </c>
      <c r="S573" s="250" t="s">
        <v>223</v>
      </c>
      <c r="T573" s="249">
        <f t="shared" si="99"/>
        <v>0</v>
      </c>
      <c r="U573" s="185" t="str">
        <f t="shared" si="95"/>
        <v>SUBDIRECCION DE GESTION CONTRACTUAL</v>
      </c>
      <c r="V573" s="249" t="str">
        <f t="shared" si="100"/>
        <v>CO-DC</v>
      </c>
      <c r="W573" s="249" t="str">
        <f t="shared" si="101"/>
        <v>Distrito Capital de Bogotá</v>
      </c>
      <c r="X573" s="197" t="s">
        <v>591</v>
      </c>
      <c r="Y573" s="187">
        <v>2427400</v>
      </c>
      <c r="Z573" s="201" t="s">
        <v>160</v>
      </c>
      <c r="AA573" s="252"/>
      <c r="AB573" s="252"/>
      <c r="AC573" s="252"/>
      <c r="AD573" s="252"/>
      <c r="AE573" s="252"/>
      <c r="AF573" s="252"/>
      <c r="AG573" s="252"/>
      <c r="AH573" s="252"/>
      <c r="AI573" s="252"/>
      <c r="AJ573" s="252"/>
      <c r="AK573" s="252"/>
      <c r="AL573" s="252"/>
      <c r="AM573" s="252"/>
      <c r="AN573" s="252"/>
      <c r="AO573" s="252"/>
      <c r="AP573" s="252"/>
      <c r="AQ573" s="252"/>
      <c r="AR573" s="252"/>
      <c r="AS573" s="252"/>
      <c r="AT573" s="252"/>
      <c r="AU573" s="195"/>
      <c r="AV573" s="195"/>
      <c r="AW573" s="195"/>
      <c r="AX573" s="195"/>
      <c r="AY573" s="195"/>
      <c r="AZ573" s="195"/>
      <c r="BA573" s="195"/>
      <c r="BB573" s="195"/>
      <c r="BC573" s="195"/>
      <c r="BD573" s="195"/>
      <c r="BE573" s="195"/>
      <c r="BF573" s="195"/>
      <c r="BG573" s="195"/>
      <c r="BH573" s="195"/>
      <c r="BI573" s="195"/>
      <c r="BJ573" s="195"/>
      <c r="BK573" s="195"/>
      <c r="BL573" s="195"/>
      <c r="BM573" s="195"/>
      <c r="BN573" s="195"/>
      <c r="BO573" s="195"/>
      <c r="BP573" s="195"/>
      <c r="BQ573" s="195"/>
      <c r="BR573" s="195"/>
      <c r="BS573" s="195"/>
      <c r="BT573" s="195"/>
      <c r="BU573" s="195"/>
      <c r="BV573" s="195"/>
      <c r="BW573" s="195"/>
      <c r="BX573" s="195"/>
      <c r="BY573" s="195"/>
      <c r="BZ573" s="195"/>
      <c r="CA573" s="195"/>
      <c r="CB573" s="195"/>
      <c r="CC573" s="195"/>
      <c r="CD573" s="195"/>
      <c r="CE573" s="195"/>
      <c r="CF573" s="195"/>
      <c r="CG573" s="256"/>
    </row>
    <row r="574" spans="1:85" s="254" customFormat="1" ht="13.9" customHeight="1" x14ac:dyDescent="0.2">
      <c r="A574" s="255" t="s">
        <v>158</v>
      </c>
      <c r="B574" s="187">
        <v>72</v>
      </c>
      <c r="C574" s="248" t="s">
        <v>622</v>
      </c>
      <c r="D574" s="197" t="s">
        <v>159</v>
      </c>
      <c r="E574" s="199"/>
      <c r="F574" s="199">
        <v>250000000</v>
      </c>
      <c r="G574" s="199"/>
      <c r="H574" s="197" t="s">
        <v>794</v>
      </c>
      <c r="I574" s="248" t="s">
        <v>778</v>
      </c>
      <c r="J574" s="187">
        <v>1</v>
      </c>
      <c r="K574" s="187">
        <v>1</v>
      </c>
      <c r="L574" s="187">
        <v>12</v>
      </c>
      <c r="M574" s="172">
        <f t="shared" si="92"/>
        <v>1</v>
      </c>
      <c r="N574" s="180" t="s">
        <v>36</v>
      </c>
      <c r="O574" s="181" t="str">
        <f>IF(ISBLANK(N574),"",VLOOKUP(N574,[17]Parámetros!$G$2:$H$23,2,FALSE))</f>
        <v xml:space="preserve">Contratación directa (con ofertas) </v>
      </c>
      <c r="P574" s="249">
        <f t="shared" si="102"/>
        <v>1</v>
      </c>
      <c r="Q574" s="183">
        <f t="shared" si="93"/>
        <v>250000000</v>
      </c>
      <c r="R574" s="183">
        <f t="shared" si="94"/>
        <v>250000000</v>
      </c>
      <c r="S574" s="250" t="s">
        <v>223</v>
      </c>
      <c r="T574" s="249">
        <f t="shared" si="99"/>
        <v>0</v>
      </c>
      <c r="U574" s="185" t="str">
        <f t="shared" si="95"/>
        <v>SUBDIRECCION DE GESTION CONTRACTUAL</v>
      </c>
      <c r="V574" s="249" t="str">
        <f t="shared" si="100"/>
        <v>CO-DC</v>
      </c>
      <c r="W574" s="249" t="str">
        <f t="shared" si="101"/>
        <v>Distrito Capital de Bogotá</v>
      </c>
      <c r="X574" s="197" t="s">
        <v>591</v>
      </c>
      <c r="Y574" s="187">
        <v>2427400</v>
      </c>
      <c r="Z574" s="201" t="s">
        <v>160</v>
      </c>
      <c r="AA574" s="252"/>
      <c r="AB574" s="252"/>
      <c r="AC574" s="252"/>
      <c r="AD574" s="252"/>
      <c r="AE574" s="252"/>
      <c r="AF574" s="252"/>
      <c r="AG574" s="252"/>
      <c r="AH574" s="252"/>
      <c r="AI574" s="252"/>
      <c r="AJ574" s="252"/>
      <c r="AK574" s="252"/>
      <c r="AL574" s="252"/>
      <c r="AM574" s="252"/>
      <c r="AN574" s="252"/>
      <c r="AO574" s="252"/>
      <c r="AP574" s="252"/>
      <c r="AQ574" s="252"/>
      <c r="AR574" s="252"/>
      <c r="AS574" s="252"/>
      <c r="AT574" s="252"/>
      <c r="AU574" s="195"/>
      <c r="AV574" s="195"/>
      <c r="AW574" s="195"/>
      <c r="AX574" s="195"/>
      <c r="AY574" s="195"/>
      <c r="AZ574" s="195"/>
      <c r="BA574" s="195"/>
      <c r="BB574" s="195"/>
      <c r="BC574" s="195"/>
      <c r="BD574" s="195"/>
      <c r="BE574" s="195"/>
      <c r="BF574" s="195"/>
      <c r="BG574" s="195"/>
      <c r="BH574" s="195"/>
      <c r="BI574" s="195"/>
      <c r="BJ574" s="195"/>
      <c r="BK574" s="195"/>
      <c r="BL574" s="195"/>
      <c r="BM574" s="195"/>
      <c r="BN574" s="195"/>
      <c r="BO574" s="195"/>
      <c r="BP574" s="195"/>
      <c r="BQ574" s="195"/>
      <c r="BR574" s="195"/>
      <c r="BS574" s="195"/>
      <c r="BT574" s="195"/>
      <c r="BU574" s="195"/>
      <c r="BV574" s="195"/>
      <c r="BW574" s="195"/>
      <c r="BX574" s="195"/>
      <c r="BY574" s="195"/>
      <c r="BZ574" s="195"/>
      <c r="CA574" s="195"/>
      <c r="CB574" s="195"/>
      <c r="CC574" s="195"/>
      <c r="CD574" s="195"/>
      <c r="CE574" s="195"/>
      <c r="CF574" s="195"/>
      <c r="CG574" s="256"/>
    </row>
    <row r="575" spans="1:85" s="254" customFormat="1" ht="13.9" customHeight="1" x14ac:dyDescent="0.2">
      <c r="A575" s="255" t="s">
        <v>158</v>
      </c>
      <c r="B575" s="187">
        <v>73</v>
      </c>
      <c r="C575" s="248" t="s">
        <v>622</v>
      </c>
      <c r="D575" s="197" t="s">
        <v>159</v>
      </c>
      <c r="E575" s="199"/>
      <c r="F575" s="199">
        <v>250000000</v>
      </c>
      <c r="G575" s="199"/>
      <c r="H575" s="197" t="s">
        <v>794</v>
      </c>
      <c r="I575" s="248" t="s">
        <v>779</v>
      </c>
      <c r="J575" s="187">
        <v>1</v>
      </c>
      <c r="K575" s="187">
        <v>1</v>
      </c>
      <c r="L575" s="187">
        <v>12</v>
      </c>
      <c r="M575" s="172">
        <f t="shared" si="92"/>
        <v>1</v>
      </c>
      <c r="N575" s="180" t="s">
        <v>36</v>
      </c>
      <c r="O575" s="181" t="str">
        <f>IF(ISBLANK(N575),"",VLOOKUP(N575,[17]Parámetros!$G$2:$H$23,2,FALSE))</f>
        <v xml:space="preserve">Contratación directa (con ofertas) </v>
      </c>
      <c r="P575" s="249">
        <f t="shared" si="102"/>
        <v>1</v>
      </c>
      <c r="Q575" s="183">
        <f t="shared" si="93"/>
        <v>250000000</v>
      </c>
      <c r="R575" s="183">
        <f t="shared" si="94"/>
        <v>250000000</v>
      </c>
      <c r="S575" s="250" t="s">
        <v>223</v>
      </c>
      <c r="T575" s="249">
        <f t="shared" si="99"/>
        <v>0</v>
      </c>
      <c r="U575" s="185" t="str">
        <f t="shared" si="95"/>
        <v>SUBDIRECCION DE GESTION CONTRACTUAL</v>
      </c>
      <c r="V575" s="249" t="str">
        <f t="shared" si="100"/>
        <v>CO-DC</v>
      </c>
      <c r="W575" s="249" t="str">
        <f t="shared" si="101"/>
        <v>Distrito Capital de Bogotá</v>
      </c>
      <c r="X575" s="197" t="s">
        <v>591</v>
      </c>
      <c r="Y575" s="187">
        <v>2427400</v>
      </c>
      <c r="Z575" s="201" t="s">
        <v>160</v>
      </c>
      <c r="AA575" s="252"/>
      <c r="AB575" s="252"/>
      <c r="AC575" s="252"/>
      <c r="AD575" s="252"/>
      <c r="AE575" s="252"/>
      <c r="AF575" s="252"/>
      <c r="AG575" s="252"/>
      <c r="AH575" s="252"/>
      <c r="AI575" s="252"/>
      <c r="AJ575" s="252"/>
      <c r="AK575" s="252"/>
      <c r="AL575" s="252"/>
      <c r="AM575" s="252"/>
      <c r="AN575" s="252"/>
      <c r="AO575" s="252"/>
      <c r="AP575" s="252"/>
      <c r="AQ575" s="252"/>
      <c r="AR575" s="252"/>
      <c r="AS575" s="252"/>
      <c r="AT575" s="252"/>
      <c r="AU575" s="195"/>
      <c r="AV575" s="195"/>
      <c r="AW575" s="195"/>
      <c r="AX575" s="195"/>
      <c r="AY575" s="195"/>
      <c r="AZ575" s="195"/>
      <c r="BA575" s="195"/>
      <c r="BB575" s="195"/>
      <c r="BC575" s="195"/>
      <c r="BD575" s="195"/>
      <c r="BE575" s="195"/>
      <c r="BF575" s="195"/>
      <c r="BG575" s="195"/>
      <c r="BH575" s="195"/>
      <c r="BI575" s="195"/>
      <c r="BJ575" s="195"/>
      <c r="BK575" s="195"/>
      <c r="BL575" s="195"/>
      <c r="BM575" s="195"/>
      <c r="BN575" s="195"/>
      <c r="BO575" s="195"/>
      <c r="BP575" s="195"/>
      <c r="BQ575" s="195"/>
      <c r="BR575" s="195"/>
      <c r="BS575" s="195"/>
      <c r="BT575" s="195"/>
      <c r="BU575" s="195"/>
      <c r="BV575" s="195"/>
      <c r="BW575" s="195"/>
      <c r="BX575" s="195"/>
      <c r="BY575" s="195"/>
      <c r="BZ575" s="195"/>
      <c r="CA575" s="195"/>
      <c r="CB575" s="195"/>
      <c r="CC575" s="195"/>
      <c r="CD575" s="195"/>
      <c r="CE575" s="195"/>
      <c r="CF575" s="195"/>
      <c r="CG575" s="256"/>
    </row>
    <row r="576" spans="1:85" s="254" customFormat="1" ht="13.9" customHeight="1" x14ac:dyDescent="0.2">
      <c r="A576" s="255" t="s">
        <v>158</v>
      </c>
      <c r="B576" s="187">
        <v>74</v>
      </c>
      <c r="C576" s="248" t="s">
        <v>622</v>
      </c>
      <c r="D576" s="197" t="s">
        <v>159</v>
      </c>
      <c r="E576" s="199"/>
      <c r="F576" s="199">
        <v>700000000</v>
      </c>
      <c r="G576" s="199"/>
      <c r="H576" s="197" t="s">
        <v>794</v>
      </c>
      <c r="I576" s="248" t="s">
        <v>781</v>
      </c>
      <c r="J576" s="187">
        <v>1</v>
      </c>
      <c r="K576" s="187">
        <v>1</v>
      </c>
      <c r="L576" s="187">
        <v>12</v>
      </c>
      <c r="M576" s="172">
        <f t="shared" si="92"/>
        <v>1</v>
      </c>
      <c r="N576" s="180" t="s">
        <v>36</v>
      </c>
      <c r="O576" s="181" t="str">
        <f>IF(ISBLANK(N576),"",VLOOKUP(N576,[17]Parámetros!$G$2:$H$23,2,FALSE))</f>
        <v xml:space="preserve">Contratación directa (con ofertas) </v>
      </c>
      <c r="P576" s="249">
        <f t="shared" si="102"/>
        <v>1</v>
      </c>
      <c r="Q576" s="183">
        <f t="shared" si="93"/>
        <v>700000000</v>
      </c>
      <c r="R576" s="183">
        <f t="shared" si="94"/>
        <v>700000000</v>
      </c>
      <c r="S576" s="250" t="s">
        <v>223</v>
      </c>
      <c r="T576" s="249">
        <f t="shared" si="99"/>
        <v>0</v>
      </c>
      <c r="U576" s="185" t="str">
        <f t="shared" si="95"/>
        <v>SUBDIRECCION DE GESTION CONTRACTUAL</v>
      </c>
      <c r="V576" s="249" t="str">
        <f t="shared" si="100"/>
        <v>CO-DC</v>
      </c>
      <c r="W576" s="249" t="str">
        <f t="shared" si="101"/>
        <v>Distrito Capital de Bogotá</v>
      </c>
      <c r="X576" s="197" t="s">
        <v>591</v>
      </c>
      <c r="Y576" s="187">
        <v>2427400</v>
      </c>
      <c r="Z576" s="201" t="s">
        <v>160</v>
      </c>
      <c r="AA576" s="252"/>
      <c r="AB576" s="252"/>
      <c r="AC576" s="252"/>
      <c r="AD576" s="252"/>
      <c r="AE576" s="252"/>
      <c r="AF576" s="252"/>
      <c r="AG576" s="252"/>
      <c r="AH576" s="252"/>
      <c r="AI576" s="252"/>
      <c r="AJ576" s="252"/>
      <c r="AK576" s="252"/>
      <c r="AL576" s="252"/>
      <c r="AM576" s="252"/>
      <c r="AN576" s="252"/>
      <c r="AO576" s="252"/>
      <c r="AP576" s="252"/>
      <c r="AQ576" s="252"/>
      <c r="AR576" s="252"/>
      <c r="AS576" s="252"/>
      <c r="AT576" s="252"/>
      <c r="AU576" s="195"/>
      <c r="AV576" s="195"/>
      <c r="AW576" s="195"/>
      <c r="AX576" s="195"/>
      <c r="AY576" s="195"/>
      <c r="AZ576" s="195"/>
      <c r="BA576" s="195"/>
      <c r="BB576" s="195"/>
      <c r="BC576" s="195"/>
      <c r="BD576" s="195"/>
      <c r="BE576" s="195"/>
      <c r="BF576" s="195"/>
      <c r="BG576" s="195"/>
      <c r="BH576" s="195"/>
      <c r="BI576" s="195"/>
      <c r="BJ576" s="195"/>
      <c r="BK576" s="195"/>
      <c r="BL576" s="195"/>
      <c r="BM576" s="195"/>
      <c r="BN576" s="195"/>
      <c r="BO576" s="195"/>
      <c r="BP576" s="195"/>
      <c r="BQ576" s="195"/>
      <c r="BR576" s="195"/>
      <c r="BS576" s="195"/>
      <c r="BT576" s="195"/>
      <c r="BU576" s="195"/>
      <c r="BV576" s="195"/>
      <c r="BW576" s="195"/>
      <c r="BX576" s="195"/>
      <c r="BY576" s="195"/>
      <c r="BZ576" s="195"/>
      <c r="CA576" s="195"/>
      <c r="CB576" s="195"/>
      <c r="CC576" s="195"/>
      <c r="CD576" s="195"/>
      <c r="CE576" s="195"/>
      <c r="CF576" s="195"/>
      <c r="CG576" s="256"/>
    </row>
    <row r="577" spans="1:85" s="254" customFormat="1" ht="13.9" customHeight="1" x14ac:dyDescent="0.2">
      <c r="A577" s="255" t="s">
        <v>158</v>
      </c>
      <c r="B577" s="187">
        <v>75</v>
      </c>
      <c r="C577" s="248" t="s">
        <v>622</v>
      </c>
      <c r="D577" s="197" t="s">
        <v>159</v>
      </c>
      <c r="E577" s="199"/>
      <c r="F577" s="199">
        <v>250000000</v>
      </c>
      <c r="G577" s="199"/>
      <c r="H577" s="197" t="s">
        <v>794</v>
      </c>
      <c r="I577" s="248" t="s">
        <v>780</v>
      </c>
      <c r="J577" s="187">
        <v>1</v>
      </c>
      <c r="K577" s="187">
        <v>1</v>
      </c>
      <c r="L577" s="187">
        <v>12</v>
      </c>
      <c r="M577" s="172">
        <f t="shared" si="92"/>
        <v>1</v>
      </c>
      <c r="N577" s="180" t="s">
        <v>36</v>
      </c>
      <c r="O577" s="181" t="str">
        <f>IF(ISBLANK(N577),"",VLOOKUP(N577,[17]Parámetros!$G$2:$H$23,2,FALSE))</f>
        <v xml:space="preserve">Contratación directa (con ofertas) </v>
      </c>
      <c r="P577" s="249">
        <f t="shared" si="102"/>
        <v>1</v>
      </c>
      <c r="Q577" s="183">
        <f t="shared" si="93"/>
        <v>250000000</v>
      </c>
      <c r="R577" s="183">
        <f t="shared" si="94"/>
        <v>250000000</v>
      </c>
      <c r="S577" s="250" t="s">
        <v>223</v>
      </c>
      <c r="T577" s="249">
        <f t="shared" si="99"/>
        <v>0</v>
      </c>
      <c r="U577" s="185" t="str">
        <f t="shared" si="95"/>
        <v>SUBDIRECCION DE GESTION CONTRACTUAL</v>
      </c>
      <c r="V577" s="249" t="str">
        <f t="shared" si="100"/>
        <v>CO-DC</v>
      </c>
      <c r="W577" s="249" t="str">
        <f t="shared" si="101"/>
        <v>Distrito Capital de Bogotá</v>
      </c>
      <c r="X577" s="197" t="s">
        <v>591</v>
      </c>
      <c r="Y577" s="187">
        <v>2427400</v>
      </c>
      <c r="Z577" s="201" t="s">
        <v>160</v>
      </c>
      <c r="AA577" s="252"/>
      <c r="AB577" s="252"/>
      <c r="AC577" s="252"/>
      <c r="AD577" s="252"/>
      <c r="AE577" s="252"/>
      <c r="AF577" s="252"/>
      <c r="AG577" s="252"/>
      <c r="AH577" s="252"/>
      <c r="AI577" s="252"/>
      <c r="AJ577" s="252"/>
      <c r="AK577" s="252"/>
      <c r="AL577" s="252"/>
      <c r="AM577" s="252"/>
      <c r="AN577" s="252"/>
      <c r="AO577" s="252"/>
      <c r="AP577" s="252"/>
      <c r="AQ577" s="252"/>
      <c r="AR577" s="252"/>
      <c r="AS577" s="252"/>
      <c r="AT577" s="252"/>
      <c r="AU577" s="195"/>
      <c r="AV577" s="195"/>
      <c r="AW577" s="195"/>
      <c r="AX577" s="195"/>
      <c r="AY577" s="195"/>
      <c r="AZ577" s="195"/>
      <c r="BA577" s="195"/>
      <c r="BB577" s="195"/>
      <c r="BC577" s="195"/>
      <c r="BD577" s="195"/>
      <c r="BE577" s="195"/>
      <c r="BF577" s="195"/>
      <c r="BG577" s="195"/>
      <c r="BH577" s="195"/>
      <c r="BI577" s="195"/>
      <c r="BJ577" s="195"/>
      <c r="BK577" s="195"/>
      <c r="BL577" s="195"/>
      <c r="BM577" s="195"/>
      <c r="BN577" s="195"/>
      <c r="BO577" s="195"/>
      <c r="BP577" s="195"/>
      <c r="BQ577" s="195"/>
      <c r="BR577" s="195"/>
      <c r="BS577" s="195"/>
      <c r="BT577" s="195"/>
      <c r="BU577" s="195"/>
      <c r="BV577" s="195"/>
      <c r="BW577" s="195"/>
      <c r="BX577" s="195"/>
      <c r="BY577" s="195"/>
      <c r="BZ577" s="195"/>
      <c r="CA577" s="195"/>
      <c r="CB577" s="195"/>
      <c r="CC577" s="195"/>
      <c r="CD577" s="195"/>
      <c r="CE577" s="195"/>
      <c r="CF577" s="195"/>
      <c r="CG577" s="256"/>
    </row>
    <row r="578" spans="1:85" s="254" customFormat="1" ht="13.9" customHeight="1" x14ac:dyDescent="0.2">
      <c r="A578" s="255" t="s">
        <v>158</v>
      </c>
      <c r="B578" s="187">
        <v>76</v>
      </c>
      <c r="C578" s="248" t="s">
        <v>622</v>
      </c>
      <c r="D578" s="197" t="s">
        <v>159</v>
      </c>
      <c r="E578" s="199"/>
      <c r="F578" s="199">
        <v>205000000</v>
      </c>
      <c r="G578" s="199"/>
      <c r="H578" s="197" t="s">
        <v>794</v>
      </c>
      <c r="I578" s="248" t="s">
        <v>782</v>
      </c>
      <c r="J578" s="187">
        <v>1</v>
      </c>
      <c r="K578" s="187">
        <v>1</v>
      </c>
      <c r="L578" s="187">
        <v>12</v>
      </c>
      <c r="M578" s="172">
        <f t="shared" si="92"/>
        <v>1</v>
      </c>
      <c r="N578" s="180" t="s">
        <v>36</v>
      </c>
      <c r="O578" s="181" t="str">
        <f>IF(ISBLANK(N578),"",VLOOKUP(N578,[17]Parámetros!$G$2:$H$23,2,FALSE))</f>
        <v xml:space="preserve">Contratación directa (con ofertas) </v>
      </c>
      <c r="P578" s="249">
        <f t="shared" si="102"/>
        <v>1</v>
      </c>
      <c r="Q578" s="183">
        <f t="shared" si="93"/>
        <v>205000000</v>
      </c>
      <c r="R578" s="183">
        <f t="shared" si="94"/>
        <v>205000000</v>
      </c>
      <c r="S578" s="250" t="s">
        <v>223</v>
      </c>
      <c r="T578" s="249">
        <f t="shared" ref="T578:T609" si="103">IF(ISBLANK(S578),"",IF(VALUE(S578)=0,0,IF(VALUE(S578)=1,3,"")))</f>
        <v>0</v>
      </c>
      <c r="U578" s="185" t="str">
        <f t="shared" si="95"/>
        <v>SUBDIRECCION DE GESTION CONTRACTUAL</v>
      </c>
      <c r="V578" s="249" t="str">
        <f t="shared" si="100"/>
        <v>CO-DC</v>
      </c>
      <c r="W578" s="249" t="str">
        <f t="shared" si="101"/>
        <v>Distrito Capital de Bogotá</v>
      </c>
      <c r="X578" s="197" t="s">
        <v>591</v>
      </c>
      <c r="Y578" s="187">
        <v>2427400</v>
      </c>
      <c r="Z578" s="201" t="s">
        <v>160</v>
      </c>
      <c r="AA578" s="252"/>
      <c r="AB578" s="252"/>
      <c r="AC578" s="252"/>
      <c r="AD578" s="252"/>
      <c r="AE578" s="252"/>
      <c r="AF578" s="252"/>
      <c r="AG578" s="252"/>
      <c r="AH578" s="252"/>
      <c r="AI578" s="252"/>
      <c r="AJ578" s="252"/>
      <c r="AK578" s="252"/>
      <c r="AL578" s="252"/>
      <c r="AM578" s="252"/>
      <c r="AN578" s="252"/>
      <c r="AO578" s="252"/>
      <c r="AP578" s="252"/>
      <c r="AQ578" s="252"/>
      <c r="AR578" s="252"/>
      <c r="AS578" s="252"/>
      <c r="AT578" s="252"/>
      <c r="AU578" s="195"/>
      <c r="AV578" s="195"/>
      <c r="AW578" s="195"/>
      <c r="AX578" s="195"/>
      <c r="AY578" s="195"/>
      <c r="AZ578" s="195"/>
      <c r="BA578" s="195"/>
      <c r="BB578" s="195"/>
      <c r="BC578" s="195"/>
      <c r="BD578" s="195"/>
      <c r="BE578" s="195"/>
      <c r="BF578" s="195"/>
      <c r="BG578" s="195"/>
      <c r="BH578" s="195"/>
      <c r="BI578" s="195"/>
      <c r="BJ578" s="195"/>
      <c r="BK578" s="195"/>
      <c r="BL578" s="195"/>
      <c r="BM578" s="195"/>
      <c r="BN578" s="195"/>
      <c r="BO578" s="195"/>
      <c r="BP578" s="195"/>
      <c r="BQ578" s="195"/>
      <c r="BR578" s="195"/>
      <c r="BS578" s="195"/>
      <c r="BT578" s="195"/>
      <c r="BU578" s="195"/>
      <c r="BV578" s="195"/>
      <c r="BW578" s="195"/>
      <c r="BX578" s="195"/>
      <c r="BY578" s="195"/>
      <c r="BZ578" s="195"/>
      <c r="CA578" s="195"/>
      <c r="CB578" s="195"/>
      <c r="CC578" s="195"/>
      <c r="CD578" s="195"/>
      <c r="CE578" s="195"/>
      <c r="CF578" s="195"/>
      <c r="CG578" s="256"/>
    </row>
    <row r="579" spans="1:85" s="254" customFormat="1" ht="13.9" customHeight="1" x14ac:dyDescent="0.2">
      <c r="A579" s="255" t="s">
        <v>158</v>
      </c>
      <c r="B579" s="187">
        <v>77</v>
      </c>
      <c r="C579" s="248" t="s">
        <v>622</v>
      </c>
      <c r="D579" s="197" t="s">
        <v>159</v>
      </c>
      <c r="E579" s="199"/>
      <c r="F579" s="199">
        <v>250000000</v>
      </c>
      <c r="G579" s="199"/>
      <c r="H579" s="197" t="s">
        <v>794</v>
      </c>
      <c r="I579" s="248" t="s">
        <v>733</v>
      </c>
      <c r="J579" s="187">
        <v>1</v>
      </c>
      <c r="K579" s="187">
        <v>1</v>
      </c>
      <c r="L579" s="187">
        <v>12</v>
      </c>
      <c r="M579" s="172">
        <f t="shared" si="92"/>
        <v>1</v>
      </c>
      <c r="N579" s="180" t="s">
        <v>36</v>
      </c>
      <c r="O579" s="181" t="str">
        <f>IF(ISBLANK(N579),"",VLOOKUP(N579,[17]Parámetros!$G$2:$H$23,2,FALSE))</f>
        <v xml:space="preserve">Contratación directa (con ofertas) </v>
      </c>
      <c r="P579" s="249">
        <f t="shared" si="102"/>
        <v>1</v>
      </c>
      <c r="Q579" s="183">
        <f t="shared" si="93"/>
        <v>250000000</v>
      </c>
      <c r="R579" s="183">
        <f t="shared" si="94"/>
        <v>250000000</v>
      </c>
      <c r="S579" s="250" t="s">
        <v>223</v>
      </c>
      <c r="T579" s="249">
        <f t="shared" si="103"/>
        <v>0</v>
      </c>
      <c r="U579" s="185" t="str">
        <f t="shared" si="95"/>
        <v>SUBDIRECCION DE GESTION CONTRACTUAL</v>
      </c>
      <c r="V579" s="249" t="str">
        <f t="shared" si="100"/>
        <v>CO-DC</v>
      </c>
      <c r="W579" s="249" t="str">
        <f t="shared" si="101"/>
        <v>Distrito Capital de Bogotá</v>
      </c>
      <c r="X579" s="197" t="s">
        <v>591</v>
      </c>
      <c r="Y579" s="187">
        <v>2427400</v>
      </c>
      <c r="Z579" s="201" t="s">
        <v>160</v>
      </c>
      <c r="AA579" s="252"/>
      <c r="AB579" s="252"/>
      <c r="AC579" s="252"/>
      <c r="AD579" s="252"/>
      <c r="AE579" s="252"/>
      <c r="AF579" s="252"/>
      <c r="AG579" s="252"/>
      <c r="AH579" s="252"/>
      <c r="AI579" s="252"/>
      <c r="AJ579" s="252"/>
      <c r="AK579" s="252"/>
      <c r="AL579" s="252"/>
      <c r="AM579" s="252"/>
      <c r="AN579" s="252"/>
      <c r="AO579" s="252"/>
      <c r="AP579" s="252"/>
      <c r="AQ579" s="252"/>
      <c r="AR579" s="252"/>
      <c r="AS579" s="252"/>
      <c r="AT579" s="252"/>
      <c r="AU579" s="195"/>
      <c r="AV579" s="195"/>
      <c r="AW579" s="195"/>
      <c r="AX579" s="195"/>
      <c r="AY579" s="195"/>
      <c r="AZ579" s="195"/>
      <c r="BA579" s="195"/>
      <c r="BB579" s="195"/>
      <c r="BC579" s="195"/>
      <c r="BD579" s="195"/>
      <c r="BE579" s="195"/>
      <c r="BF579" s="195"/>
      <c r="BG579" s="195"/>
      <c r="BH579" s="195"/>
      <c r="BI579" s="195"/>
      <c r="BJ579" s="195"/>
      <c r="BK579" s="195"/>
      <c r="BL579" s="195"/>
      <c r="BM579" s="195"/>
      <c r="BN579" s="195"/>
      <c r="BO579" s="195"/>
      <c r="BP579" s="195"/>
      <c r="BQ579" s="195"/>
      <c r="BR579" s="195"/>
      <c r="BS579" s="195"/>
      <c r="BT579" s="195"/>
      <c r="BU579" s="195"/>
      <c r="BV579" s="195"/>
      <c r="BW579" s="195"/>
      <c r="BX579" s="195"/>
      <c r="BY579" s="195"/>
      <c r="BZ579" s="195"/>
      <c r="CA579" s="195"/>
      <c r="CB579" s="195"/>
      <c r="CC579" s="195"/>
      <c r="CD579" s="195"/>
      <c r="CE579" s="195"/>
      <c r="CF579" s="195"/>
      <c r="CG579" s="256"/>
    </row>
    <row r="580" spans="1:85" s="254" customFormat="1" ht="13.9" customHeight="1" x14ac:dyDescent="0.2">
      <c r="A580" s="255" t="s">
        <v>158</v>
      </c>
      <c r="B580" s="187">
        <v>78</v>
      </c>
      <c r="C580" s="248" t="s">
        <v>622</v>
      </c>
      <c r="D580" s="197" t="s">
        <v>159</v>
      </c>
      <c r="E580" s="199"/>
      <c r="F580" s="199">
        <v>140000000</v>
      </c>
      <c r="G580" s="199"/>
      <c r="H580" s="197" t="s">
        <v>794</v>
      </c>
      <c r="I580" s="248" t="s">
        <v>732</v>
      </c>
      <c r="J580" s="187">
        <v>1</v>
      </c>
      <c r="K580" s="187">
        <v>1</v>
      </c>
      <c r="L580" s="187">
        <v>12</v>
      </c>
      <c r="M580" s="172">
        <f t="shared" si="92"/>
        <v>1</v>
      </c>
      <c r="N580" s="180" t="s">
        <v>36</v>
      </c>
      <c r="O580" s="181" t="str">
        <f>IF(ISBLANK(N580),"",VLOOKUP(N580,[17]Parámetros!$G$2:$H$23,2,FALSE))</f>
        <v xml:space="preserve">Contratación directa (con ofertas) </v>
      </c>
      <c r="P580" s="249">
        <f t="shared" si="102"/>
        <v>1</v>
      </c>
      <c r="Q580" s="183">
        <f t="shared" si="93"/>
        <v>140000000</v>
      </c>
      <c r="R580" s="183">
        <f t="shared" si="94"/>
        <v>140000000</v>
      </c>
      <c r="S580" s="250" t="s">
        <v>223</v>
      </c>
      <c r="T580" s="249">
        <f t="shared" si="103"/>
        <v>0</v>
      </c>
      <c r="U580" s="185" t="str">
        <f t="shared" si="95"/>
        <v>SUBDIRECCION DE GESTION CONTRACTUAL</v>
      </c>
      <c r="V580" s="249" t="str">
        <f t="shared" si="100"/>
        <v>CO-DC</v>
      </c>
      <c r="W580" s="249" t="str">
        <f t="shared" si="101"/>
        <v>Distrito Capital de Bogotá</v>
      </c>
      <c r="X580" s="197" t="s">
        <v>591</v>
      </c>
      <c r="Y580" s="187">
        <v>2427400</v>
      </c>
      <c r="Z580" s="201" t="s">
        <v>160</v>
      </c>
      <c r="AA580" s="252"/>
      <c r="AB580" s="252"/>
      <c r="AC580" s="252"/>
      <c r="AD580" s="252"/>
      <c r="AE580" s="252"/>
      <c r="AF580" s="252"/>
      <c r="AG580" s="252"/>
      <c r="AH580" s="252"/>
      <c r="AI580" s="252"/>
      <c r="AJ580" s="252"/>
      <c r="AK580" s="252"/>
      <c r="AL580" s="252"/>
      <c r="AM580" s="252"/>
      <c r="AN580" s="252"/>
      <c r="AO580" s="252"/>
      <c r="AP580" s="252"/>
      <c r="AQ580" s="252"/>
      <c r="AR580" s="252"/>
      <c r="AS580" s="252"/>
      <c r="AT580" s="252"/>
      <c r="AU580" s="195"/>
      <c r="AV580" s="195"/>
      <c r="AW580" s="195"/>
      <c r="AX580" s="195"/>
      <c r="AY580" s="195"/>
      <c r="AZ580" s="195"/>
      <c r="BA580" s="195"/>
      <c r="BB580" s="195"/>
      <c r="BC580" s="195"/>
      <c r="BD580" s="195"/>
      <c r="BE580" s="195"/>
      <c r="BF580" s="195"/>
      <c r="BG580" s="195"/>
      <c r="BH580" s="195"/>
      <c r="BI580" s="195"/>
      <c r="BJ580" s="195"/>
      <c r="BK580" s="195"/>
      <c r="BL580" s="195"/>
      <c r="BM580" s="195"/>
      <c r="BN580" s="195"/>
      <c r="BO580" s="195"/>
      <c r="BP580" s="195"/>
      <c r="BQ580" s="195"/>
      <c r="BR580" s="195"/>
      <c r="BS580" s="195"/>
      <c r="BT580" s="195"/>
      <c r="BU580" s="195"/>
      <c r="BV580" s="195"/>
      <c r="BW580" s="195"/>
      <c r="BX580" s="195"/>
      <c r="BY580" s="195"/>
      <c r="BZ580" s="195"/>
      <c r="CA580" s="195"/>
      <c r="CB580" s="195"/>
      <c r="CC580" s="195"/>
      <c r="CD580" s="195"/>
      <c r="CE580" s="195"/>
      <c r="CF580" s="195"/>
      <c r="CG580" s="256"/>
    </row>
    <row r="581" spans="1:85" s="254" customFormat="1" ht="13.9" customHeight="1" x14ac:dyDescent="0.2">
      <c r="A581" s="255" t="s">
        <v>158</v>
      </c>
      <c r="B581" s="187">
        <v>79</v>
      </c>
      <c r="C581" s="248" t="s">
        <v>622</v>
      </c>
      <c r="D581" s="197" t="s">
        <v>159</v>
      </c>
      <c r="E581" s="199"/>
      <c r="F581" s="199">
        <v>14266808955</v>
      </c>
      <c r="G581" s="199"/>
      <c r="H581" s="197" t="s">
        <v>798</v>
      </c>
      <c r="I581" s="248" t="s">
        <v>731</v>
      </c>
      <c r="J581" s="187">
        <v>1</v>
      </c>
      <c r="K581" s="187">
        <v>1</v>
      </c>
      <c r="L581" s="187">
        <v>12</v>
      </c>
      <c r="M581" s="172">
        <f t="shared" si="92"/>
        <v>1</v>
      </c>
      <c r="N581" s="180" t="s">
        <v>36</v>
      </c>
      <c r="O581" s="181" t="str">
        <f>IF(ISBLANK(N581),"",VLOOKUP(N581,[17]Parámetros!$G$2:$H$23,2,FALSE))</f>
        <v xml:space="preserve">Contratación directa (con ofertas) </v>
      </c>
      <c r="P581" s="249">
        <f t="shared" si="102"/>
        <v>1</v>
      </c>
      <c r="Q581" s="183">
        <f t="shared" si="93"/>
        <v>14266808955</v>
      </c>
      <c r="R581" s="183">
        <f t="shared" si="94"/>
        <v>14266808955</v>
      </c>
      <c r="S581" s="250" t="s">
        <v>223</v>
      </c>
      <c r="T581" s="249">
        <f t="shared" si="103"/>
        <v>0</v>
      </c>
      <c r="U581" s="185" t="str">
        <f t="shared" si="95"/>
        <v>SUBDIRECCION DE GESTION CONTRACTUAL</v>
      </c>
      <c r="V581" s="249" t="str">
        <f t="shared" si="100"/>
        <v>CO-DC</v>
      </c>
      <c r="W581" s="249" t="str">
        <f t="shared" si="101"/>
        <v>Distrito Capital de Bogotá</v>
      </c>
      <c r="X581" s="197" t="s">
        <v>591</v>
      </c>
      <c r="Y581" s="187">
        <v>2427400</v>
      </c>
      <c r="Z581" s="201" t="s">
        <v>160</v>
      </c>
      <c r="AA581" s="252"/>
      <c r="AB581" s="252"/>
      <c r="AC581" s="252"/>
      <c r="AD581" s="252"/>
      <c r="AE581" s="252"/>
      <c r="AF581" s="252"/>
      <c r="AG581" s="252"/>
      <c r="AH581" s="252"/>
      <c r="AI581" s="252"/>
      <c r="AJ581" s="252"/>
      <c r="AK581" s="252"/>
      <c r="AL581" s="252"/>
      <c r="AM581" s="252"/>
      <c r="AN581" s="252"/>
      <c r="AO581" s="252"/>
      <c r="AP581" s="252"/>
      <c r="AQ581" s="252"/>
      <c r="AR581" s="252"/>
      <c r="AS581" s="252"/>
      <c r="AT581" s="252"/>
      <c r="AU581" s="195"/>
      <c r="AV581" s="195"/>
      <c r="AW581" s="195"/>
      <c r="AX581" s="195"/>
      <c r="AY581" s="195"/>
      <c r="AZ581" s="195"/>
      <c r="BA581" s="195"/>
      <c r="BB581" s="195"/>
      <c r="BC581" s="195"/>
      <c r="BD581" s="195"/>
      <c r="BE581" s="195"/>
      <c r="BF581" s="195"/>
      <c r="BG581" s="195"/>
      <c r="BH581" s="195"/>
      <c r="BI581" s="195"/>
      <c r="BJ581" s="195"/>
      <c r="BK581" s="195"/>
      <c r="BL581" s="195"/>
      <c r="BM581" s="195"/>
      <c r="BN581" s="195"/>
      <c r="BO581" s="195"/>
      <c r="BP581" s="195"/>
      <c r="BQ581" s="195"/>
      <c r="BR581" s="195"/>
      <c r="BS581" s="195"/>
      <c r="BT581" s="195"/>
      <c r="BU581" s="195"/>
      <c r="BV581" s="195"/>
      <c r="BW581" s="195"/>
      <c r="BX581" s="195"/>
      <c r="BY581" s="195"/>
      <c r="BZ581" s="195"/>
      <c r="CA581" s="195"/>
      <c r="CB581" s="195"/>
      <c r="CC581" s="195"/>
      <c r="CD581" s="195"/>
      <c r="CE581" s="195"/>
      <c r="CF581" s="195"/>
      <c r="CG581" s="256"/>
    </row>
    <row r="582" spans="1:85" s="254" customFormat="1" ht="13.9" customHeight="1" x14ac:dyDescent="0.2">
      <c r="A582" s="255" t="s">
        <v>158</v>
      </c>
      <c r="B582" s="187">
        <v>80</v>
      </c>
      <c r="C582" s="248" t="s">
        <v>622</v>
      </c>
      <c r="D582" s="197" t="s">
        <v>159</v>
      </c>
      <c r="E582" s="199"/>
      <c r="F582" s="199">
        <v>2038115564</v>
      </c>
      <c r="G582" s="199"/>
      <c r="H582" s="197" t="s">
        <v>798</v>
      </c>
      <c r="I582" s="248" t="s">
        <v>731</v>
      </c>
      <c r="J582" s="187">
        <v>1</v>
      </c>
      <c r="K582" s="187">
        <v>1</v>
      </c>
      <c r="L582" s="187">
        <v>12</v>
      </c>
      <c r="M582" s="172">
        <f t="shared" si="92"/>
        <v>1</v>
      </c>
      <c r="N582" s="180" t="s">
        <v>36</v>
      </c>
      <c r="O582" s="181" t="str">
        <f>IF(ISBLANK(N582),"",VLOOKUP(N582,[17]Parámetros!$G$2:$H$23,2,FALSE))</f>
        <v xml:space="preserve">Contratación directa (con ofertas) </v>
      </c>
      <c r="P582" s="249">
        <f t="shared" si="102"/>
        <v>1</v>
      </c>
      <c r="Q582" s="183">
        <f t="shared" si="93"/>
        <v>2038115564</v>
      </c>
      <c r="R582" s="183">
        <f t="shared" si="94"/>
        <v>2038115564</v>
      </c>
      <c r="S582" s="250" t="s">
        <v>223</v>
      </c>
      <c r="T582" s="249">
        <f t="shared" si="103"/>
        <v>0</v>
      </c>
      <c r="U582" s="185" t="str">
        <f t="shared" si="95"/>
        <v>SUBDIRECCION DE GESTION CONTRACTUAL</v>
      </c>
      <c r="V582" s="249" t="str">
        <f t="shared" si="100"/>
        <v>CO-DC</v>
      </c>
      <c r="W582" s="249" t="str">
        <f t="shared" si="101"/>
        <v>Distrito Capital de Bogotá</v>
      </c>
      <c r="X582" s="197" t="s">
        <v>591</v>
      </c>
      <c r="Y582" s="187">
        <v>2427400</v>
      </c>
      <c r="Z582" s="201" t="s">
        <v>160</v>
      </c>
      <c r="AA582" s="252"/>
      <c r="AB582" s="252"/>
      <c r="AC582" s="252"/>
      <c r="AD582" s="252"/>
      <c r="AE582" s="252"/>
      <c r="AF582" s="252"/>
      <c r="AG582" s="252"/>
      <c r="AH582" s="252"/>
      <c r="AI582" s="252"/>
      <c r="AJ582" s="252"/>
      <c r="AK582" s="252"/>
      <c r="AL582" s="252"/>
      <c r="AM582" s="252"/>
      <c r="AN582" s="252"/>
      <c r="AO582" s="252"/>
      <c r="AP582" s="252"/>
      <c r="AQ582" s="252"/>
      <c r="AR582" s="252"/>
      <c r="AS582" s="252"/>
      <c r="AT582" s="252"/>
      <c r="AU582" s="195"/>
      <c r="AV582" s="195"/>
      <c r="AW582" s="195"/>
      <c r="AX582" s="195"/>
      <c r="AY582" s="195"/>
      <c r="AZ582" s="195"/>
      <c r="BA582" s="195"/>
      <c r="BB582" s="195"/>
      <c r="BC582" s="195"/>
      <c r="BD582" s="195"/>
      <c r="BE582" s="195"/>
      <c r="BF582" s="195"/>
      <c r="BG582" s="195"/>
      <c r="BH582" s="195"/>
      <c r="BI582" s="195"/>
      <c r="BJ582" s="195"/>
      <c r="BK582" s="195"/>
      <c r="BL582" s="195"/>
      <c r="BM582" s="195"/>
      <c r="BN582" s="195"/>
      <c r="BO582" s="195"/>
      <c r="BP582" s="195"/>
      <c r="BQ582" s="195"/>
      <c r="BR582" s="195"/>
      <c r="BS582" s="195"/>
      <c r="BT582" s="195"/>
      <c r="BU582" s="195"/>
      <c r="BV582" s="195"/>
      <c r="BW582" s="195"/>
      <c r="BX582" s="195"/>
      <c r="BY582" s="195"/>
      <c r="BZ582" s="195"/>
      <c r="CA582" s="195"/>
      <c r="CB582" s="195"/>
      <c r="CC582" s="195"/>
      <c r="CD582" s="195"/>
      <c r="CE582" s="195"/>
      <c r="CF582" s="195"/>
      <c r="CG582" s="256"/>
    </row>
    <row r="583" spans="1:85" s="254" customFormat="1" ht="13.9" customHeight="1" x14ac:dyDescent="0.2">
      <c r="A583" s="255" t="s">
        <v>158</v>
      </c>
      <c r="B583" s="187">
        <v>81</v>
      </c>
      <c r="C583" s="248" t="s">
        <v>622</v>
      </c>
      <c r="D583" s="197" t="s">
        <v>159</v>
      </c>
      <c r="E583" s="199"/>
      <c r="F583" s="199">
        <v>305440000</v>
      </c>
      <c r="G583" s="199"/>
      <c r="H583" s="197" t="s">
        <v>794</v>
      </c>
      <c r="I583" s="248" t="s">
        <v>730</v>
      </c>
      <c r="J583" s="187">
        <v>1</v>
      </c>
      <c r="K583" s="187">
        <v>1</v>
      </c>
      <c r="L583" s="187">
        <v>12</v>
      </c>
      <c r="M583" s="172">
        <f t="shared" si="92"/>
        <v>1</v>
      </c>
      <c r="N583" s="180" t="s">
        <v>36</v>
      </c>
      <c r="O583" s="181" t="str">
        <f>IF(ISBLANK(N583),"",VLOOKUP(N583,[17]Parámetros!$G$2:$H$23,2,FALSE))</f>
        <v xml:space="preserve">Contratación directa (con ofertas) </v>
      </c>
      <c r="P583" s="249">
        <f t="shared" si="102"/>
        <v>1</v>
      </c>
      <c r="Q583" s="183">
        <f t="shared" si="93"/>
        <v>305440000</v>
      </c>
      <c r="R583" s="183">
        <f t="shared" si="94"/>
        <v>305440000</v>
      </c>
      <c r="S583" s="250" t="s">
        <v>223</v>
      </c>
      <c r="T583" s="249">
        <f t="shared" si="103"/>
        <v>0</v>
      </c>
      <c r="U583" s="185" t="str">
        <f t="shared" si="95"/>
        <v>SUBDIRECCION DE GESTION CONTRACTUAL</v>
      </c>
      <c r="V583" s="249" t="str">
        <f t="shared" si="100"/>
        <v>CO-DC</v>
      </c>
      <c r="W583" s="249" t="str">
        <f t="shared" si="101"/>
        <v>Distrito Capital de Bogotá</v>
      </c>
      <c r="X583" s="197" t="s">
        <v>591</v>
      </c>
      <c r="Y583" s="187">
        <v>2427400</v>
      </c>
      <c r="Z583" s="201" t="s">
        <v>160</v>
      </c>
      <c r="AA583" s="252"/>
      <c r="AB583" s="252"/>
      <c r="AC583" s="252"/>
      <c r="AD583" s="252"/>
      <c r="AE583" s="252"/>
      <c r="AF583" s="252"/>
      <c r="AG583" s="252"/>
      <c r="AH583" s="252"/>
      <c r="AI583" s="252"/>
      <c r="AJ583" s="252"/>
      <c r="AK583" s="252"/>
      <c r="AL583" s="252"/>
      <c r="AM583" s="252"/>
      <c r="AN583" s="252"/>
      <c r="AO583" s="252"/>
      <c r="AP583" s="252"/>
      <c r="AQ583" s="252"/>
      <c r="AR583" s="252"/>
      <c r="AS583" s="252"/>
      <c r="AT583" s="252"/>
      <c r="AU583" s="195"/>
      <c r="AV583" s="195"/>
      <c r="AW583" s="195"/>
      <c r="AX583" s="195"/>
      <c r="AY583" s="195"/>
      <c r="AZ583" s="195"/>
      <c r="BA583" s="195"/>
      <c r="BB583" s="195"/>
      <c r="BC583" s="195"/>
      <c r="BD583" s="195"/>
      <c r="BE583" s="195"/>
      <c r="BF583" s="195"/>
      <c r="BG583" s="195"/>
      <c r="BH583" s="195"/>
      <c r="BI583" s="195"/>
      <c r="BJ583" s="195"/>
      <c r="BK583" s="195"/>
      <c r="BL583" s="195"/>
      <c r="BM583" s="195"/>
      <c r="BN583" s="195"/>
      <c r="BO583" s="195"/>
      <c r="BP583" s="195"/>
      <c r="BQ583" s="195"/>
      <c r="BR583" s="195"/>
      <c r="BS583" s="195"/>
      <c r="BT583" s="195"/>
      <c r="BU583" s="195"/>
      <c r="BV583" s="195"/>
      <c r="BW583" s="195"/>
      <c r="BX583" s="195"/>
      <c r="BY583" s="195"/>
      <c r="BZ583" s="195"/>
      <c r="CA583" s="195"/>
      <c r="CB583" s="195"/>
      <c r="CC583" s="195"/>
      <c r="CD583" s="195"/>
      <c r="CE583" s="195"/>
      <c r="CF583" s="195"/>
      <c r="CG583" s="256"/>
    </row>
    <row r="584" spans="1:85" s="254" customFormat="1" ht="13.9" customHeight="1" x14ac:dyDescent="0.2">
      <c r="A584" s="255" t="s">
        <v>158</v>
      </c>
      <c r="B584" s="187">
        <v>82</v>
      </c>
      <c r="C584" s="248" t="s">
        <v>622</v>
      </c>
      <c r="D584" s="197" t="s">
        <v>159</v>
      </c>
      <c r="E584" s="199"/>
      <c r="F584" s="199">
        <v>5954508000</v>
      </c>
      <c r="G584" s="199"/>
      <c r="H584" s="197">
        <v>92121901</v>
      </c>
      <c r="I584" s="248" t="s">
        <v>729</v>
      </c>
      <c r="J584" s="187">
        <v>1</v>
      </c>
      <c r="K584" s="187">
        <v>1</v>
      </c>
      <c r="L584" s="187">
        <v>12</v>
      </c>
      <c r="M584" s="172">
        <f t="shared" si="92"/>
        <v>1</v>
      </c>
      <c r="N584" s="180" t="s">
        <v>36</v>
      </c>
      <c r="O584" s="181" t="str">
        <f>IF(ISBLANK(N584),"",VLOOKUP(N584,[17]Parámetros!$G$2:$H$23,2,FALSE))</f>
        <v xml:space="preserve">Contratación directa (con ofertas) </v>
      </c>
      <c r="P584" s="249">
        <f t="shared" si="102"/>
        <v>1</v>
      </c>
      <c r="Q584" s="183">
        <f t="shared" si="93"/>
        <v>5954508000</v>
      </c>
      <c r="R584" s="183">
        <f t="shared" si="94"/>
        <v>5954508000</v>
      </c>
      <c r="S584" s="250" t="s">
        <v>223</v>
      </c>
      <c r="T584" s="249">
        <f t="shared" si="103"/>
        <v>0</v>
      </c>
      <c r="U584" s="185" t="str">
        <f t="shared" si="95"/>
        <v>SUBDIRECCION DE GESTION CONTRACTUAL</v>
      </c>
      <c r="V584" s="249" t="str">
        <f t="shared" si="100"/>
        <v>CO-DC</v>
      </c>
      <c r="W584" s="249" t="str">
        <f t="shared" si="101"/>
        <v>Distrito Capital de Bogotá</v>
      </c>
      <c r="X584" s="197" t="s">
        <v>591</v>
      </c>
      <c r="Y584" s="187">
        <v>2427400</v>
      </c>
      <c r="Z584" s="201" t="s">
        <v>160</v>
      </c>
      <c r="AA584" s="252"/>
      <c r="AB584" s="252"/>
      <c r="AC584" s="252"/>
      <c r="AD584" s="252"/>
      <c r="AE584" s="252"/>
      <c r="AF584" s="252"/>
      <c r="AG584" s="252"/>
      <c r="AH584" s="252"/>
      <c r="AI584" s="252"/>
      <c r="AJ584" s="252"/>
      <c r="AK584" s="252"/>
      <c r="AL584" s="252"/>
      <c r="AM584" s="252"/>
      <c r="AN584" s="252"/>
      <c r="AO584" s="252"/>
      <c r="AP584" s="252"/>
      <c r="AQ584" s="252"/>
      <c r="AR584" s="252"/>
      <c r="AS584" s="252"/>
      <c r="AT584" s="252"/>
      <c r="AU584" s="195"/>
      <c r="AV584" s="195"/>
      <c r="AW584" s="195"/>
      <c r="AX584" s="195"/>
      <c r="AY584" s="195"/>
      <c r="AZ584" s="195"/>
      <c r="BA584" s="195"/>
      <c r="BB584" s="195"/>
      <c r="BC584" s="195"/>
      <c r="BD584" s="195"/>
      <c r="BE584" s="195"/>
      <c r="BF584" s="195"/>
      <c r="BG584" s="195"/>
      <c r="BH584" s="195"/>
      <c r="BI584" s="195"/>
      <c r="BJ584" s="195"/>
      <c r="BK584" s="195"/>
      <c r="BL584" s="195"/>
      <c r="BM584" s="195"/>
      <c r="BN584" s="195"/>
      <c r="BO584" s="195"/>
      <c r="BP584" s="195"/>
      <c r="BQ584" s="195"/>
      <c r="BR584" s="195"/>
      <c r="BS584" s="195"/>
      <c r="BT584" s="195"/>
      <c r="BU584" s="195"/>
      <c r="BV584" s="195"/>
      <c r="BW584" s="195"/>
      <c r="BX584" s="195"/>
      <c r="BY584" s="195"/>
      <c r="BZ584" s="195"/>
      <c r="CA584" s="195"/>
      <c r="CB584" s="195"/>
      <c r="CC584" s="195"/>
      <c r="CD584" s="195"/>
      <c r="CE584" s="195"/>
      <c r="CF584" s="195"/>
      <c r="CG584" s="256"/>
    </row>
    <row r="585" spans="1:85" s="254" customFormat="1" ht="13.9" customHeight="1" x14ac:dyDescent="0.2">
      <c r="A585" s="255" t="s">
        <v>158</v>
      </c>
      <c r="B585" s="187">
        <v>83</v>
      </c>
      <c r="C585" s="248" t="s">
        <v>622</v>
      </c>
      <c r="D585" s="197" t="s">
        <v>159</v>
      </c>
      <c r="E585" s="199"/>
      <c r="F585" s="199">
        <v>9903414</v>
      </c>
      <c r="G585" s="199"/>
      <c r="H585" s="197" t="s">
        <v>798</v>
      </c>
      <c r="I585" s="248" t="s">
        <v>728</v>
      </c>
      <c r="J585" s="187">
        <v>1</v>
      </c>
      <c r="K585" s="187">
        <v>1</v>
      </c>
      <c r="L585" s="187">
        <v>12</v>
      </c>
      <c r="M585" s="172">
        <f t="shared" si="92"/>
        <v>1</v>
      </c>
      <c r="N585" s="180" t="s">
        <v>36</v>
      </c>
      <c r="O585" s="181" t="str">
        <f>IF(ISBLANK(N585),"",VLOOKUP(N585,[17]Parámetros!$G$2:$H$23,2,FALSE))</f>
        <v xml:space="preserve">Contratación directa (con ofertas) </v>
      </c>
      <c r="P585" s="249">
        <f t="shared" si="102"/>
        <v>1</v>
      </c>
      <c r="Q585" s="183">
        <f t="shared" si="93"/>
        <v>9903414</v>
      </c>
      <c r="R585" s="183">
        <f t="shared" si="94"/>
        <v>9903414</v>
      </c>
      <c r="S585" s="250" t="s">
        <v>223</v>
      </c>
      <c r="T585" s="249">
        <f t="shared" si="103"/>
        <v>0</v>
      </c>
      <c r="U585" s="185" t="str">
        <f t="shared" si="95"/>
        <v>SUBDIRECCION DE GESTION CONTRACTUAL</v>
      </c>
      <c r="V585" s="249" t="str">
        <f t="shared" si="100"/>
        <v>CO-DC</v>
      </c>
      <c r="W585" s="249" t="str">
        <f t="shared" si="101"/>
        <v>Distrito Capital de Bogotá</v>
      </c>
      <c r="X585" s="197" t="s">
        <v>591</v>
      </c>
      <c r="Y585" s="187">
        <v>2427400</v>
      </c>
      <c r="Z585" s="201" t="s">
        <v>160</v>
      </c>
      <c r="AA585" s="252"/>
      <c r="AB585" s="252"/>
      <c r="AC585" s="252"/>
      <c r="AD585" s="252"/>
      <c r="AE585" s="252"/>
      <c r="AF585" s="252"/>
      <c r="AG585" s="252"/>
      <c r="AH585" s="252"/>
      <c r="AI585" s="252"/>
      <c r="AJ585" s="252"/>
      <c r="AK585" s="252"/>
      <c r="AL585" s="252"/>
      <c r="AM585" s="252"/>
      <c r="AN585" s="252"/>
      <c r="AO585" s="252"/>
      <c r="AP585" s="252"/>
      <c r="AQ585" s="252"/>
      <c r="AR585" s="252"/>
      <c r="AS585" s="252"/>
      <c r="AT585" s="252"/>
      <c r="AU585" s="195"/>
      <c r="AV585" s="195"/>
      <c r="AW585" s="195"/>
      <c r="AX585" s="195"/>
      <c r="AY585" s="195"/>
      <c r="AZ585" s="195"/>
      <c r="BA585" s="195"/>
      <c r="BB585" s="195"/>
      <c r="BC585" s="195"/>
      <c r="BD585" s="195"/>
      <c r="BE585" s="195"/>
      <c r="BF585" s="195"/>
      <c r="BG585" s="195"/>
      <c r="BH585" s="195"/>
      <c r="BI585" s="195"/>
      <c r="BJ585" s="195"/>
      <c r="BK585" s="195"/>
      <c r="BL585" s="195"/>
      <c r="BM585" s="195"/>
      <c r="BN585" s="195"/>
      <c r="BO585" s="195"/>
      <c r="BP585" s="195"/>
      <c r="BQ585" s="195"/>
      <c r="BR585" s="195"/>
      <c r="BS585" s="195"/>
      <c r="BT585" s="195"/>
      <c r="BU585" s="195"/>
      <c r="BV585" s="195"/>
      <c r="BW585" s="195"/>
      <c r="BX585" s="195"/>
      <c r="BY585" s="195"/>
      <c r="BZ585" s="195"/>
      <c r="CA585" s="195"/>
      <c r="CB585" s="195"/>
      <c r="CC585" s="195"/>
      <c r="CD585" s="195"/>
      <c r="CE585" s="195"/>
      <c r="CF585" s="195"/>
      <c r="CG585" s="256"/>
    </row>
    <row r="586" spans="1:85" s="254" customFormat="1" ht="13.9" customHeight="1" x14ac:dyDescent="0.2">
      <c r="A586" s="255" t="s">
        <v>158</v>
      </c>
      <c r="B586" s="187">
        <v>84</v>
      </c>
      <c r="C586" s="248" t="s">
        <v>622</v>
      </c>
      <c r="D586" s="197" t="s">
        <v>159</v>
      </c>
      <c r="E586" s="199"/>
      <c r="F586" s="199">
        <v>47733333</v>
      </c>
      <c r="G586" s="199"/>
      <c r="H586" s="197" t="s">
        <v>798</v>
      </c>
      <c r="I586" s="248" t="s">
        <v>727</v>
      </c>
      <c r="J586" s="187">
        <v>1</v>
      </c>
      <c r="K586" s="187">
        <v>1</v>
      </c>
      <c r="L586" s="187">
        <v>12</v>
      </c>
      <c r="M586" s="172">
        <f t="shared" si="92"/>
        <v>1</v>
      </c>
      <c r="N586" s="180" t="s">
        <v>36</v>
      </c>
      <c r="O586" s="181" t="str">
        <f>IF(ISBLANK(N586),"",VLOOKUP(N586,[17]Parámetros!$G$2:$H$23,2,FALSE))</f>
        <v xml:space="preserve">Contratación directa (con ofertas) </v>
      </c>
      <c r="P586" s="249">
        <f t="shared" si="102"/>
        <v>1</v>
      </c>
      <c r="Q586" s="183">
        <f t="shared" si="93"/>
        <v>47733333</v>
      </c>
      <c r="R586" s="183">
        <f t="shared" si="94"/>
        <v>47733333</v>
      </c>
      <c r="S586" s="250" t="s">
        <v>223</v>
      </c>
      <c r="T586" s="249">
        <f t="shared" si="103"/>
        <v>0</v>
      </c>
      <c r="U586" s="185" t="str">
        <f t="shared" si="95"/>
        <v>SUBDIRECCION DE GESTION CONTRACTUAL</v>
      </c>
      <c r="V586" s="249" t="str">
        <f t="shared" si="100"/>
        <v>CO-DC</v>
      </c>
      <c r="W586" s="249" t="str">
        <f t="shared" si="101"/>
        <v>Distrito Capital de Bogotá</v>
      </c>
      <c r="X586" s="197" t="s">
        <v>591</v>
      </c>
      <c r="Y586" s="187">
        <v>2427400</v>
      </c>
      <c r="Z586" s="201" t="s">
        <v>160</v>
      </c>
      <c r="AA586" s="252"/>
      <c r="AB586" s="252"/>
      <c r="AC586" s="252"/>
      <c r="AD586" s="252"/>
      <c r="AE586" s="252"/>
      <c r="AF586" s="252"/>
      <c r="AG586" s="252"/>
      <c r="AH586" s="252"/>
      <c r="AI586" s="252"/>
      <c r="AJ586" s="252"/>
      <c r="AK586" s="252"/>
      <c r="AL586" s="252"/>
      <c r="AM586" s="252"/>
      <c r="AN586" s="252"/>
      <c r="AO586" s="252"/>
      <c r="AP586" s="252"/>
      <c r="AQ586" s="252"/>
      <c r="AR586" s="252"/>
      <c r="AS586" s="252"/>
      <c r="AT586" s="252"/>
      <c r="AU586" s="195"/>
      <c r="AV586" s="195"/>
      <c r="AW586" s="195"/>
      <c r="AX586" s="195"/>
      <c r="AY586" s="195"/>
      <c r="AZ586" s="195"/>
      <c r="BA586" s="195"/>
      <c r="BB586" s="195"/>
      <c r="BC586" s="195"/>
      <c r="BD586" s="195"/>
      <c r="BE586" s="195"/>
      <c r="BF586" s="195"/>
      <c r="BG586" s="195"/>
      <c r="BH586" s="195"/>
      <c r="BI586" s="195"/>
      <c r="BJ586" s="195"/>
      <c r="BK586" s="195"/>
      <c r="BL586" s="195"/>
      <c r="BM586" s="195"/>
      <c r="BN586" s="195"/>
      <c r="BO586" s="195"/>
      <c r="BP586" s="195"/>
      <c r="BQ586" s="195"/>
      <c r="BR586" s="195"/>
      <c r="BS586" s="195"/>
      <c r="BT586" s="195"/>
      <c r="BU586" s="195"/>
      <c r="BV586" s="195"/>
      <c r="BW586" s="195"/>
      <c r="BX586" s="195"/>
      <c r="BY586" s="195"/>
      <c r="BZ586" s="195"/>
      <c r="CA586" s="195"/>
      <c r="CB586" s="195"/>
      <c r="CC586" s="195"/>
      <c r="CD586" s="195"/>
      <c r="CE586" s="195"/>
      <c r="CF586" s="195"/>
      <c r="CG586" s="256"/>
    </row>
    <row r="587" spans="1:85" s="254" customFormat="1" ht="13.9" customHeight="1" x14ac:dyDescent="0.2">
      <c r="A587" s="255" t="s">
        <v>158</v>
      </c>
      <c r="B587" s="187">
        <v>85</v>
      </c>
      <c r="C587" s="248" t="s">
        <v>622</v>
      </c>
      <c r="D587" s="197" t="s">
        <v>159</v>
      </c>
      <c r="E587" s="199"/>
      <c r="F587" s="199">
        <v>14833333</v>
      </c>
      <c r="G587" s="199"/>
      <c r="H587" s="197" t="s">
        <v>794</v>
      </c>
      <c r="I587" s="248" t="s">
        <v>726</v>
      </c>
      <c r="J587" s="187">
        <v>1</v>
      </c>
      <c r="K587" s="187">
        <v>1</v>
      </c>
      <c r="L587" s="187">
        <v>12</v>
      </c>
      <c r="M587" s="172">
        <f t="shared" si="92"/>
        <v>1</v>
      </c>
      <c r="N587" s="180" t="s">
        <v>36</v>
      </c>
      <c r="O587" s="181" t="str">
        <f>IF(ISBLANK(N587),"",VLOOKUP(N587,[17]Parámetros!$G$2:$H$23,2,FALSE))</f>
        <v xml:space="preserve">Contratación directa (con ofertas) </v>
      </c>
      <c r="P587" s="249">
        <f t="shared" si="102"/>
        <v>1</v>
      </c>
      <c r="Q587" s="183">
        <f t="shared" si="93"/>
        <v>14833333</v>
      </c>
      <c r="R587" s="183">
        <f t="shared" si="94"/>
        <v>14833333</v>
      </c>
      <c r="S587" s="250" t="s">
        <v>223</v>
      </c>
      <c r="T587" s="249">
        <f t="shared" si="103"/>
        <v>0</v>
      </c>
      <c r="U587" s="185" t="str">
        <f t="shared" si="95"/>
        <v>SUBDIRECCION DE GESTION CONTRACTUAL</v>
      </c>
      <c r="V587" s="249" t="str">
        <f t="shared" si="100"/>
        <v>CO-DC</v>
      </c>
      <c r="W587" s="249" t="str">
        <f t="shared" si="101"/>
        <v>Distrito Capital de Bogotá</v>
      </c>
      <c r="X587" s="197" t="s">
        <v>591</v>
      </c>
      <c r="Y587" s="187">
        <v>2427400</v>
      </c>
      <c r="Z587" s="201" t="s">
        <v>160</v>
      </c>
      <c r="AA587" s="252"/>
      <c r="AB587" s="252"/>
      <c r="AC587" s="252"/>
      <c r="AD587" s="252"/>
      <c r="AE587" s="252"/>
      <c r="AF587" s="252"/>
      <c r="AG587" s="252"/>
      <c r="AH587" s="252"/>
      <c r="AI587" s="252"/>
      <c r="AJ587" s="252"/>
      <c r="AK587" s="252"/>
      <c r="AL587" s="252"/>
      <c r="AM587" s="252"/>
      <c r="AN587" s="252"/>
      <c r="AO587" s="252"/>
      <c r="AP587" s="252"/>
      <c r="AQ587" s="252"/>
      <c r="AR587" s="252"/>
      <c r="AS587" s="252"/>
      <c r="AT587" s="252"/>
      <c r="AU587" s="195"/>
      <c r="AV587" s="195"/>
      <c r="AW587" s="195"/>
      <c r="AX587" s="195"/>
      <c r="AY587" s="195"/>
      <c r="AZ587" s="195"/>
      <c r="BA587" s="195"/>
      <c r="BB587" s="195"/>
      <c r="BC587" s="195"/>
      <c r="BD587" s="195"/>
      <c r="BE587" s="195"/>
      <c r="BF587" s="195"/>
      <c r="BG587" s="195"/>
      <c r="BH587" s="195"/>
      <c r="BI587" s="195"/>
      <c r="BJ587" s="195"/>
      <c r="BK587" s="195"/>
      <c r="BL587" s="195"/>
      <c r="BM587" s="195"/>
      <c r="BN587" s="195"/>
      <c r="BO587" s="195"/>
      <c r="BP587" s="195"/>
      <c r="BQ587" s="195"/>
      <c r="BR587" s="195"/>
      <c r="BS587" s="195"/>
      <c r="BT587" s="195"/>
      <c r="BU587" s="195"/>
      <c r="BV587" s="195"/>
      <c r="BW587" s="195"/>
      <c r="BX587" s="195"/>
      <c r="BY587" s="195"/>
      <c r="BZ587" s="195"/>
      <c r="CA587" s="195"/>
      <c r="CB587" s="195"/>
      <c r="CC587" s="195"/>
      <c r="CD587" s="195"/>
      <c r="CE587" s="195"/>
      <c r="CF587" s="195"/>
      <c r="CG587" s="256"/>
    </row>
    <row r="588" spans="1:85" s="254" customFormat="1" ht="13.9" customHeight="1" x14ac:dyDescent="0.2">
      <c r="A588" s="255" t="s">
        <v>158</v>
      </c>
      <c r="B588" s="187">
        <v>86</v>
      </c>
      <c r="C588" s="248" t="s">
        <v>622</v>
      </c>
      <c r="D588" s="197" t="s">
        <v>159</v>
      </c>
      <c r="E588" s="199"/>
      <c r="F588" s="199">
        <v>299073280</v>
      </c>
      <c r="G588" s="199"/>
      <c r="H588" s="197" t="s">
        <v>794</v>
      </c>
      <c r="I588" s="248" t="s">
        <v>725</v>
      </c>
      <c r="J588" s="187">
        <v>1</v>
      </c>
      <c r="K588" s="187">
        <v>1</v>
      </c>
      <c r="L588" s="187">
        <v>12</v>
      </c>
      <c r="M588" s="172">
        <f t="shared" si="92"/>
        <v>1</v>
      </c>
      <c r="N588" s="180" t="s">
        <v>36</v>
      </c>
      <c r="O588" s="181" t="str">
        <f>IF(ISBLANK(N588),"",VLOOKUP(N588,[17]Parámetros!$G$2:$H$23,2,FALSE))</f>
        <v xml:space="preserve">Contratación directa (con ofertas) </v>
      </c>
      <c r="P588" s="249">
        <f t="shared" si="102"/>
        <v>1</v>
      </c>
      <c r="Q588" s="183">
        <f t="shared" si="93"/>
        <v>299073280</v>
      </c>
      <c r="R588" s="183">
        <f t="shared" si="94"/>
        <v>299073280</v>
      </c>
      <c r="S588" s="250" t="s">
        <v>223</v>
      </c>
      <c r="T588" s="249">
        <f t="shared" si="103"/>
        <v>0</v>
      </c>
      <c r="U588" s="185" t="str">
        <f t="shared" si="95"/>
        <v>SUBDIRECCION DE GESTION CONTRACTUAL</v>
      </c>
      <c r="V588" s="249" t="str">
        <f t="shared" si="100"/>
        <v>CO-DC</v>
      </c>
      <c r="W588" s="249" t="str">
        <f t="shared" si="101"/>
        <v>Distrito Capital de Bogotá</v>
      </c>
      <c r="X588" s="197" t="s">
        <v>591</v>
      </c>
      <c r="Y588" s="187">
        <v>2427400</v>
      </c>
      <c r="Z588" s="201" t="s">
        <v>160</v>
      </c>
      <c r="AA588" s="252"/>
      <c r="AB588" s="252"/>
      <c r="AC588" s="252"/>
      <c r="AD588" s="252"/>
      <c r="AE588" s="252"/>
      <c r="AF588" s="252"/>
      <c r="AG588" s="252"/>
      <c r="AH588" s="252"/>
      <c r="AI588" s="252"/>
      <c r="AJ588" s="252"/>
      <c r="AK588" s="252"/>
      <c r="AL588" s="252"/>
      <c r="AM588" s="252"/>
      <c r="AN588" s="252"/>
      <c r="AO588" s="252"/>
      <c r="AP588" s="252"/>
      <c r="AQ588" s="252"/>
      <c r="AR588" s="252"/>
      <c r="AS588" s="252"/>
      <c r="AT588" s="252"/>
      <c r="AU588" s="195"/>
      <c r="AV588" s="195"/>
      <c r="AW588" s="195"/>
      <c r="AX588" s="195"/>
      <c r="AY588" s="195"/>
      <c r="AZ588" s="195"/>
      <c r="BA588" s="195"/>
      <c r="BB588" s="195"/>
      <c r="BC588" s="195"/>
      <c r="BD588" s="195"/>
      <c r="BE588" s="195"/>
      <c r="BF588" s="195"/>
      <c r="BG588" s="195"/>
      <c r="BH588" s="195"/>
      <c r="BI588" s="195"/>
      <c r="BJ588" s="195"/>
      <c r="BK588" s="195"/>
      <c r="BL588" s="195"/>
      <c r="BM588" s="195"/>
      <c r="BN588" s="195"/>
      <c r="BO588" s="195"/>
      <c r="BP588" s="195"/>
      <c r="BQ588" s="195"/>
      <c r="BR588" s="195"/>
      <c r="BS588" s="195"/>
      <c r="BT588" s="195"/>
      <c r="BU588" s="195"/>
      <c r="BV588" s="195"/>
      <c r="BW588" s="195"/>
      <c r="BX588" s="195"/>
      <c r="BY588" s="195"/>
      <c r="BZ588" s="195"/>
      <c r="CA588" s="195"/>
      <c r="CB588" s="195"/>
      <c r="CC588" s="195"/>
      <c r="CD588" s="195"/>
      <c r="CE588" s="195"/>
      <c r="CF588" s="195"/>
      <c r="CG588" s="256"/>
    </row>
    <row r="589" spans="1:85" s="254" customFormat="1" ht="13.9" customHeight="1" x14ac:dyDescent="0.2">
      <c r="A589" s="255" t="s">
        <v>158</v>
      </c>
      <c r="B589" s="187">
        <v>87</v>
      </c>
      <c r="C589" s="248" t="s">
        <v>622</v>
      </c>
      <c r="D589" s="197" t="s">
        <v>159</v>
      </c>
      <c r="E589" s="199"/>
      <c r="F589" s="199">
        <v>1725297191</v>
      </c>
      <c r="G589" s="199"/>
      <c r="H589" s="197" t="s">
        <v>798</v>
      </c>
      <c r="I589" s="248" t="s">
        <v>724</v>
      </c>
      <c r="J589" s="187">
        <v>1</v>
      </c>
      <c r="K589" s="187">
        <v>1</v>
      </c>
      <c r="L589" s="187">
        <v>12</v>
      </c>
      <c r="M589" s="172">
        <f t="shared" si="92"/>
        <v>1</v>
      </c>
      <c r="N589" s="180" t="s">
        <v>36</v>
      </c>
      <c r="O589" s="181" t="str">
        <f>IF(ISBLANK(N589),"",VLOOKUP(N589,[17]Parámetros!$G$2:$H$23,2,FALSE))</f>
        <v xml:space="preserve">Contratación directa (con ofertas) </v>
      </c>
      <c r="P589" s="249">
        <f t="shared" si="102"/>
        <v>1</v>
      </c>
      <c r="Q589" s="183">
        <f t="shared" si="93"/>
        <v>1725297191</v>
      </c>
      <c r="R589" s="183">
        <f t="shared" si="94"/>
        <v>1725297191</v>
      </c>
      <c r="S589" s="250" t="s">
        <v>223</v>
      </c>
      <c r="T589" s="249">
        <f t="shared" si="103"/>
        <v>0</v>
      </c>
      <c r="U589" s="185" t="str">
        <f t="shared" si="95"/>
        <v>SUBDIRECCION DE GESTION CONTRACTUAL</v>
      </c>
      <c r="V589" s="249" t="str">
        <f t="shared" si="100"/>
        <v>CO-DC</v>
      </c>
      <c r="W589" s="249" t="str">
        <f t="shared" si="101"/>
        <v>Distrito Capital de Bogotá</v>
      </c>
      <c r="X589" s="197" t="s">
        <v>591</v>
      </c>
      <c r="Y589" s="187">
        <v>2427400</v>
      </c>
      <c r="Z589" s="201" t="s">
        <v>160</v>
      </c>
      <c r="AA589" s="252"/>
      <c r="AB589" s="252"/>
      <c r="AC589" s="252"/>
      <c r="AD589" s="252"/>
      <c r="AE589" s="252"/>
      <c r="AF589" s="252"/>
      <c r="AG589" s="252"/>
      <c r="AH589" s="252"/>
      <c r="AI589" s="252"/>
      <c r="AJ589" s="252"/>
      <c r="AK589" s="252"/>
      <c r="AL589" s="252"/>
      <c r="AM589" s="252"/>
      <c r="AN589" s="252"/>
      <c r="AO589" s="252"/>
      <c r="AP589" s="252"/>
      <c r="AQ589" s="252"/>
      <c r="AR589" s="252"/>
      <c r="AS589" s="252"/>
      <c r="AT589" s="252"/>
      <c r="AU589" s="195"/>
      <c r="AV589" s="195"/>
      <c r="AW589" s="195"/>
      <c r="AX589" s="195"/>
      <c r="AY589" s="195"/>
      <c r="AZ589" s="195"/>
      <c r="BA589" s="195"/>
      <c r="BB589" s="195"/>
      <c r="BC589" s="195"/>
      <c r="BD589" s="195"/>
      <c r="BE589" s="195"/>
      <c r="BF589" s="195"/>
      <c r="BG589" s="195"/>
      <c r="BH589" s="195"/>
      <c r="BI589" s="195"/>
      <c r="BJ589" s="195"/>
      <c r="BK589" s="195"/>
      <c r="BL589" s="195"/>
      <c r="BM589" s="195"/>
      <c r="BN589" s="195"/>
      <c r="BO589" s="195"/>
      <c r="BP589" s="195"/>
      <c r="BQ589" s="195"/>
      <c r="BR589" s="195"/>
      <c r="BS589" s="195"/>
      <c r="BT589" s="195"/>
      <c r="BU589" s="195"/>
      <c r="BV589" s="195"/>
      <c r="BW589" s="195"/>
      <c r="BX589" s="195"/>
      <c r="BY589" s="195"/>
      <c r="BZ589" s="195"/>
      <c r="CA589" s="195"/>
      <c r="CB589" s="195"/>
      <c r="CC589" s="195"/>
      <c r="CD589" s="195"/>
      <c r="CE589" s="195"/>
      <c r="CF589" s="195"/>
      <c r="CG589" s="256"/>
    </row>
    <row r="590" spans="1:85" s="254" customFormat="1" ht="13.9" customHeight="1" x14ac:dyDescent="0.2">
      <c r="A590" s="255" t="s">
        <v>158</v>
      </c>
      <c r="B590" s="187">
        <v>88</v>
      </c>
      <c r="C590" s="248" t="s">
        <v>622</v>
      </c>
      <c r="D590" s="197" t="s">
        <v>159</v>
      </c>
      <c r="E590" s="199"/>
      <c r="F590" s="199">
        <v>962792662</v>
      </c>
      <c r="G590" s="199"/>
      <c r="H590" s="197" t="s">
        <v>798</v>
      </c>
      <c r="I590" s="248" t="s">
        <v>723</v>
      </c>
      <c r="J590" s="187">
        <v>1</v>
      </c>
      <c r="K590" s="187">
        <v>1</v>
      </c>
      <c r="L590" s="187">
        <v>12</v>
      </c>
      <c r="M590" s="172">
        <f t="shared" si="92"/>
        <v>1</v>
      </c>
      <c r="N590" s="180" t="s">
        <v>36</v>
      </c>
      <c r="O590" s="181" t="str">
        <f>IF(ISBLANK(N590),"",VLOOKUP(N590,[17]Parámetros!$G$2:$H$23,2,FALSE))</f>
        <v xml:space="preserve">Contratación directa (con ofertas) </v>
      </c>
      <c r="P590" s="249">
        <f t="shared" si="102"/>
        <v>1</v>
      </c>
      <c r="Q590" s="183">
        <f t="shared" si="93"/>
        <v>962792662</v>
      </c>
      <c r="R590" s="183">
        <f t="shared" si="94"/>
        <v>962792662</v>
      </c>
      <c r="S590" s="250" t="s">
        <v>223</v>
      </c>
      <c r="T590" s="249">
        <f t="shared" si="103"/>
        <v>0</v>
      </c>
      <c r="U590" s="185" t="str">
        <f t="shared" si="95"/>
        <v>SUBDIRECCION DE GESTION CONTRACTUAL</v>
      </c>
      <c r="V590" s="249" t="str">
        <f t="shared" si="100"/>
        <v>CO-DC</v>
      </c>
      <c r="W590" s="249" t="str">
        <f t="shared" si="101"/>
        <v>Distrito Capital de Bogotá</v>
      </c>
      <c r="X590" s="197" t="s">
        <v>591</v>
      </c>
      <c r="Y590" s="187">
        <v>2427400</v>
      </c>
      <c r="Z590" s="201" t="s">
        <v>160</v>
      </c>
      <c r="AA590" s="252"/>
      <c r="AB590" s="252"/>
      <c r="AC590" s="252"/>
      <c r="AD590" s="252"/>
      <c r="AE590" s="252"/>
      <c r="AF590" s="252"/>
      <c r="AG590" s="252"/>
      <c r="AH590" s="252"/>
      <c r="AI590" s="252"/>
      <c r="AJ590" s="252"/>
      <c r="AK590" s="252"/>
      <c r="AL590" s="252"/>
      <c r="AM590" s="252"/>
      <c r="AN590" s="252"/>
      <c r="AO590" s="252"/>
      <c r="AP590" s="252"/>
      <c r="AQ590" s="252"/>
      <c r="AR590" s="252"/>
      <c r="AS590" s="252"/>
      <c r="AT590" s="252"/>
      <c r="AU590" s="195"/>
      <c r="AV590" s="195"/>
      <c r="AW590" s="195"/>
      <c r="AX590" s="195"/>
      <c r="AY590" s="195"/>
      <c r="AZ590" s="195"/>
      <c r="BA590" s="195"/>
      <c r="BB590" s="195"/>
      <c r="BC590" s="195"/>
      <c r="BD590" s="195"/>
      <c r="BE590" s="195"/>
      <c r="BF590" s="195"/>
      <c r="BG590" s="195"/>
      <c r="BH590" s="195"/>
      <c r="BI590" s="195"/>
      <c r="BJ590" s="195"/>
      <c r="BK590" s="195"/>
      <c r="BL590" s="195"/>
      <c r="BM590" s="195"/>
      <c r="BN590" s="195"/>
      <c r="BO590" s="195"/>
      <c r="BP590" s="195"/>
      <c r="BQ590" s="195"/>
      <c r="BR590" s="195"/>
      <c r="BS590" s="195"/>
      <c r="BT590" s="195"/>
      <c r="BU590" s="195"/>
      <c r="BV590" s="195"/>
      <c r="BW590" s="195"/>
      <c r="BX590" s="195"/>
      <c r="BY590" s="195"/>
      <c r="BZ590" s="195"/>
      <c r="CA590" s="195"/>
      <c r="CB590" s="195"/>
      <c r="CC590" s="195"/>
      <c r="CD590" s="195"/>
      <c r="CE590" s="195"/>
      <c r="CF590" s="195"/>
      <c r="CG590" s="256"/>
    </row>
    <row r="591" spans="1:85" s="254" customFormat="1" ht="13.9" customHeight="1" x14ac:dyDescent="0.2">
      <c r="A591" s="255" t="s">
        <v>158</v>
      </c>
      <c r="B591" s="187">
        <v>89</v>
      </c>
      <c r="C591" s="248" t="s">
        <v>622</v>
      </c>
      <c r="D591" s="197" t="s">
        <v>159</v>
      </c>
      <c r="E591" s="199"/>
      <c r="F591" s="199">
        <v>2038115564</v>
      </c>
      <c r="G591" s="199"/>
      <c r="H591" s="197" t="s">
        <v>798</v>
      </c>
      <c r="I591" s="248" t="s">
        <v>722</v>
      </c>
      <c r="J591" s="187">
        <v>1</v>
      </c>
      <c r="K591" s="187">
        <v>1</v>
      </c>
      <c r="L591" s="187">
        <v>12</v>
      </c>
      <c r="M591" s="172">
        <f t="shared" ref="M591:M636" si="104">IF(ISBLANK(J591),"",1)</f>
        <v>1</v>
      </c>
      <c r="N591" s="180" t="s">
        <v>36</v>
      </c>
      <c r="O591" s="181" t="str">
        <f>IF(ISBLANK(N591),"",VLOOKUP(N591,[17]Parámetros!$G$2:$H$23,2,FALSE))</f>
        <v xml:space="preserve">Contratación directa (con ofertas) </v>
      </c>
      <c r="P591" s="249">
        <f t="shared" si="102"/>
        <v>1</v>
      </c>
      <c r="Q591" s="183">
        <f t="shared" ref="Q591:Q658" si="105">+E591+F591+G591</f>
        <v>2038115564</v>
      </c>
      <c r="R591" s="183">
        <f t="shared" ref="R591:R658" si="106">+F591</f>
        <v>2038115564</v>
      </c>
      <c r="S591" s="250" t="s">
        <v>223</v>
      </c>
      <c r="T591" s="249">
        <f t="shared" si="103"/>
        <v>0</v>
      </c>
      <c r="U591" s="185" t="str">
        <f t="shared" ref="U591:U637" si="107">IF(ISBLANK(N591),"","SUBDIRECCION DE GESTION CONTRACTUAL")</f>
        <v>SUBDIRECCION DE GESTION CONTRACTUAL</v>
      </c>
      <c r="V591" s="249" t="str">
        <f t="shared" si="100"/>
        <v>CO-DC</v>
      </c>
      <c r="W591" s="249" t="str">
        <f t="shared" si="101"/>
        <v>Distrito Capital de Bogotá</v>
      </c>
      <c r="X591" s="197" t="s">
        <v>591</v>
      </c>
      <c r="Y591" s="187">
        <v>2427400</v>
      </c>
      <c r="Z591" s="201" t="s">
        <v>160</v>
      </c>
      <c r="AA591" s="252"/>
      <c r="AB591" s="252"/>
      <c r="AC591" s="252"/>
      <c r="AD591" s="252"/>
      <c r="AE591" s="252"/>
      <c r="AF591" s="252"/>
      <c r="AG591" s="252"/>
      <c r="AH591" s="252"/>
      <c r="AI591" s="252"/>
      <c r="AJ591" s="252"/>
      <c r="AK591" s="252"/>
      <c r="AL591" s="252"/>
      <c r="AM591" s="252"/>
      <c r="AN591" s="252"/>
      <c r="AO591" s="252"/>
      <c r="AP591" s="252"/>
      <c r="AQ591" s="252"/>
      <c r="AR591" s="252"/>
      <c r="AS591" s="252"/>
      <c r="AT591" s="252"/>
      <c r="AU591" s="195"/>
      <c r="AV591" s="195"/>
      <c r="AW591" s="195"/>
      <c r="AX591" s="195"/>
      <c r="AY591" s="195"/>
      <c r="AZ591" s="195"/>
      <c r="BA591" s="195"/>
      <c r="BB591" s="195"/>
      <c r="BC591" s="195"/>
      <c r="BD591" s="195"/>
      <c r="BE591" s="195"/>
      <c r="BF591" s="195"/>
      <c r="BG591" s="195"/>
      <c r="BH591" s="195"/>
      <c r="BI591" s="195"/>
      <c r="BJ591" s="195"/>
      <c r="BK591" s="195"/>
      <c r="BL591" s="195"/>
      <c r="BM591" s="195"/>
      <c r="BN591" s="195"/>
      <c r="BO591" s="195"/>
      <c r="BP591" s="195"/>
      <c r="BQ591" s="195"/>
      <c r="BR591" s="195"/>
      <c r="BS591" s="195"/>
      <c r="BT591" s="195"/>
      <c r="BU591" s="195"/>
      <c r="BV591" s="195"/>
      <c r="BW591" s="195"/>
      <c r="BX591" s="195"/>
      <c r="BY591" s="195"/>
      <c r="BZ591" s="195"/>
      <c r="CA591" s="195"/>
      <c r="CB591" s="195"/>
      <c r="CC591" s="195"/>
      <c r="CD591" s="195"/>
      <c r="CE591" s="195"/>
      <c r="CF591" s="195"/>
      <c r="CG591" s="256"/>
    </row>
    <row r="592" spans="1:85" s="254" customFormat="1" ht="13.9" customHeight="1" x14ac:dyDescent="0.2">
      <c r="A592" s="255" t="s">
        <v>158</v>
      </c>
      <c r="B592" s="187">
        <v>90</v>
      </c>
      <c r="C592" s="248" t="s">
        <v>622</v>
      </c>
      <c r="D592" s="197" t="s">
        <v>159</v>
      </c>
      <c r="E592" s="199"/>
      <c r="F592" s="199">
        <v>729646729</v>
      </c>
      <c r="G592" s="199"/>
      <c r="H592" s="197" t="s">
        <v>798</v>
      </c>
      <c r="I592" s="248" t="s">
        <v>721</v>
      </c>
      <c r="J592" s="187">
        <v>1</v>
      </c>
      <c r="K592" s="187">
        <v>1</v>
      </c>
      <c r="L592" s="187">
        <v>12</v>
      </c>
      <c r="M592" s="172">
        <f t="shared" si="104"/>
        <v>1</v>
      </c>
      <c r="N592" s="180" t="s">
        <v>36</v>
      </c>
      <c r="O592" s="181" t="str">
        <f>IF(ISBLANK(N592),"",VLOOKUP(N592,[17]Parámetros!$G$2:$H$23,2,FALSE))</f>
        <v xml:space="preserve">Contratación directa (con ofertas) </v>
      </c>
      <c r="P592" s="249">
        <f t="shared" si="102"/>
        <v>1</v>
      </c>
      <c r="Q592" s="183">
        <f t="shared" si="105"/>
        <v>729646729</v>
      </c>
      <c r="R592" s="183">
        <f t="shared" si="106"/>
        <v>729646729</v>
      </c>
      <c r="S592" s="250" t="s">
        <v>223</v>
      </c>
      <c r="T592" s="249">
        <f t="shared" si="103"/>
        <v>0</v>
      </c>
      <c r="U592" s="185" t="str">
        <f t="shared" si="107"/>
        <v>SUBDIRECCION DE GESTION CONTRACTUAL</v>
      </c>
      <c r="V592" s="249" t="str">
        <f t="shared" si="100"/>
        <v>CO-DC</v>
      </c>
      <c r="W592" s="249" t="str">
        <f t="shared" si="101"/>
        <v>Distrito Capital de Bogotá</v>
      </c>
      <c r="X592" s="197" t="s">
        <v>591</v>
      </c>
      <c r="Y592" s="187">
        <v>2427400</v>
      </c>
      <c r="Z592" s="201" t="s">
        <v>160</v>
      </c>
      <c r="AA592" s="252"/>
      <c r="AB592" s="252"/>
      <c r="AC592" s="252"/>
      <c r="AD592" s="252"/>
      <c r="AE592" s="252"/>
      <c r="AF592" s="252"/>
      <c r="AG592" s="252"/>
      <c r="AH592" s="252"/>
      <c r="AI592" s="252"/>
      <c r="AJ592" s="252"/>
      <c r="AK592" s="252"/>
      <c r="AL592" s="252"/>
      <c r="AM592" s="252"/>
      <c r="AN592" s="252"/>
      <c r="AO592" s="252"/>
      <c r="AP592" s="252"/>
      <c r="AQ592" s="252"/>
      <c r="AR592" s="252"/>
      <c r="AS592" s="252"/>
      <c r="AT592" s="252"/>
      <c r="AU592" s="195"/>
      <c r="AV592" s="195"/>
      <c r="AW592" s="195"/>
      <c r="AX592" s="195"/>
      <c r="AY592" s="195"/>
      <c r="AZ592" s="195"/>
      <c r="BA592" s="195"/>
      <c r="BB592" s="195"/>
      <c r="BC592" s="195"/>
      <c r="BD592" s="195"/>
      <c r="BE592" s="195"/>
      <c r="BF592" s="195"/>
      <c r="BG592" s="195"/>
      <c r="BH592" s="195"/>
      <c r="BI592" s="195"/>
      <c r="BJ592" s="195"/>
      <c r="BK592" s="195"/>
      <c r="BL592" s="195"/>
      <c r="BM592" s="195"/>
      <c r="BN592" s="195"/>
      <c r="BO592" s="195"/>
      <c r="BP592" s="195"/>
      <c r="BQ592" s="195"/>
      <c r="BR592" s="195"/>
      <c r="BS592" s="195"/>
      <c r="BT592" s="195"/>
      <c r="BU592" s="195"/>
      <c r="BV592" s="195"/>
      <c r="BW592" s="195"/>
      <c r="BX592" s="195"/>
      <c r="BY592" s="195"/>
      <c r="BZ592" s="195"/>
      <c r="CA592" s="195"/>
      <c r="CB592" s="195"/>
      <c r="CC592" s="195"/>
      <c r="CD592" s="195"/>
      <c r="CE592" s="195"/>
      <c r="CF592" s="195"/>
      <c r="CG592" s="256"/>
    </row>
    <row r="593" spans="1:85" s="254" customFormat="1" ht="13.9" customHeight="1" x14ac:dyDescent="0.2">
      <c r="A593" s="255" t="s">
        <v>158</v>
      </c>
      <c r="B593" s="187">
        <v>91</v>
      </c>
      <c r="C593" s="248" t="s">
        <v>622</v>
      </c>
      <c r="D593" s="197" t="s">
        <v>159</v>
      </c>
      <c r="E593" s="199"/>
      <c r="F593" s="199">
        <v>3098514986</v>
      </c>
      <c r="G593" s="199"/>
      <c r="H593" s="197" t="s">
        <v>798</v>
      </c>
      <c r="I593" s="248" t="s">
        <v>720</v>
      </c>
      <c r="J593" s="187">
        <v>1</v>
      </c>
      <c r="K593" s="187">
        <v>1</v>
      </c>
      <c r="L593" s="187">
        <v>12</v>
      </c>
      <c r="M593" s="172">
        <f t="shared" si="104"/>
        <v>1</v>
      </c>
      <c r="N593" s="180" t="s">
        <v>36</v>
      </c>
      <c r="O593" s="181" t="str">
        <f>IF(ISBLANK(N593),"",VLOOKUP(N593,[17]Parámetros!$G$2:$H$23,2,FALSE))</f>
        <v xml:space="preserve">Contratación directa (con ofertas) </v>
      </c>
      <c r="P593" s="249">
        <f t="shared" si="102"/>
        <v>1</v>
      </c>
      <c r="Q593" s="183">
        <f t="shared" si="105"/>
        <v>3098514986</v>
      </c>
      <c r="R593" s="183">
        <f t="shared" si="106"/>
        <v>3098514986</v>
      </c>
      <c r="S593" s="250" t="s">
        <v>223</v>
      </c>
      <c r="T593" s="249">
        <f t="shared" si="103"/>
        <v>0</v>
      </c>
      <c r="U593" s="185" t="str">
        <f t="shared" si="107"/>
        <v>SUBDIRECCION DE GESTION CONTRACTUAL</v>
      </c>
      <c r="V593" s="249" t="str">
        <f t="shared" si="100"/>
        <v>CO-DC</v>
      </c>
      <c r="W593" s="249" t="str">
        <f t="shared" si="101"/>
        <v>Distrito Capital de Bogotá</v>
      </c>
      <c r="X593" s="197" t="s">
        <v>591</v>
      </c>
      <c r="Y593" s="187">
        <v>2427400</v>
      </c>
      <c r="Z593" s="201" t="s">
        <v>160</v>
      </c>
      <c r="AA593" s="252"/>
      <c r="AB593" s="252"/>
      <c r="AC593" s="252"/>
      <c r="AD593" s="252"/>
      <c r="AE593" s="252"/>
      <c r="AF593" s="252"/>
      <c r="AG593" s="252"/>
      <c r="AH593" s="252"/>
      <c r="AI593" s="252"/>
      <c r="AJ593" s="252"/>
      <c r="AK593" s="252"/>
      <c r="AL593" s="252"/>
      <c r="AM593" s="252"/>
      <c r="AN593" s="252"/>
      <c r="AO593" s="252"/>
      <c r="AP593" s="252"/>
      <c r="AQ593" s="252"/>
      <c r="AR593" s="252"/>
      <c r="AS593" s="252"/>
      <c r="AT593" s="252"/>
      <c r="AU593" s="195"/>
      <c r="AV593" s="195"/>
      <c r="AW593" s="195"/>
      <c r="AX593" s="195"/>
      <c r="AY593" s="195"/>
      <c r="AZ593" s="195"/>
      <c r="BA593" s="195"/>
      <c r="BB593" s="195"/>
      <c r="BC593" s="195"/>
      <c r="BD593" s="195"/>
      <c r="BE593" s="195"/>
      <c r="BF593" s="195"/>
      <c r="BG593" s="195"/>
      <c r="BH593" s="195"/>
      <c r="BI593" s="195"/>
      <c r="BJ593" s="195"/>
      <c r="BK593" s="195"/>
      <c r="BL593" s="195"/>
      <c r="BM593" s="195"/>
      <c r="BN593" s="195"/>
      <c r="BO593" s="195"/>
      <c r="BP593" s="195"/>
      <c r="BQ593" s="195"/>
      <c r="BR593" s="195"/>
      <c r="BS593" s="195"/>
      <c r="BT593" s="195"/>
      <c r="BU593" s="195"/>
      <c r="BV593" s="195"/>
      <c r="BW593" s="195"/>
      <c r="BX593" s="195"/>
      <c r="BY593" s="195"/>
      <c r="BZ593" s="195"/>
      <c r="CA593" s="195"/>
      <c r="CB593" s="195"/>
      <c r="CC593" s="195"/>
      <c r="CD593" s="195"/>
      <c r="CE593" s="195"/>
      <c r="CF593" s="195"/>
      <c r="CG593" s="256"/>
    </row>
    <row r="594" spans="1:85" s="254" customFormat="1" ht="13.9" customHeight="1" x14ac:dyDescent="0.2">
      <c r="A594" s="255" t="s">
        <v>158</v>
      </c>
      <c r="B594" s="187">
        <v>92</v>
      </c>
      <c r="C594" s="248" t="s">
        <v>622</v>
      </c>
      <c r="D594" s="197" t="s">
        <v>159</v>
      </c>
      <c r="E594" s="199"/>
      <c r="F594" s="199">
        <v>725962018</v>
      </c>
      <c r="G594" s="199"/>
      <c r="H594" s="197" t="s">
        <v>798</v>
      </c>
      <c r="I594" s="248" t="s">
        <v>719</v>
      </c>
      <c r="J594" s="187">
        <v>1</v>
      </c>
      <c r="K594" s="187">
        <v>1</v>
      </c>
      <c r="L594" s="187">
        <v>12</v>
      </c>
      <c r="M594" s="172">
        <f t="shared" si="104"/>
        <v>1</v>
      </c>
      <c r="N594" s="180" t="s">
        <v>36</v>
      </c>
      <c r="O594" s="181" t="str">
        <f>IF(ISBLANK(N594),"",VLOOKUP(N594,[17]Parámetros!$G$2:$H$23,2,FALSE))</f>
        <v xml:space="preserve">Contratación directa (con ofertas) </v>
      </c>
      <c r="P594" s="249">
        <f t="shared" si="102"/>
        <v>1</v>
      </c>
      <c r="Q594" s="183">
        <f t="shared" si="105"/>
        <v>725962018</v>
      </c>
      <c r="R594" s="183">
        <f t="shared" si="106"/>
        <v>725962018</v>
      </c>
      <c r="S594" s="250" t="s">
        <v>223</v>
      </c>
      <c r="T594" s="249">
        <f t="shared" si="103"/>
        <v>0</v>
      </c>
      <c r="U594" s="185" t="str">
        <f t="shared" si="107"/>
        <v>SUBDIRECCION DE GESTION CONTRACTUAL</v>
      </c>
      <c r="V594" s="249" t="str">
        <f t="shared" si="100"/>
        <v>CO-DC</v>
      </c>
      <c r="W594" s="249" t="str">
        <f t="shared" si="101"/>
        <v>Distrito Capital de Bogotá</v>
      </c>
      <c r="X594" s="197" t="s">
        <v>591</v>
      </c>
      <c r="Y594" s="187">
        <v>2427400</v>
      </c>
      <c r="Z594" s="201" t="s">
        <v>160</v>
      </c>
      <c r="AA594" s="252"/>
      <c r="AB594" s="252"/>
      <c r="AC594" s="252"/>
      <c r="AD594" s="252"/>
      <c r="AE594" s="252"/>
      <c r="AF594" s="252"/>
      <c r="AG594" s="252"/>
      <c r="AH594" s="252"/>
      <c r="AI594" s="252"/>
      <c r="AJ594" s="252"/>
      <c r="AK594" s="252"/>
      <c r="AL594" s="252"/>
      <c r="AM594" s="252"/>
      <c r="AN594" s="252"/>
      <c r="AO594" s="252"/>
      <c r="AP594" s="252"/>
      <c r="AQ594" s="252"/>
      <c r="AR594" s="252"/>
      <c r="AS594" s="252"/>
      <c r="AT594" s="252"/>
      <c r="AU594" s="195"/>
      <c r="AV594" s="195"/>
      <c r="AW594" s="195"/>
      <c r="AX594" s="195"/>
      <c r="AY594" s="195"/>
      <c r="AZ594" s="195"/>
      <c r="BA594" s="195"/>
      <c r="BB594" s="195"/>
      <c r="BC594" s="195"/>
      <c r="BD594" s="195"/>
      <c r="BE594" s="195"/>
      <c r="BF594" s="195"/>
      <c r="BG594" s="195"/>
      <c r="BH594" s="195"/>
      <c r="BI594" s="195"/>
      <c r="BJ594" s="195"/>
      <c r="BK594" s="195"/>
      <c r="BL594" s="195"/>
      <c r="BM594" s="195"/>
      <c r="BN594" s="195"/>
      <c r="BO594" s="195"/>
      <c r="BP594" s="195"/>
      <c r="BQ594" s="195"/>
      <c r="BR594" s="195"/>
      <c r="BS594" s="195"/>
      <c r="BT594" s="195"/>
      <c r="BU594" s="195"/>
      <c r="BV594" s="195"/>
      <c r="BW594" s="195"/>
      <c r="BX594" s="195"/>
      <c r="BY594" s="195"/>
      <c r="BZ594" s="195"/>
      <c r="CA594" s="195"/>
      <c r="CB594" s="195"/>
      <c r="CC594" s="195"/>
      <c r="CD594" s="195"/>
      <c r="CE594" s="195"/>
      <c r="CF594" s="195"/>
      <c r="CG594" s="256"/>
    </row>
    <row r="595" spans="1:85" s="254" customFormat="1" ht="13.9" customHeight="1" x14ac:dyDescent="0.2">
      <c r="A595" s="255" t="s">
        <v>158</v>
      </c>
      <c r="B595" s="187">
        <v>93</v>
      </c>
      <c r="C595" s="248" t="s">
        <v>622</v>
      </c>
      <c r="D595" s="197" t="s">
        <v>159</v>
      </c>
      <c r="E595" s="199"/>
      <c r="F595" s="199">
        <f>8400000000+1100000000</f>
        <v>9500000000</v>
      </c>
      <c r="G595" s="199"/>
      <c r="H595" s="197">
        <v>80111600</v>
      </c>
      <c r="I595" s="248" t="s">
        <v>718</v>
      </c>
      <c r="J595" s="187">
        <v>1</v>
      </c>
      <c r="K595" s="187">
        <v>1</v>
      </c>
      <c r="L595" s="187">
        <v>12</v>
      </c>
      <c r="M595" s="172">
        <f t="shared" si="104"/>
        <v>1</v>
      </c>
      <c r="N595" s="180" t="s">
        <v>216</v>
      </c>
      <c r="O595" s="181" t="str">
        <f>IF(ISBLANK(N595),"",VLOOKUP(N595,[17]Parámetros!$G$2:$H$23,2,FALSE))</f>
        <v>Contratación directa.</v>
      </c>
      <c r="P595" s="249">
        <f t="shared" si="102"/>
        <v>1</v>
      </c>
      <c r="Q595" s="183">
        <f t="shared" si="105"/>
        <v>9500000000</v>
      </c>
      <c r="R595" s="183">
        <f t="shared" si="106"/>
        <v>9500000000</v>
      </c>
      <c r="S595" s="250" t="s">
        <v>223</v>
      </c>
      <c r="T595" s="249">
        <f t="shared" si="103"/>
        <v>0</v>
      </c>
      <c r="U595" s="185" t="str">
        <f t="shared" si="107"/>
        <v>SUBDIRECCION DE GESTION CONTRACTUAL</v>
      </c>
      <c r="V595" s="249" t="str">
        <f t="shared" si="100"/>
        <v>CO-DC</v>
      </c>
      <c r="W595" s="249" t="str">
        <f t="shared" si="101"/>
        <v>Distrito Capital de Bogotá</v>
      </c>
      <c r="X595" s="197" t="s">
        <v>591</v>
      </c>
      <c r="Y595" s="187">
        <v>2427400</v>
      </c>
      <c r="Z595" s="258" t="s">
        <v>160</v>
      </c>
      <c r="AA595" s="252"/>
      <c r="AB595" s="252"/>
      <c r="AC595" s="252"/>
      <c r="AD595" s="252"/>
      <c r="AE595" s="252"/>
      <c r="AF595" s="252"/>
      <c r="AG595" s="252"/>
      <c r="AH595" s="252"/>
      <c r="AI595" s="252"/>
      <c r="AJ595" s="252"/>
      <c r="AK595" s="252"/>
      <c r="AL595" s="252"/>
      <c r="AM595" s="252"/>
      <c r="AN595" s="252"/>
      <c r="AO595" s="252"/>
      <c r="AP595" s="252"/>
      <c r="AQ595" s="252"/>
      <c r="AR595" s="252"/>
      <c r="AS595" s="252"/>
      <c r="AT595" s="252"/>
      <c r="AU595" s="195"/>
      <c r="AV595" s="195"/>
      <c r="AW595" s="195"/>
      <c r="AX595" s="195"/>
      <c r="AY595" s="195"/>
      <c r="AZ595" s="195"/>
      <c r="BA595" s="195"/>
      <c r="BB595" s="195"/>
      <c r="BC595" s="195"/>
      <c r="BD595" s="195"/>
      <c r="BE595" s="195"/>
      <c r="BF595" s="195"/>
      <c r="BG595" s="195"/>
      <c r="BH595" s="195"/>
      <c r="BI595" s="195"/>
      <c r="BJ595" s="195"/>
      <c r="BK595" s="195"/>
      <c r="BL595" s="195"/>
      <c r="BM595" s="195"/>
      <c r="BN595" s="195"/>
      <c r="BO595" s="195"/>
      <c r="BP595" s="195"/>
      <c r="BQ595" s="195"/>
      <c r="BR595" s="195"/>
      <c r="BS595" s="195"/>
      <c r="BT595" s="195"/>
      <c r="BU595" s="195"/>
      <c r="BV595" s="195"/>
      <c r="BW595" s="195"/>
      <c r="BX595" s="195"/>
      <c r="BY595" s="195"/>
      <c r="BZ595" s="195"/>
      <c r="CA595" s="195"/>
      <c r="CB595" s="195"/>
      <c r="CC595" s="195"/>
      <c r="CD595" s="195"/>
      <c r="CE595" s="195"/>
      <c r="CF595" s="195"/>
      <c r="CG595" s="256"/>
    </row>
    <row r="596" spans="1:85" s="254" customFormat="1" ht="13.9" customHeight="1" x14ac:dyDescent="0.2">
      <c r="A596" s="255" t="s">
        <v>158</v>
      </c>
      <c r="B596" s="187">
        <v>94</v>
      </c>
      <c r="C596" s="248" t="s">
        <v>622</v>
      </c>
      <c r="D596" s="197" t="s">
        <v>159</v>
      </c>
      <c r="E596" s="199"/>
      <c r="F596" s="199">
        <v>650000000</v>
      </c>
      <c r="G596" s="199"/>
      <c r="H596" s="175" t="s">
        <v>103</v>
      </c>
      <c r="I596" s="248" t="s">
        <v>639</v>
      </c>
      <c r="J596" s="177">
        <v>2</v>
      </c>
      <c r="K596" s="178">
        <v>3</v>
      </c>
      <c r="L596" s="179">
        <v>10</v>
      </c>
      <c r="M596" s="172">
        <f t="shared" si="104"/>
        <v>1</v>
      </c>
      <c r="N596" s="180" t="s">
        <v>36</v>
      </c>
      <c r="O596" s="181" t="str">
        <f>IF(ISBLANK(N596),"",VLOOKUP(N596,[1]Parámetros!$G$2:$H$23,2,FALSE))</f>
        <v xml:space="preserve">Contratación directa (con ofertas) </v>
      </c>
      <c r="P596" s="249">
        <f t="shared" si="102"/>
        <v>1</v>
      </c>
      <c r="Q596" s="183">
        <f t="shared" si="105"/>
        <v>650000000</v>
      </c>
      <c r="R596" s="183">
        <f t="shared" si="106"/>
        <v>650000000</v>
      </c>
      <c r="S596" s="250" t="s">
        <v>223</v>
      </c>
      <c r="T596" s="249">
        <f t="shared" si="103"/>
        <v>0</v>
      </c>
      <c r="U596" s="185" t="str">
        <f t="shared" si="107"/>
        <v>SUBDIRECCION DE GESTION CONTRACTUAL</v>
      </c>
      <c r="V596" s="249" t="str">
        <f t="shared" si="100"/>
        <v>CO-DC</v>
      </c>
      <c r="W596" s="249" t="str">
        <f t="shared" si="101"/>
        <v>Distrito Capital de Bogotá</v>
      </c>
      <c r="X596" s="197" t="s">
        <v>591</v>
      </c>
      <c r="Y596" s="187">
        <v>2427400</v>
      </c>
      <c r="Z596" s="201" t="s">
        <v>160</v>
      </c>
      <c r="AA596" s="252"/>
      <c r="AB596" s="252"/>
      <c r="AC596" s="252"/>
      <c r="AD596" s="252"/>
      <c r="AE596" s="252"/>
      <c r="AF596" s="252"/>
      <c r="AG596" s="252"/>
      <c r="AH596" s="252"/>
      <c r="AI596" s="252"/>
      <c r="AJ596" s="252"/>
      <c r="AK596" s="252"/>
      <c r="AL596" s="252"/>
      <c r="AM596" s="252"/>
      <c r="AN596" s="252"/>
      <c r="AO596" s="252"/>
      <c r="AP596" s="252"/>
      <c r="AQ596" s="252"/>
      <c r="AR596" s="252"/>
      <c r="AS596" s="252"/>
      <c r="AT596" s="252"/>
      <c r="AU596" s="195"/>
      <c r="AV596" s="195"/>
      <c r="AW596" s="195"/>
      <c r="AX596" s="195"/>
      <c r="AY596" s="195"/>
      <c r="AZ596" s="195"/>
      <c r="BA596" s="195"/>
      <c r="BB596" s="195"/>
      <c r="BC596" s="195"/>
      <c r="BD596" s="195"/>
      <c r="BE596" s="195"/>
      <c r="BF596" s="195"/>
      <c r="BG596" s="195"/>
      <c r="BH596" s="195"/>
      <c r="BI596" s="195"/>
      <c r="BJ596" s="195"/>
      <c r="BK596" s="195"/>
      <c r="BL596" s="195"/>
      <c r="BM596" s="195"/>
      <c r="BN596" s="195"/>
      <c r="BO596" s="195"/>
      <c r="BP596" s="195"/>
      <c r="BQ596" s="195"/>
      <c r="BR596" s="195"/>
      <c r="BS596" s="195"/>
      <c r="BT596" s="195"/>
      <c r="BU596" s="195"/>
      <c r="BV596" s="195"/>
      <c r="BW596" s="195"/>
      <c r="BX596" s="195"/>
      <c r="BY596" s="195"/>
      <c r="BZ596" s="195"/>
      <c r="CA596" s="195"/>
      <c r="CB596" s="195"/>
      <c r="CC596" s="195"/>
      <c r="CD596" s="195"/>
      <c r="CE596" s="195"/>
      <c r="CF596" s="195"/>
      <c r="CG596" s="256"/>
    </row>
    <row r="597" spans="1:85" s="254" customFormat="1" ht="13.9" customHeight="1" x14ac:dyDescent="0.2">
      <c r="A597" s="255" t="s">
        <v>158</v>
      </c>
      <c r="B597" s="187">
        <v>95</v>
      </c>
      <c r="C597" s="248" t="s">
        <v>622</v>
      </c>
      <c r="D597" s="197" t="s">
        <v>159</v>
      </c>
      <c r="E597" s="199"/>
      <c r="F597" s="199">
        <v>80000000</v>
      </c>
      <c r="G597" s="199"/>
      <c r="H597" s="175" t="s">
        <v>801</v>
      </c>
      <c r="I597" s="248" t="s">
        <v>623</v>
      </c>
      <c r="J597" s="202">
        <v>1</v>
      </c>
      <c r="K597" s="202">
        <v>2</v>
      </c>
      <c r="L597" s="202">
        <v>3</v>
      </c>
      <c r="M597" s="172">
        <f t="shared" si="104"/>
        <v>1</v>
      </c>
      <c r="N597" s="180" t="s">
        <v>36</v>
      </c>
      <c r="O597" s="181" t="str">
        <f>IF(ISBLANK(N597),"",VLOOKUP(N597,[17]Parámetros!$G$2:$H$23,2,FALSE))</f>
        <v xml:space="preserve">Contratación directa (con ofertas) </v>
      </c>
      <c r="P597" s="249">
        <f t="shared" si="102"/>
        <v>1</v>
      </c>
      <c r="Q597" s="183">
        <f t="shared" si="105"/>
        <v>80000000</v>
      </c>
      <c r="R597" s="183">
        <f t="shared" si="106"/>
        <v>80000000</v>
      </c>
      <c r="S597" s="250" t="s">
        <v>223</v>
      </c>
      <c r="T597" s="249">
        <f t="shared" si="103"/>
        <v>0</v>
      </c>
      <c r="U597" s="185" t="str">
        <f t="shared" si="107"/>
        <v>SUBDIRECCION DE GESTION CONTRACTUAL</v>
      </c>
      <c r="V597" s="249" t="str">
        <f t="shared" si="100"/>
        <v>CO-DC</v>
      </c>
      <c r="W597" s="249" t="str">
        <f t="shared" si="101"/>
        <v>Distrito Capital de Bogotá</v>
      </c>
      <c r="X597" s="197" t="s">
        <v>591</v>
      </c>
      <c r="Y597" s="187">
        <v>2427400</v>
      </c>
      <c r="Z597" s="201" t="s">
        <v>160</v>
      </c>
      <c r="AA597" s="252"/>
      <c r="AB597" s="252"/>
      <c r="AC597" s="252"/>
      <c r="AD597" s="252"/>
      <c r="AE597" s="252"/>
      <c r="AF597" s="252"/>
      <c r="AG597" s="252"/>
      <c r="AH597" s="252"/>
      <c r="AI597" s="252"/>
      <c r="AJ597" s="252"/>
      <c r="AK597" s="252"/>
      <c r="AL597" s="252"/>
      <c r="AM597" s="252"/>
      <c r="AN597" s="252"/>
      <c r="AO597" s="252"/>
      <c r="AP597" s="252"/>
      <c r="AQ597" s="252"/>
      <c r="AR597" s="252"/>
      <c r="AS597" s="252"/>
      <c r="AT597" s="252"/>
      <c r="AU597" s="195"/>
      <c r="AV597" s="195"/>
      <c r="AW597" s="195"/>
      <c r="AX597" s="195"/>
      <c r="AY597" s="195"/>
      <c r="AZ597" s="195"/>
      <c r="BA597" s="195"/>
      <c r="BB597" s="195"/>
      <c r="BC597" s="195"/>
      <c r="BD597" s="195"/>
      <c r="BE597" s="195"/>
      <c r="BF597" s="195"/>
      <c r="BG597" s="195"/>
      <c r="BH597" s="195"/>
      <c r="BI597" s="195"/>
      <c r="BJ597" s="195"/>
      <c r="BK597" s="195"/>
      <c r="BL597" s="195"/>
      <c r="BM597" s="195"/>
      <c r="BN597" s="195"/>
      <c r="BO597" s="195"/>
      <c r="BP597" s="195"/>
      <c r="BQ597" s="195"/>
      <c r="BR597" s="195"/>
      <c r="BS597" s="195"/>
      <c r="BT597" s="195"/>
      <c r="BU597" s="195"/>
      <c r="BV597" s="195"/>
      <c r="BW597" s="195"/>
      <c r="BX597" s="195"/>
      <c r="BY597" s="195"/>
      <c r="BZ597" s="195"/>
      <c r="CA597" s="195"/>
      <c r="CB597" s="195"/>
      <c r="CC597" s="195"/>
      <c r="CD597" s="195"/>
      <c r="CE597" s="195"/>
      <c r="CF597" s="195"/>
      <c r="CG597" s="256"/>
    </row>
    <row r="598" spans="1:85" s="254" customFormat="1" ht="13.9" customHeight="1" x14ac:dyDescent="0.2">
      <c r="A598" s="255" t="s">
        <v>158</v>
      </c>
      <c r="B598" s="187">
        <v>96</v>
      </c>
      <c r="C598" s="248" t="s">
        <v>622</v>
      </c>
      <c r="D598" s="197" t="s">
        <v>159</v>
      </c>
      <c r="E598" s="199"/>
      <c r="F598" s="199">
        <v>850000000</v>
      </c>
      <c r="G598" s="199"/>
      <c r="H598" s="175" t="s">
        <v>42</v>
      </c>
      <c r="I598" s="248" t="s">
        <v>628</v>
      </c>
      <c r="J598" s="177">
        <v>3</v>
      </c>
      <c r="K598" s="178">
        <v>4</v>
      </c>
      <c r="L598" s="179">
        <v>9</v>
      </c>
      <c r="M598" s="172">
        <f t="shared" si="104"/>
        <v>1</v>
      </c>
      <c r="N598" s="180" t="s">
        <v>61</v>
      </c>
      <c r="O598" s="181" t="str">
        <f>IF(ISBLANK(N598),"",VLOOKUP(N598,[17]Parámetros!$G$2:$H$23,2,FALSE))</f>
        <v>Contratación régimen especial - Selección de comisionista</v>
      </c>
      <c r="P598" s="249">
        <f t="shared" si="102"/>
        <v>1</v>
      </c>
      <c r="Q598" s="183">
        <f t="shared" si="105"/>
        <v>850000000</v>
      </c>
      <c r="R598" s="183">
        <f t="shared" si="106"/>
        <v>850000000</v>
      </c>
      <c r="S598" s="250" t="s">
        <v>223</v>
      </c>
      <c r="T598" s="249">
        <f t="shared" si="103"/>
        <v>0</v>
      </c>
      <c r="U598" s="185" t="str">
        <f t="shared" si="107"/>
        <v>SUBDIRECCION DE GESTION CONTRACTUAL</v>
      </c>
      <c r="V598" s="172" t="str">
        <f t="shared" ref="V598:V636" si="108">IF(ISBLANK(N598),"","CO-DC")</f>
        <v>CO-DC</v>
      </c>
      <c r="W598" s="185" t="str">
        <f t="shared" ref="W598:W636" si="109">IF(ISBLANK(N598),"","Distrito Capital de Bogotá")</f>
        <v>Distrito Capital de Bogotá</v>
      </c>
      <c r="X598" s="197" t="s">
        <v>591</v>
      </c>
      <c r="Y598" s="187">
        <v>2427400</v>
      </c>
      <c r="Z598" s="201" t="s">
        <v>160</v>
      </c>
      <c r="AA598" s="252"/>
      <c r="AB598" s="252"/>
      <c r="AC598" s="252"/>
      <c r="AD598" s="252"/>
      <c r="AE598" s="252"/>
      <c r="AF598" s="252"/>
      <c r="AG598" s="252"/>
      <c r="AH598" s="252"/>
      <c r="AI598" s="252"/>
      <c r="AJ598" s="252"/>
      <c r="AK598" s="252"/>
      <c r="AL598" s="252"/>
      <c r="AM598" s="252"/>
      <c r="AN598" s="252"/>
      <c r="AO598" s="252"/>
      <c r="AP598" s="252"/>
      <c r="AQ598" s="252"/>
      <c r="AR598" s="252"/>
      <c r="AS598" s="252"/>
      <c r="AT598" s="252"/>
      <c r="AU598" s="195"/>
      <c r="AV598" s="195"/>
      <c r="AW598" s="195"/>
      <c r="AX598" s="195"/>
      <c r="AY598" s="195"/>
      <c r="AZ598" s="195"/>
      <c r="BA598" s="195"/>
      <c r="BB598" s="195"/>
      <c r="BC598" s="195"/>
      <c r="BD598" s="195"/>
      <c r="BE598" s="195"/>
      <c r="BF598" s="195"/>
      <c r="BG598" s="195"/>
      <c r="BH598" s="195"/>
      <c r="BI598" s="195"/>
      <c r="BJ598" s="195"/>
      <c r="BK598" s="195"/>
      <c r="BL598" s="195"/>
      <c r="BM598" s="195"/>
      <c r="BN598" s="195"/>
      <c r="BO598" s="195"/>
      <c r="BP598" s="195"/>
      <c r="BQ598" s="195"/>
      <c r="BR598" s="195"/>
      <c r="BS598" s="195"/>
      <c r="BT598" s="195"/>
      <c r="BU598" s="195"/>
      <c r="BV598" s="195"/>
      <c r="BW598" s="195"/>
      <c r="BX598" s="195"/>
      <c r="BY598" s="195"/>
      <c r="BZ598" s="195"/>
      <c r="CA598" s="195"/>
      <c r="CB598" s="195"/>
      <c r="CC598" s="195"/>
      <c r="CD598" s="195"/>
      <c r="CE598" s="195"/>
      <c r="CF598" s="195"/>
      <c r="CG598" s="256"/>
    </row>
    <row r="599" spans="1:85" s="254" customFormat="1" ht="13.9" customHeight="1" x14ac:dyDescent="0.2">
      <c r="A599" s="255" t="s">
        <v>158</v>
      </c>
      <c r="B599" s="187">
        <v>97</v>
      </c>
      <c r="C599" s="248" t="s">
        <v>841</v>
      </c>
      <c r="D599" s="197" t="s">
        <v>605</v>
      </c>
      <c r="E599" s="199"/>
      <c r="F599" s="199">
        <v>19980000000</v>
      </c>
      <c r="G599" s="199"/>
      <c r="H599" s="197" t="s">
        <v>794</v>
      </c>
      <c r="I599" s="248" t="s">
        <v>712</v>
      </c>
      <c r="J599" s="187">
        <v>1</v>
      </c>
      <c r="K599" s="187">
        <v>1</v>
      </c>
      <c r="L599" s="187">
        <v>12</v>
      </c>
      <c r="M599" s="172">
        <f t="shared" si="104"/>
        <v>1</v>
      </c>
      <c r="N599" s="180" t="s">
        <v>36</v>
      </c>
      <c r="O599" s="181" t="str">
        <f>IF(ISBLANK(N599),"",VLOOKUP(N599,[17]Parámetros!$G$2:$H$23,2,FALSE))</f>
        <v xml:space="preserve">Contratación directa (con ofertas) </v>
      </c>
      <c r="P599" s="249">
        <f t="shared" ref="P599:P636" si="110">IF(ISBLANK(N599),"",1)</f>
        <v>1</v>
      </c>
      <c r="Q599" s="183">
        <f t="shared" si="105"/>
        <v>19980000000</v>
      </c>
      <c r="R599" s="183">
        <f t="shared" si="106"/>
        <v>19980000000</v>
      </c>
      <c r="S599" s="250" t="s">
        <v>223</v>
      </c>
      <c r="T599" s="249">
        <f t="shared" si="103"/>
        <v>0</v>
      </c>
      <c r="U599" s="185" t="str">
        <f t="shared" si="107"/>
        <v>SUBDIRECCION DE GESTION CONTRACTUAL</v>
      </c>
      <c r="V599" s="249" t="str">
        <f t="shared" si="108"/>
        <v>CO-DC</v>
      </c>
      <c r="W599" s="249" t="str">
        <f t="shared" si="109"/>
        <v>Distrito Capital de Bogotá</v>
      </c>
      <c r="X599" s="197" t="s">
        <v>591</v>
      </c>
      <c r="Y599" s="187">
        <v>2427400</v>
      </c>
      <c r="Z599" s="201" t="s">
        <v>160</v>
      </c>
      <c r="AA599" s="252"/>
      <c r="AB599" s="252"/>
      <c r="AC599" s="252"/>
      <c r="AD599" s="252"/>
      <c r="AE599" s="252"/>
      <c r="AF599" s="252"/>
      <c r="AG599" s="252"/>
      <c r="AH599" s="252"/>
      <c r="AI599" s="252"/>
      <c r="AJ599" s="252"/>
      <c r="AK599" s="252"/>
      <c r="AL599" s="252"/>
      <c r="AM599" s="252"/>
      <c r="AN599" s="252"/>
      <c r="AO599" s="252"/>
      <c r="AP599" s="252"/>
      <c r="AQ599" s="252"/>
      <c r="AR599" s="252"/>
      <c r="AS599" s="252"/>
      <c r="AT599" s="252"/>
      <c r="AU599" s="195"/>
      <c r="AV599" s="195"/>
      <c r="AW599" s="195"/>
      <c r="AX599" s="195"/>
      <c r="AY599" s="195"/>
      <c r="AZ599" s="195"/>
      <c r="BA599" s="195"/>
      <c r="BB599" s="195"/>
      <c r="BC599" s="195"/>
      <c r="BD599" s="195"/>
      <c r="BE599" s="195"/>
      <c r="BF599" s="195"/>
      <c r="BG599" s="195"/>
      <c r="BH599" s="195"/>
      <c r="BI599" s="195"/>
      <c r="BJ599" s="195"/>
      <c r="BK599" s="195"/>
      <c r="BL599" s="195"/>
      <c r="BM599" s="195"/>
      <c r="BN599" s="195"/>
      <c r="BO599" s="195"/>
      <c r="BP599" s="195"/>
      <c r="BQ599" s="195"/>
      <c r="BR599" s="195"/>
      <c r="BS599" s="195"/>
      <c r="BT599" s="195"/>
      <c r="BU599" s="195"/>
      <c r="BV599" s="195"/>
      <c r="BW599" s="195"/>
      <c r="BX599" s="195"/>
      <c r="BY599" s="195"/>
      <c r="BZ599" s="195"/>
      <c r="CA599" s="195"/>
      <c r="CB599" s="195"/>
      <c r="CC599" s="195"/>
      <c r="CD599" s="195"/>
      <c r="CE599" s="195"/>
      <c r="CF599" s="195"/>
      <c r="CG599" s="256"/>
    </row>
    <row r="600" spans="1:85" s="254" customFormat="1" ht="13.9" customHeight="1" x14ac:dyDescent="0.2">
      <c r="A600" s="255" t="s">
        <v>158</v>
      </c>
      <c r="B600" s="187">
        <v>98</v>
      </c>
      <c r="C600" s="248" t="s">
        <v>841</v>
      </c>
      <c r="D600" s="197" t="s">
        <v>605</v>
      </c>
      <c r="E600" s="199"/>
      <c r="F600" s="199">
        <v>1184122275</v>
      </c>
      <c r="G600" s="199"/>
      <c r="H600" s="197" t="s">
        <v>798</v>
      </c>
      <c r="I600" s="248" t="s">
        <v>713</v>
      </c>
      <c r="J600" s="187">
        <v>1</v>
      </c>
      <c r="K600" s="187">
        <v>1</v>
      </c>
      <c r="L600" s="187">
        <v>12</v>
      </c>
      <c r="M600" s="172">
        <f t="shared" si="104"/>
        <v>1</v>
      </c>
      <c r="N600" s="180" t="s">
        <v>36</v>
      </c>
      <c r="O600" s="181" t="str">
        <f>IF(ISBLANK(N600),"",VLOOKUP(N600,[17]Parámetros!$G$2:$H$23,2,FALSE))</f>
        <v xml:space="preserve">Contratación directa (con ofertas) </v>
      </c>
      <c r="P600" s="249">
        <f t="shared" si="110"/>
        <v>1</v>
      </c>
      <c r="Q600" s="183">
        <f t="shared" si="105"/>
        <v>1184122275</v>
      </c>
      <c r="R600" s="183">
        <f t="shared" si="106"/>
        <v>1184122275</v>
      </c>
      <c r="S600" s="250" t="s">
        <v>223</v>
      </c>
      <c r="T600" s="249">
        <f t="shared" si="103"/>
        <v>0</v>
      </c>
      <c r="U600" s="185" t="str">
        <f t="shared" si="107"/>
        <v>SUBDIRECCION DE GESTION CONTRACTUAL</v>
      </c>
      <c r="V600" s="249" t="str">
        <f t="shared" si="108"/>
        <v>CO-DC</v>
      </c>
      <c r="W600" s="249" t="str">
        <f t="shared" si="109"/>
        <v>Distrito Capital de Bogotá</v>
      </c>
      <c r="X600" s="197" t="s">
        <v>591</v>
      </c>
      <c r="Y600" s="187">
        <v>2427400</v>
      </c>
      <c r="Z600" s="201" t="s">
        <v>160</v>
      </c>
      <c r="AA600" s="252"/>
      <c r="AB600" s="252"/>
      <c r="AC600" s="252"/>
      <c r="AD600" s="252"/>
      <c r="AE600" s="252"/>
      <c r="AF600" s="252"/>
      <c r="AG600" s="252"/>
      <c r="AH600" s="252"/>
      <c r="AI600" s="252"/>
      <c r="AJ600" s="252"/>
      <c r="AK600" s="252"/>
      <c r="AL600" s="252"/>
      <c r="AM600" s="252"/>
      <c r="AN600" s="252"/>
      <c r="AO600" s="252"/>
      <c r="AP600" s="252"/>
      <c r="AQ600" s="252"/>
      <c r="AR600" s="252"/>
      <c r="AS600" s="252"/>
      <c r="AT600" s="252"/>
      <c r="AU600" s="195"/>
      <c r="AV600" s="195"/>
      <c r="AW600" s="195"/>
      <c r="AX600" s="195"/>
      <c r="AY600" s="195"/>
      <c r="AZ600" s="195"/>
      <c r="BA600" s="195"/>
      <c r="BB600" s="195"/>
      <c r="BC600" s="195"/>
      <c r="BD600" s="195"/>
      <c r="BE600" s="195"/>
      <c r="BF600" s="195"/>
      <c r="BG600" s="195"/>
      <c r="BH600" s="195"/>
      <c r="BI600" s="195"/>
      <c r="BJ600" s="195"/>
      <c r="BK600" s="195"/>
      <c r="BL600" s="195"/>
      <c r="BM600" s="195"/>
      <c r="BN600" s="195"/>
      <c r="BO600" s="195"/>
      <c r="BP600" s="195"/>
      <c r="BQ600" s="195"/>
      <c r="BR600" s="195"/>
      <c r="BS600" s="195"/>
      <c r="BT600" s="195"/>
      <c r="BU600" s="195"/>
      <c r="BV600" s="195"/>
      <c r="BW600" s="195"/>
      <c r="BX600" s="195"/>
      <c r="BY600" s="195"/>
      <c r="BZ600" s="195"/>
      <c r="CA600" s="195"/>
      <c r="CB600" s="195"/>
      <c r="CC600" s="195"/>
      <c r="CD600" s="195"/>
      <c r="CE600" s="195"/>
      <c r="CF600" s="195"/>
      <c r="CG600" s="256"/>
    </row>
    <row r="601" spans="1:85" s="254" customFormat="1" ht="13.9" customHeight="1" x14ac:dyDescent="0.2">
      <c r="A601" s="255" t="s">
        <v>158</v>
      </c>
      <c r="B601" s="187">
        <v>99</v>
      </c>
      <c r="C601" s="248" t="s">
        <v>841</v>
      </c>
      <c r="D601" s="197" t="s">
        <v>605</v>
      </c>
      <c r="E601" s="199"/>
      <c r="F601" s="199">
        <v>1302951521</v>
      </c>
      <c r="G601" s="199"/>
      <c r="H601" s="197" t="s">
        <v>798</v>
      </c>
      <c r="I601" s="248" t="s">
        <v>714</v>
      </c>
      <c r="J601" s="187">
        <v>1</v>
      </c>
      <c r="K601" s="187">
        <v>1</v>
      </c>
      <c r="L601" s="187">
        <v>12</v>
      </c>
      <c r="M601" s="172">
        <f t="shared" si="104"/>
        <v>1</v>
      </c>
      <c r="N601" s="180" t="s">
        <v>36</v>
      </c>
      <c r="O601" s="181" t="str">
        <f>IF(ISBLANK(N601),"",VLOOKUP(N601,[17]Parámetros!$G$2:$H$23,2,FALSE))</f>
        <v xml:space="preserve">Contratación directa (con ofertas) </v>
      </c>
      <c r="P601" s="249">
        <f t="shared" si="110"/>
        <v>1</v>
      </c>
      <c r="Q601" s="183">
        <f t="shared" si="105"/>
        <v>1302951521</v>
      </c>
      <c r="R601" s="183">
        <f t="shared" si="106"/>
        <v>1302951521</v>
      </c>
      <c r="S601" s="250" t="s">
        <v>223</v>
      </c>
      <c r="T601" s="249">
        <f t="shared" si="103"/>
        <v>0</v>
      </c>
      <c r="U601" s="185" t="str">
        <f t="shared" si="107"/>
        <v>SUBDIRECCION DE GESTION CONTRACTUAL</v>
      </c>
      <c r="V601" s="249" t="str">
        <f t="shared" si="108"/>
        <v>CO-DC</v>
      </c>
      <c r="W601" s="249" t="str">
        <f t="shared" si="109"/>
        <v>Distrito Capital de Bogotá</v>
      </c>
      <c r="X601" s="197" t="s">
        <v>591</v>
      </c>
      <c r="Y601" s="187">
        <v>2427400</v>
      </c>
      <c r="Z601" s="201" t="s">
        <v>160</v>
      </c>
      <c r="AA601" s="252"/>
      <c r="AB601" s="252"/>
      <c r="AC601" s="252"/>
      <c r="AD601" s="252"/>
      <c r="AE601" s="252"/>
      <c r="AF601" s="252"/>
      <c r="AG601" s="252"/>
      <c r="AH601" s="252"/>
      <c r="AI601" s="252"/>
      <c r="AJ601" s="252"/>
      <c r="AK601" s="252"/>
      <c r="AL601" s="252"/>
      <c r="AM601" s="252"/>
      <c r="AN601" s="252"/>
      <c r="AO601" s="252"/>
      <c r="AP601" s="252"/>
      <c r="AQ601" s="252"/>
      <c r="AR601" s="252"/>
      <c r="AS601" s="252"/>
      <c r="AT601" s="252"/>
      <c r="AU601" s="195"/>
      <c r="AV601" s="195"/>
      <c r="AW601" s="195"/>
      <c r="AX601" s="195"/>
      <c r="AY601" s="195"/>
      <c r="AZ601" s="195"/>
      <c r="BA601" s="195"/>
      <c r="BB601" s="195"/>
      <c r="BC601" s="195"/>
      <c r="BD601" s="195"/>
      <c r="BE601" s="195"/>
      <c r="BF601" s="195"/>
      <c r="BG601" s="195"/>
      <c r="BH601" s="195"/>
      <c r="BI601" s="195"/>
      <c r="BJ601" s="195"/>
      <c r="BK601" s="195"/>
      <c r="BL601" s="195"/>
      <c r="BM601" s="195"/>
      <c r="BN601" s="195"/>
      <c r="BO601" s="195"/>
      <c r="BP601" s="195"/>
      <c r="BQ601" s="195"/>
      <c r="BR601" s="195"/>
      <c r="BS601" s="195"/>
      <c r="BT601" s="195"/>
      <c r="BU601" s="195"/>
      <c r="BV601" s="195"/>
      <c r="BW601" s="195"/>
      <c r="BX601" s="195"/>
      <c r="BY601" s="195"/>
      <c r="BZ601" s="195"/>
      <c r="CA601" s="195"/>
      <c r="CB601" s="195"/>
      <c r="CC601" s="195"/>
      <c r="CD601" s="195"/>
      <c r="CE601" s="195"/>
      <c r="CF601" s="195"/>
      <c r="CG601" s="256"/>
    </row>
    <row r="602" spans="1:85" s="254" customFormat="1" ht="13.9" customHeight="1" x14ac:dyDescent="0.2">
      <c r="A602" s="255" t="s">
        <v>158</v>
      </c>
      <c r="B602" s="187">
        <v>100</v>
      </c>
      <c r="C602" s="248" t="s">
        <v>841</v>
      </c>
      <c r="D602" s="197" t="s">
        <v>605</v>
      </c>
      <c r="E602" s="199"/>
      <c r="F602" s="199">
        <v>1351896195</v>
      </c>
      <c r="G602" s="199"/>
      <c r="H602" s="197" t="s">
        <v>798</v>
      </c>
      <c r="I602" s="248" t="s">
        <v>715</v>
      </c>
      <c r="J602" s="187">
        <v>1</v>
      </c>
      <c r="K602" s="187">
        <v>1</v>
      </c>
      <c r="L602" s="187">
        <v>12</v>
      </c>
      <c r="M602" s="172">
        <f t="shared" si="104"/>
        <v>1</v>
      </c>
      <c r="N602" s="180" t="s">
        <v>36</v>
      </c>
      <c r="O602" s="181" t="str">
        <f>IF(ISBLANK(N602),"",VLOOKUP(N602,[17]Parámetros!$G$2:$H$23,2,FALSE))</f>
        <v xml:space="preserve">Contratación directa (con ofertas) </v>
      </c>
      <c r="P602" s="249">
        <f t="shared" si="110"/>
        <v>1</v>
      </c>
      <c r="Q602" s="183">
        <f t="shared" si="105"/>
        <v>1351896195</v>
      </c>
      <c r="R602" s="183">
        <f t="shared" si="106"/>
        <v>1351896195</v>
      </c>
      <c r="S602" s="250" t="s">
        <v>223</v>
      </c>
      <c r="T602" s="249">
        <f t="shared" si="103"/>
        <v>0</v>
      </c>
      <c r="U602" s="185" t="str">
        <f t="shared" si="107"/>
        <v>SUBDIRECCION DE GESTION CONTRACTUAL</v>
      </c>
      <c r="V602" s="249" t="str">
        <f t="shared" si="108"/>
        <v>CO-DC</v>
      </c>
      <c r="W602" s="249" t="str">
        <f t="shared" si="109"/>
        <v>Distrito Capital de Bogotá</v>
      </c>
      <c r="X602" s="197" t="s">
        <v>591</v>
      </c>
      <c r="Y602" s="187">
        <v>2427400</v>
      </c>
      <c r="Z602" s="201" t="s">
        <v>160</v>
      </c>
      <c r="AA602" s="252"/>
      <c r="AB602" s="252"/>
      <c r="AC602" s="252"/>
      <c r="AD602" s="252"/>
      <c r="AE602" s="252"/>
      <c r="AF602" s="252"/>
      <c r="AG602" s="252"/>
      <c r="AH602" s="252"/>
      <c r="AI602" s="252"/>
      <c r="AJ602" s="252"/>
      <c r="AK602" s="252"/>
      <c r="AL602" s="252"/>
      <c r="AM602" s="252"/>
      <c r="AN602" s="252"/>
      <c r="AO602" s="252"/>
      <c r="AP602" s="252"/>
      <c r="AQ602" s="252"/>
      <c r="AR602" s="252"/>
      <c r="AS602" s="252"/>
      <c r="AT602" s="252"/>
      <c r="AU602" s="195"/>
      <c r="AV602" s="195"/>
      <c r="AW602" s="195"/>
      <c r="AX602" s="195"/>
      <c r="AY602" s="195"/>
      <c r="AZ602" s="195"/>
      <c r="BA602" s="195"/>
      <c r="BB602" s="195"/>
      <c r="BC602" s="195"/>
      <c r="BD602" s="195"/>
      <c r="BE602" s="195"/>
      <c r="BF602" s="195"/>
      <c r="BG602" s="195"/>
      <c r="BH602" s="195"/>
      <c r="BI602" s="195"/>
      <c r="BJ602" s="195"/>
      <c r="BK602" s="195"/>
      <c r="BL602" s="195"/>
      <c r="BM602" s="195"/>
      <c r="BN602" s="195"/>
      <c r="BO602" s="195"/>
      <c r="BP602" s="195"/>
      <c r="BQ602" s="195"/>
      <c r="BR602" s="195"/>
      <c r="BS602" s="195"/>
      <c r="BT602" s="195"/>
      <c r="BU602" s="195"/>
      <c r="BV602" s="195"/>
      <c r="BW602" s="195"/>
      <c r="BX602" s="195"/>
      <c r="BY602" s="195"/>
      <c r="BZ602" s="195"/>
      <c r="CA602" s="195"/>
      <c r="CB602" s="195"/>
      <c r="CC602" s="195"/>
      <c r="CD602" s="195"/>
      <c r="CE602" s="195"/>
      <c r="CF602" s="195"/>
      <c r="CG602" s="256"/>
    </row>
    <row r="603" spans="1:85" s="254" customFormat="1" ht="13.9" customHeight="1" x14ac:dyDescent="0.2">
      <c r="A603" s="255" t="s">
        <v>158</v>
      </c>
      <c r="B603" s="187">
        <v>101</v>
      </c>
      <c r="C603" s="248" t="s">
        <v>841</v>
      </c>
      <c r="D603" s="197" t="s">
        <v>605</v>
      </c>
      <c r="E603" s="199"/>
      <c r="F603" s="199">
        <v>1965929315</v>
      </c>
      <c r="G603" s="199"/>
      <c r="H603" s="197" t="s">
        <v>798</v>
      </c>
      <c r="I603" s="248" t="s">
        <v>716</v>
      </c>
      <c r="J603" s="187">
        <v>1</v>
      </c>
      <c r="K603" s="187">
        <v>1</v>
      </c>
      <c r="L603" s="187">
        <v>12</v>
      </c>
      <c r="M603" s="172">
        <f t="shared" si="104"/>
        <v>1</v>
      </c>
      <c r="N603" s="180" t="s">
        <v>36</v>
      </c>
      <c r="O603" s="181" t="str">
        <f>IF(ISBLANK(N603),"",VLOOKUP(N603,[17]Parámetros!$G$2:$H$23,2,FALSE))</f>
        <v xml:space="preserve">Contratación directa (con ofertas) </v>
      </c>
      <c r="P603" s="249">
        <f t="shared" si="110"/>
        <v>1</v>
      </c>
      <c r="Q603" s="183">
        <f t="shared" si="105"/>
        <v>1965929315</v>
      </c>
      <c r="R603" s="183">
        <f t="shared" si="106"/>
        <v>1965929315</v>
      </c>
      <c r="S603" s="250" t="s">
        <v>223</v>
      </c>
      <c r="T603" s="249">
        <f t="shared" si="103"/>
        <v>0</v>
      </c>
      <c r="U603" s="185" t="str">
        <f t="shared" si="107"/>
        <v>SUBDIRECCION DE GESTION CONTRACTUAL</v>
      </c>
      <c r="V603" s="249" t="str">
        <f t="shared" si="108"/>
        <v>CO-DC</v>
      </c>
      <c r="W603" s="249" t="str">
        <f t="shared" si="109"/>
        <v>Distrito Capital de Bogotá</v>
      </c>
      <c r="X603" s="197" t="s">
        <v>591</v>
      </c>
      <c r="Y603" s="187">
        <v>2427400</v>
      </c>
      <c r="Z603" s="201" t="s">
        <v>160</v>
      </c>
      <c r="AA603" s="252"/>
      <c r="AB603" s="252"/>
      <c r="AC603" s="252"/>
      <c r="AD603" s="252"/>
      <c r="AE603" s="252"/>
      <c r="AF603" s="252"/>
      <c r="AG603" s="252"/>
      <c r="AH603" s="252"/>
      <c r="AI603" s="252"/>
      <c r="AJ603" s="252"/>
      <c r="AK603" s="252"/>
      <c r="AL603" s="252"/>
      <c r="AM603" s="252"/>
      <c r="AN603" s="252"/>
      <c r="AO603" s="252"/>
      <c r="AP603" s="252"/>
      <c r="AQ603" s="252"/>
      <c r="AR603" s="252"/>
      <c r="AS603" s="252"/>
      <c r="AT603" s="252"/>
      <c r="AU603" s="195"/>
      <c r="AV603" s="195"/>
      <c r="AW603" s="195"/>
      <c r="AX603" s="195"/>
      <c r="AY603" s="195"/>
      <c r="AZ603" s="195"/>
      <c r="BA603" s="195"/>
      <c r="BB603" s="195"/>
      <c r="BC603" s="195"/>
      <c r="BD603" s="195"/>
      <c r="BE603" s="195"/>
      <c r="BF603" s="195"/>
      <c r="BG603" s="195"/>
      <c r="BH603" s="195"/>
      <c r="BI603" s="195"/>
      <c r="BJ603" s="195"/>
      <c r="BK603" s="195"/>
      <c r="BL603" s="195"/>
      <c r="BM603" s="195"/>
      <c r="BN603" s="195"/>
      <c r="BO603" s="195"/>
      <c r="BP603" s="195"/>
      <c r="BQ603" s="195"/>
      <c r="BR603" s="195"/>
      <c r="BS603" s="195"/>
      <c r="BT603" s="195"/>
      <c r="BU603" s="195"/>
      <c r="BV603" s="195"/>
      <c r="BW603" s="195"/>
      <c r="BX603" s="195"/>
      <c r="BY603" s="195"/>
      <c r="BZ603" s="195"/>
      <c r="CA603" s="195"/>
      <c r="CB603" s="195"/>
      <c r="CC603" s="195"/>
      <c r="CD603" s="195"/>
      <c r="CE603" s="195"/>
      <c r="CF603" s="195"/>
      <c r="CG603" s="256"/>
    </row>
    <row r="604" spans="1:85" s="254" customFormat="1" ht="13.9" customHeight="1" x14ac:dyDescent="0.2">
      <c r="A604" s="255" t="s">
        <v>158</v>
      </c>
      <c r="B604" s="187">
        <v>102</v>
      </c>
      <c r="C604" s="248" t="s">
        <v>841</v>
      </c>
      <c r="D604" s="197" t="s">
        <v>605</v>
      </c>
      <c r="E604" s="199"/>
      <c r="F604" s="199">
        <v>1700289171</v>
      </c>
      <c r="G604" s="199"/>
      <c r="H604" s="197" t="s">
        <v>798</v>
      </c>
      <c r="I604" s="248" t="s">
        <v>717</v>
      </c>
      <c r="J604" s="187">
        <v>1</v>
      </c>
      <c r="K604" s="187">
        <v>1</v>
      </c>
      <c r="L604" s="187">
        <v>12</v>
      </c>
      <c r="M604" s="172">
        <f t="shared" si="104"/>
        <v>1</v>
      </c>
      <c r="N604" s="180" t="s">
        <v>36</v>
      </c>
      <c r="O604" s="181" t="str">
        <f>IF(ISBLANK(N604),"",VLOOKUP(N604,[17]Parámetros!$G$2:$H$23,2,FALSE))</f>
        <v xml:space="preserve">Contratación directa (con ofertas) </v>
      </c>
      <c r="P604" s="249">
        <f t="shared" si="110"/>
        <v>1</v>
      </c>
      <c r="Q604" s="183">
        <f t="shared" si="105"/>
        <v>1700289171</v>
      </c>
      <c r="R604" s="183">
        <f t="shared" si="106"/>
        <v>1700289171</v>
      </c>
      <c r="S604" s="250" t="s">
        <v>223</v>
      </c>
      <c r="T604" s="249">
        <f t="shared" si="103"/>
        <v>0</v>
      </c>
      <c r="U604" s="185" t="str">
        <f t="shared" si="107"/>
        <v>SUBDIRECCION DE GESTION CONTRACTUAL</v>
      </c>
      <c r="V604" s="249" t="str">
        <f t="shared" si="108"/>
        <v>CO-DC</v>
      </c>
      <c r="W604" s="249" t="str">
        <f t="shared" si="109"/>
        <v>Distrito Capital de Bogotá</v>
      </c>
      <c r="X604" s="197" t="s">
        <v>591</v>
      </c>
      <c r="Y604" s="187">
        <v>2427400</v>
      </c>
      <c r="Z604" s="201" t="s">
        <v>160</v>
      </c>
      <c r="AA604" s="252"/>
      <c r="AB604" s="252"/>
      <c r="AC604" s="252"/>
      <c r="AD604" s="252"/>
      <c r="AE604" s="252"/>
      <c r="AF604" s="252"/>
      <c r="AG604" s="252"/>
      <c r="AH604" s="252"/>
      <c r="AI604" s="252"/>
      <c r="AJ604" s="252"/>
      <c r="AK604" s="252"/>
      <c r="AL604" s="252"/>
      <c r="AM604" s="252"/>
      <c r="AN604" s="252"/>
      <c r="AO604" s="252"/>
      <c r="AP604" s="252"/>
      <c r="AQ604" s="252"/>
      <c r="AR604" s="252"/>
      <c r="AS604" s="252"/>
      <c r="AT604" s="252"/>
      <c r="AU604" s="195"/>
      <c r="AV604" s="195"/>
      <c r="AW604" s="195"/>
      <c r="AX604" s="195"/>
      <c r="AY604" s="195"/>
      <c r="AZ604" s="195"/>
      <c r="BA604" s="195"/>
      <c r="BB604" s="195"/>
      <c r="BC604" s="195"/>
      <c r="BD604" s="195"/>
      <c r="BE604" s="195"/>
      <c r="BF604" s="195"/>
      <c r="BG604" s="195"/>
      <c r="BH604" s="195"/>
      <c r="BI604" s="195"/>
      <c r="BJ604" s="195"/>
      <c r="BK604" s="195"/>
      <c r="BL604" s="195"/>
      <c r="BM604" s="195"/>
      <c r="BN604" s="195"/>
      <c r="BO604" s="195"/>
      <c r="BP604" s="195"/>
      <c r="BQ604" s="195"/>
      <c r="BR604" s="195"/>
      <c r="BS604" s="195"/>
      <c r="BT604" s="195"/>
      <c r="BU604" s="195"/>
      <c r="BV604" s="195"/>
      <c r="BW604" s="195"/>
      <c r="BX604" s="195"/>
      <c r="BY604" s="195"/>
      <c r="BZ604" s="195"/>
      <c r="CA604" s="195"/>
      <c r="CB604" s="195"/>
      <c r="CC604" s="195"/>
      <c r="CD604" s="195"/>
      <c r="CE604" s="195"/>
      <c r="CF604" s="195"/>
      <c r="CG604" s="256"/>
    </row>
    <row r="605" spans="1:85" s="254" customFormat="1" ht="13.9" customHeight="1" x14ac:dyDescent="0.2">
      <c r="A605" s="255" t="s">
        <v>158</v>
      </c>
      <c r="B605" s="187">
        <v>103</v>
      </c>
      <c r="C605" s="248" t="s">
        <v>841</v>
      </c>
      <c r="D605" s="197" t="s">
        <v>605</v>
      </c>
      <c r="E605" s="199"/>
      <c r="F605" s="199">
        <v>1965929315</v>
      </c>
      <c r="G605" s="199"/>
      <c r="H605" s="197" t="s">
        <v>798</v>
      </c>
      <c r="I605" s="248" t="s">
        <v>711</v>
      </c>
      <c r="J605" s="187">
        <v>1</v>
      </c>
      <c r="K605" s="187">
        <v>1</v>
      </c>
      <c r="L605" s="187">
        <v>12</v>
      </c>
      <c r="M605" s="172">
        <f t="shared" si="104"/>
        <v>1</v>
      </c>
      <c r="N605" s="180" t="s">
        <v>36</v>
      </c>
      <c r="O605" s="181" t="str">
        <f>IF(ISBLANK(N605),"",VLOOKUP(N605,[17]Parámetros!$G$2:$H$23,2,FALSE))</f>
        <v xml:space="preserve">Contratación directa (con ofertas) </v>
      </c>
      <c r="P605" s="249">
        <f t="shared" si="110"/>
        <v>1</v>
      </c>
      <c r="Q605" s="183">
        <f t="shared" si="105"/>
        <v>1965929315</v>
      </c>
      <c r="R605" s="183">
        <f t="shared" si="106"/>
        <v>1965929315</v>
      </c>
      <c r="S605" s="250" t="s">
        <v>223</v>
      </c>
      <c r="T605" s="249">
        <f t="shared" si="103"/>
        <v>0</v>
      </c>
      <c r="U605" s="185" t="str">
        <f t="shared" si="107"/>
        <v>SUBDIRECCION DE GESTION CONTRACTUAL</v>
      </c>
      <c r="V605" s="249" t="str">
        <f t="shared" si="108"/>
        <v>CO-DC</v>
      </c>
      <c r="W605" s="249" t="str">
        <f t="shared" si="109"/>
        <v>Distrito Capital de Bogotá</v>
      </c>
      <c r="X605" s="197" t="s">
        <v>591</v>
      </c>
      <c r="Y605" s="187">
        <v>2427400</v>
      </c>
      <c r="Z605" s="201" t="s">
        <v>160</v>
      </c>
      <c r="AA605" s="252"/>
      <c r="AB605" s="252"/>
      <c r="AC605" s="252"/>
      <c r="AD605" s="252"/>
      <c r="AE605" s="252"/>
      <c r="AF605" s="252"/>
      <c r="AG605" s="252"/>
      <c r="AH605" s="252"/>
      <c r="AI605" s="252"/>
      <c r="AJ605" s="252"/>
      <c r="AK605" s="252"/>
      <c r="AL605" s="252"/>
      <c r="AM605" s="252"/>
      <c r="AN605" s="252"/>
      <c r="AO605" s="252"/>
      <c r="AP605" s="252"/>
      <c r="AQ605" s="252"/>
      <c r="AR605" s="252"/>
      <c r="AS605" s="252"/>
      <c r="AT605" s="252"/>
      <c r="AU605" s="195"/>
      <c r="AV605" s="195"/>
      <c r="AW605" s="195"/>
      <c r="AX605" s="195"/>
      <c r="AY605" s="195"/>
      <c r="AZ605" s="195"/>
      <c r="BA605" s="195"/>
      <c r="BB605" s="195"/>
      <c r="BC605" s="195"/>
      <c r="BD605" s="195"/>
      <c r="BE605" s="195"/>
      <c r="BF605" s="195"/>
      <c r="BG605" s="195"/>
      <c r="BH605" s="195"/>
      <c r="BI605" s="195"/>
      <c r="BJ605" s="195"/>
      <c r="BK605" s="195"/>
      <c r="BL605" s="195"/>
      <c r="BM605" s="195"/>
      <c r="BN605" s="195"/>
      <c r="BO605" s="195"/>
      <c r="BP605" s="195"/>
      <c r="BQ605" s="195"/>
      <c r="BR605" s="195"/>
      <c r="BS605" s="195"/>
      <c r="BT605" s="195"/>
      <c r="BU605" s="195"/>
      <c r="BV605" s="195"/>
      <c r="BW605" s="195"/>
      <c r="BX605" s="195"/>
      <c r="BY605" s="195"/>
      <c r="BZ605" s="195"/>
      <c r="CA605" s="195"/>
      <c r="CB605" s="195"/>
      <c r="CC605" s="195"/>
      <c r="CD605" s="195"/>
      <c r="CE605" s="195"/>
      <c r="CF605" s="195"/>
      <c r="CG605" s="256"/>
    </row>
    <row r="606" spans="1:85" s="254" customFormat="1" ht="13.9" customHeight="1" x14ac:dyDescent="0.2">
      <c r="A606" s="255" t="s">
        <v>158</v>
      </c>
      <c r="B606" s="187">
        <v>104</v>
      </c>
      <c r="C606" s="248" t="s">
        <v>841</v>
      </c>
      <c r="D606" s="197" t="s">
        <v>605</v>
      </c>
      <c r="E606" s="199"/>
      <c r="F606" s="199">
        <v>1481100270.5</v>
      </c>
      <c r="G606" s="199"/>
      <c r="H606" s="197" t="s">
        <v>798</v>
      </c>
      <c r="I606" s="248" t="s">
        <v>710</v>
      </c>
      <c r="J606" s="187">
        <v>1</v>
      </c>
      <c r="K606" s="187">
        <v>1</v>
      </c>
      <c r="L606" s="187">
        <v>12</v>
      </c>
      <c r="M606" s="172">
        <f t="shared" si="104"/>
        <v>1</v>
      </c>
      <c r="N606" s="180" t="s">
        <v>36</v>
      </c>
      <c r="O606" s="181" t="str">
        <f>IF(ISBLANK(N606),"",VLOOKUP(N606,[17]Parámetros!$G$2:$H$23,2,FALSE))</f>
        <v xml:space="preserve">Contratación directa (con ofertas) </v>
      </c>
      <c r="P606" s="249">
        <f t="shared" si="110"/>
        <v>1</v>
      </c>
      <c r="Q606" s="183">
        <f t="shared" si="105"/>
        <v>1481100270.5</v>
      </c>
      <c r="R606" s="183">
        <f t="shared" si="106"/>
        <v>1481100270.5</v>
      </c>
      <c r="S606" s="250" t="s">
        <v>223</v>
      </c>
      <c r="T606" s="249">
        <f t="shared" si="103"/>
        <v>0</v>
      </c>
      <c r="U606" s="185" t="str">
        <f t="shared" si="107"/>
        <v>SUBDIRECCION DE GESTION CONTRACTUAL</v>
      </c>
      <c r="V606" s="249" t="str">
        <f t="shared" si="108"/>
        <v>CO-DC</v>
      </c>
      <c r="W606" s="249" t="str">
        <f t="shared" si="109"/>
        <v>Distrito Capital de Bogotá</v>
      </c>
      <c r="X606" s="197" t="s">
        <v>591</v>
      </c>
      <c r="Y606" s="187">
        <v>2427400</v>
      </c>
      <c r="Z606" s="201" t="s">
        <v>160</v>
      </c>
      <c r="AA606" s="252"/>
      <c r="AB606" s="252"/>
      <c r="AC606" s="252"/>
      <c r="AD606" s="252"/>
      <c r="AE606" s="252"/>
      <c r="AF606" s="252"/>
      <c r="AG606" s="252"/>
      <c r="AH606" s="252"/>
      <c r="AI606" s="252"/>
      <c r="AJ606" s="252"/>
      <c r="AK606" s="252"/>
      <c r="AL606" s="252"/>
      <c r="AM606" s="252"/>
      <c r="AN606" s="252"/>
      <c r="AO606" s="252"/>
      <c r="AP606" s="252"/>
      <c r="AQ606" s="252"/>
      <c r="AR606" s="252"/>
      <c r="AS606" s="252"/>
      <c r="AT606" s="252"/>
      <c r="AU606" s="195"/>
      <c r="AV606" s="195"/>
      <c r="AW606" s="195"/>
      <c r="AX606" s="195"/>
      <c r="AY606" s="195"/>
      <c r="AZ606" s="195"/>
      <c r="BA606" s="195"/>
      <c r="BB606" s="195"/>
      <c r="BC606" s="195"/>
      <c r="BD606" s="195"/>
      <c r="BE606" s="195"/>
      <c r="BF606" s="195"/>
      <c r="BG606" s="195"/>
      <c r="BH606" s="195"/>
      <c r="BI606" s="195"/>
      <c r="BJ606" s="195"/>
      <c r="BK606" s="195"/>
      <c r="BL606" s="195"/>
      <c r="BM606" s="195"/>
      <c r="BN606" s="195"/>
      <c r="BO606" s="195"/>
      <c r="BP606" s="195"/>
      <c r="BQ606" s="195"/>
      <c r="BR606" s="195"/>
      <c r="BS606" s="195"/>
      <c r="BT606" s="195"/>
      <c r="BU606" s="195"/>
      <c r="BV606" s="195"/>
      <c r="BW606" s="195"/>
      <c r="BX606" s="195"/>
      <c r="BY606" s="195"/>
      <c r="BZ606" s="195"/>
      <c r="CA606" s="195"/>
      <c r="CB606" s="195"/>
      <c r="CC606" s="195"/>
      <c r="CD606" s="195"/>
      <c r="CE606" s="195"/>
      <c r="CF606" s="195"/>
      <c r="CG606" s="256"/>
    </row>
    <row r="607" spans="1:85" s="254" customFormat="1" ht="13.9" customHeight="1" x14ac:dyDescent="0.2">
      <c r="A607" s="255" t="s">
        <v>158</v>
      </c>
      <c r="B607" s="187">
        <v>105</v>
      </c>
      <c r="C607" s="248" t="s">
        <v>841</v>
      </c>
      <c r="D607" s="197" t="s">
        <v>605</v>
      </c>
      <c r="E607" s="199"/>
      <c r="F607" s="199">
        <v>5944059397</v>
      </c>
      <c r="G607" s="199"/>
      <c r="H607" s="197" t="s">
        <v>798</v>
      </c>
      <c r="I607" s="248" t="s">
        <v>709</v>
      </c>
      <c r="J607" s="187">
        <v>1</v>
      </c>
      <c r="K607" s="187">
        <v>1</v>
      </c>
      <c r="L607" s="187">
        <v>12</v>
      </c>
      <c r="M607" s="172">
        <f t="shared" si="104"/>
        <v>1</v>
      </c>
      <c r="N607" s="180" t="s">
        <v>36</v>
      </c>
      <c r="O607" s="181" t="str">
        <f>IF(ISBLANK(N607),"",VLOOKUP(N607,[17]Parámetros!$G$2:$H$23,2,FALSE))</f>
        <v xml:space="preserve">Contratación directa (con ofertas) </v>
      </c>
      <c r="P607" s="249">
        <f t="shared" si="110"/>
        <v>1</v>
      </c>
      <c r="Q607" s="183">
        <f t="shared" si="105"/>
        <v>5944059397</v>
      </c>
      <c r="R607" s="183">
        <f t="shared" si="106"/>
        <v>5944059397</v>
      </c>
      <c r="S607" s="250" t="s">
        <v>223</v>
      </c>
      <c r="T607" s="249">
        <f t="shared" si="103"/>
        <v>0</v>
      </c>
      <c r="U607" s="185" t="str">
        <f t="shared" si="107"/>
        <v>SUBDIRECCION DE GESTION CONTRACTUAL</v>
      </c>
      <c r="V607" s="249" t="str">
        <f t="shared" si="108"/>
        <v>CO-DC</v>
      </c>
      <c r="W607" s="249" t="str">
        <f t="shared" si="109"/>
        <v>Distrito Capital de Bogotá</v>
      </c>
      <c r="X607" s="197" t="s">
        <v>591</v>
      </c>
      <c r="Y607" s="187">
        <v>2427400</v>
      </c>
      <c r="Z607" s="201" t="s">
        <v>160</v>
      </c>
      <c r="AA607" s="252"/>
      <c r="AB607" s="252"/>
      <c r="AC607" s="252"/>
      <c r="AD607" s="252"/>
      <c r="AE607" s="252"/>
      <c r="AF607" s="252"/>
      <c r="AG607" s="252"/>
      <c r="AH607" s="252"/>
      <c r="AI607" s="252"/>
      <c r="AJ607" s="252"/>
      <c r="AK607" s="252"/>
      <c r="AL607" s="252"/>
      <c r="AM607" s="252"/>
      <c r="AN607" s="252"/>
      <c r="AO607" s="252"/>
      <c r="AP607" s="252"/>
      <c r="AQ607" s="252"/>
      <c r="AR607" s="252"/>
      <c r="AS607" s="252"/>
      <c r="AT607" s="252"/>
      <c r="AU607" s="195"/>
      <c r="AV607" s="195"/>
      <c r="AW607" s="195"/>
      <c r="AX607" s="195"/>
      <c r="AY607" s="195"/>
      <c r="AZ607" s="195"/>
      <c r="BA607" s="195"/>
      <c r="BB607" s="195"/>
      <c r="BC607" s="195"/>
      <c r="BD607" s="195"/>
      <c r="BE607" s="195"/>
      <c r="BF607" s="195"/>
      <c r="BG607" s="195"/>
      <c r="BH607" s="195"/>
      <c r="BI607" s="195"/>
      <c r="BJ607" s="195"/>
      <c r="BK607" s="195"/>
      <c r="BL607" s="195"/>
      <c r="BM607" s="195"/>
      <c r="BN607" s="195"/>
      <c r="BO607" s="195"/>
      <c r="BP607" s="195"/>
      <c r="BQ607" s="195"/>
      <c r="BR607" s="195"/>
      <c r="BS607" s="195"/>
      <c r="BT607" s="195"/>
      <c r="BU607" s="195"/>
      <c r="BV607" s="195"/>
      <c r="BW607" s="195"/>
      <c r="BX607" s="195"/>
      <c r="BY607" s="195"/>
      <c r="BZ607" s="195"/>
      <c r="CA607" s="195"/>
      <c r="CB607" s="195"/>
      <c r="CC607" s="195"/>
      <c r="CD607" s="195"/>
      <c r="CE607" s="195"/>
      <c r="CF607" s="195"/>
      <c r="CG607" s="256"/>
    </row>
    <row r="608" spans="1:85" s="254" customFormat="1" ht="13.9" customHeight="1" x14ac:dyDescent="0.2">
      <c r="A608" s="255" t="s">
        <v>158</v>
      </c>
      <c r="B608" s="187">
        <v>106</v>
      </c>
      <c r="C608" s="248" t="s">
        <v>841</v>
      </c>
      <c r="D608" s="197" t="s">
        <v>605</v>
      </c>
      <c r="E608" s="199"/>
      <c r="F608" s="199">
        <v>1393976725</v>
      </c>
      <c r="G608" s="199"/>
      <c r="H608" s="197" t="s">
        <v>798</v>
      </c>
      <c r="I608" s="248" t="s">
        <v>708</v>
      </c>
      <c r="J608" s="187">
        <v>1</v>
      </c>
      <c r="K608" s="187">
        <v>1</v>
      </c>
      <c r="L608" s="187">
        <v>12</v>
      </c>
      <c r="M608" s="172">
        <f t="shared" si="104"/>
        <v>1</v>
      </c>
      <c r="N608" s="180" t="s">
        <v>36</v>
      </c>
      <c r="O608" s="181" t="str">
        <f>IF(ISBLANK(N608),"",VLOOKUP(N608,[17]Parámetros!$G$2:$H$23,2,FALSE))</f>
        <v xml:space="preserve">Contratación directa (con ofertas) </v>
      </c>
      <c r="P608" s="249">
        <f t="shared" si="110"/>
        <v>1</v>
      </c>
      <c r="Q608" s="183">
        <f t="shared" si="105"/>
        <v>1393976725</v>
      </c>
      <c r="R608" s="183">
        <f t="shared" si="106"/>
        <v>1393976725</v>
      </c>
      <c r="S608" s="250" t="s">
        <v>223</v>
      </c>
      <c r="T608" s="249">
        <f t="shared" si="103"/>
        <v>0</v>
      </c>
      <c r="U608" s="185" t="str">
        <f t="shared" si="107"/>
        <v>SUBDIRECCION DE GESTION CONTRACTUAL</v>
      </c>
      <c r="V608" s="249" t="str">
        <f t="shared" si="108"/>
        <v>CO-DC</v>
      </c>
      <c r="W608" s="249" t="str">
        <f t="shared" si="109"/>
        <v>Distrito Capital de Bogotá</v>
      </c>
      <c r="X608" s="197" t="s">
        <v>591</v>
      </c>
      <c r="Y608" s="187">
        <v>2427400</v>
      </c>
      <c r="Z608" s="201" t="s">
        <v>160</v>
      </c>
      <c r="AA608" s="252"/>
      <c r="AB608" s="252"/>
      <c r="AC608" s="252"/>
      <c r="AD608" s="252"/>
      <c r="AE608" s="252"/>
      <c r="AF608" s="252"/>
      <c r="AG608" s="252"/>
      <c r="AH608" s="252"/>
      <c r="AI608" s="252"/>
      <c r="AJ608" s="252"/>
      <c r="AK608" s="252"/>
      <c r="AL608" s="252"/>
      <c r="AM608" s="252"/>
      <c r="AN608" s="252"/>
      <c r="AO608" s="252"/>
      <c r="AP608" s="252"/>
      <c r="AQ608" s="252"/>
      <c r="AR608" s="252"/>
      <c r="AS608" s="252"/>
      <c r="AT608" s="252"/>
      <c r="AU608" s="195"/>
      <c r="AV608" s="195"/>
      <c r="AW608" s="195"/>
      <c r="AX608" s="195"/>
      <c r="AY608" s="195"/>
      <c r="AZ608" s="195"/>
      <c r="BA608" s="195"/>
      <c r="BB608" s="195"/>
      <c r="BC608" s="195"/>
      <c r="BD608" s="195"/>
      <c r="BE608" s="195"/>
      <c r="BF608" s="195"/>
      <c r="BG608" s="195"/>
      <c r="BH608" s="195"/>
      <c r="BI608" s="195"/>
      <c r="BJ608" s="195"/>
      <c r="BK608" s="195"/>
      <c r="BL608" s="195"/>
      <c r="BM608" s="195"/>
      <c r="BN608" s="195"/>
      <c r="BO608" s="195"/>
      <c r="BP608" s="195"/>
      <c r="BQ608" s="195"/>
      <c r="BR608" s="195"/>
      <c r="BS608" s="195"/>
      <c r="BT608" s="195"/>
      <c r="BU608" s="195"/>
      <c r="BV608" s="195"/>
      <c r="BW608" s="195"/>
      <c r="BX608" s="195"/>
      <c r="BY608" s="195"/>
      <c r="BZ608" s="195"/>
      <c r="CA608" s="195"/>
      <c r="CB608" s="195"/>
      <c r="CC608" s="195"/>
      <c r="CD608" s="195"/>
      <c r="CE608" s="195"/>
      <c r="CF608" s="195"/>
      <c r="CG608" s="256"/>
    </row>
    <row r="609" spans="1:85" s="254" customFormat="1" ht="13.9" customHeight="1" x14ac:dyDescent="0.2">
      <c r="A609" s="255" t="s">
        <v>158</v>
      </c>
      <c r="B609" s="187">
        <v>107</v>
      </c>
      <c r="C609" s="248" t="s">
        <v>841</v>
      </c>
      <c r="D609" s="197" t="s">
        <v>605</v>
      </c>
      <c r="E609" s="199"/>
      <c r="F609" s="199">
        <v>4407956236</v>
      </c>
      <c r="G609" s="199"/>
      <c r="H609" s="197" t="s">
        <v>798</v>
      </c>
      <c r="I609" s="248" t="s">
        <v>707</v>
      </c>
      <c r="J609" s="187">
        <v>1</v>
      </c>
      <c r="K609" s="187">
        <v>1</v>
      </c>
      <c r="L609" s="187">
        <v>12</v>
      </c>
      <c r="M609" s="172">
        <f t="shared" si="104"/>
        <v>1</v>
      </c>
      <c r="N609" s="180" t="s">
        <v>36</v>
      </c>
      <c r="O609" s="181" t="str">
        <f>IF(ISBLANK(N609),"",VLOOKUP(N609,[17]Parámetros!$G$2:$H$23,2,FALSE))</f>
        <v xml:space="preserve">Contratación directa (con ofertas) </v>
      </c>
      <c r="P609" s="249">
        <f t="shared" si="110"/>
        <v>1</v>
      </c>
      <c r="Q609" s="183">
        <f t="shared" si="105"/>
        <v>4407956236</v>
      </c>
      <c r="R609" s="183">
        <f t="shared" si="106"/>
        <v>4407956236</v>
      </c>
      <c r="S609" s="250" t="s">
        <v>223</v>
      </c>
      <c r="T609" s="249">
        <f t="shared" si="103"/>
        <v>0</v>
      </c>
      <c r="U609" s="185" t="str">
        <f t="shared" si="107"/>
        <v>SUBDIRECCION DE GESTION CONTRACTUAL</v>
      </c>
      <c r="V609" s="249" t="str">
        <f t="shared" si="108"/>
        <v>CO-DC</v>
      </c>
      <c r="W609" s="249" t="str">
        <f t="shared" si="109"/>
        <v>Distrito Capital de Bogotá</v>
      </c>
      <c r="X609" s="197" t="s">
        <v>591</v>
      </c>
      <c r="Y609" s="187">
        <v>2427400</v>
      </c>
      <c r="Z609" s="201" t="s">
        <v>160</v>
      </c>
      <c r="AA609" s="252"/>
      <c r="AB609" s="252"/>
      <c r="AC609" s="252"/>
      <c r="AD609" s="252"/>
      <c r="AE609" s="252"/>
      <c r="AF609" s="252"/>
      <c r="AG609" s="252"/>
      <c r="AH609" s="252"/>
      <c r="AI609" s="252"/>
      <c r="AJ609" s="252"/>
      <c r="AK609" s="252"/>
      <c r="AL609" s="252"/>
      <c r="AM609" s="252"/>
      <c r="AN609" s="252"/>
      <c r="AO609" s="252"/>
      <c r="AP609" s="252"/>
      <c r="AQ609" s="252"/>
      <c r="AR609" s="252"/>
      <c r="AS609" s="252"/>
      <c r="AT609" s="252"/>
      <c r="AU609" s="195"/>
      <c r="AV609" s="195"/>
      <c r="AW609" s="195"/>
      <c r="AX609" s="195"/>
      <c r="AY609" s="195"/>
      <c r="AZ609" s="195"/>
      <c r="BA609" s="195"/>
      <c r="BB609" s="195"/>
      <c r="BC609" s="195"/>
      <c r="BD609" s="195"/>
      <c r="BE609" s="195"/>
      <c r="BF609" s="195"/>
      <c r="BG609" s="195"/>
      <c r="BH609" s="195"/>
      <c r="BI609" s="195"/>
      <c r="BJ609" s="195"/>
      <c r="BK609" s="195"/>
      <c r="BL609" s="195"/>
      <c r="BM609" s="195"/>
      <c r="BN609" s="195"/>
      <c r="BO609" s="195"/>
      <c r="BP609" s="195"/>
      <c r="BQ609" s="195"/>
      <c r="BR609" s="195"/>
      <c r="BS609" s="195"/>
      <c r="BT609" s="195"/>
      <c r="BU609" s="195"/>
      <c r="BV609" s="195"/>
      <c r="BW609" s="195"/>
      <c r="BX609" s="195"/>
      <c r="BY609" s="195"/>
      <c r="BZ609" s="195"/>
      <c r="CA609" s="195"/>
      <c r="CB609" s="195"/>
      <c r="CC609" s="195"/>
      <c r="CD609" s="195"/>
      <c r="CE609" s="195"/>
      <c r="CF609" s="195"/>
      <c r="CG609" s="256"/>
    </row>
    <row r="610" spans="1:85" s="254" customFormat="1" ht="13.9" customHeight="1" x14ac:dyDescent="0.2">
      <c r="A610" s="255" t="s">
        <v>158</v>
      </c>
      <c r="B610" s="187">
        <v>108</v>
      </c>
      <c r="C610" s="248" t="s">
        <v>841</v>
      </c>
      <c r="D610" s="197" t="s">
        <v>605</v>
      </c>
      <c r="E610" s="199"/>
      <c r="F610" s="199">
        <v>7235924929</v>
      </c>
      <c r="G610" s="199"/>
      <c r="H610" s="197" t="s">
        <v>798</v>
      </c>
      <c r="I610" s="248" t="s">
        <v>706</v>
      </c>
      <c r="J610" s="187">
        <v>1</v>
      </c>
      <c r="K610" s="187">
        <v>1</v>
      </c>
      <c r="L610" s="187">
        <v>12</v>
      </c>
      <c r="M610" s="172">
        <f t="shared" si="104"/>
        <v>1</v>
      </c>
      <c r="N610" s="180" t="s">
        <v>36</v>
      </c>
      <c r="O610" s="181" t="str">
        <f>IF(ISBLANK(N610),"",VLOOKUP(N610,[17]Parámetros!$G$2:$H$23,2,FALSE))</f>
        <v xml:space="preserve">Contratación directa (con ofertas) </v>
      </c>
      <c r="P610" s="249">
        <f t="shared" si="110"/>
        <v>1</v>
      </c>
      <c r="Q610" s="183">
        <f t="shared" si="105"/>
        <v>7235924929</v>
      </c>
      <c r="R610" s="183">
        <f t="shared" si="106"/>
        <v>7235924929</v>
      </c>
      <c r="S610" s="250" t="s">
        <v>223</v>
      </c>
      <c r="T610" s="249">
        <f t="shared" ref="T610:T636" si="111">IF(ISBLANK(S610),"",IF(VALUE(S610)=0,0,IF(VALUE(S610)=1,3,"")))</f>
        <v>0</v>
      </c>
      <c r="U610" s="185" t="str">
        <f t="shared" si="107"/>
        <v>SUBDIRECCION DE GESTION CONTRACTUAL</v>
      </c>
      <c r="V610" s="249" t="str">
        <f t="shared" si="108"/>
        <v>CO-DC</v>
      </c>
      <c r="W610" s="249" t="str">
        <f t="shared" si="109"/>
        <v>Distrito Capital de Bogotá</v>
      </c>
      <c r="X610" s="197" t="s">
        <v>591</v>
      </c>
      <c r="Y610" s="187">
        <v>2427400</v>
      </c>
      <c r="Z610" s="201" t="s">
        <v>160</v>
      </c>
      <c r="AA610" s="252"/>
      <c r="AB610" s="252"/>
      <c r="AC610" s="252"/>
      <c r="AD610" s="252"/>
      <c r="AE610" s="252"/>
      <c r="AF610" s="252"/>
      <c r="AG610" s="252"/>
      <c r="AH610" s="252"/>
      <c r="AI610" s="252"/>
      <c r="AJ610" s="252"/>
      <c r="AK610" s="252"/>
      <c r="AL610" s="252"/>
      <c r="AM610" s="252"/>
      <c r="AN610" s="252"/>
      <c r="AO610" s="252"/>
      <c r="AP610" s="252"/>
      <c r="AQ610" s="252"/>
      <c r="AR610" s="252"/>
      <c r="AS610" s="252"/>
      <c r="AT610" s="252"/>
      <c r="AU610" s="195"/>
      <c r="AV610" s="195"/>
      <c r="AW610" s="195"/>
      <c r="AX610" s="195"/>
      <c r="AY610" s="195"/>
      <c r="AZ610" s="195"/>
      <c r="BA610" s="195"/>
      <c r="BB610" s="195"/>
      <c r="BC610" s="195"/>
      <c r="BD610" s="195"/>
      <c r="BE610" s="195"/>
      <c r="BF610" s="195"/>
      <c r="BG610" s="195"/>
      <c r="BH610" s="195"/>
      <c r="BI610" s="195"/>
      <c r="BJ610" s="195"/>
      <c r="BK610" s="195"/>
      <c r="BL610" s="195"/>
      <c r="BM610" s="195"/>
      <c r="BN610" s="195"/>
      <c r="BO610" s="195"/>
      <c r="BP610" s="195"/>
      <c r="BQ610" s="195"/>
      <c r="BR610" s="195"/>
      <c r="BS610" s="195"/>
      <c r="BT610" s="195"/>
      <c r="BU610" s="195"/>
      <c r="BV610" s="195"/>
      <c r="BW610" s="195"/>
      <c r="BX610" s="195"/>
      <c r="BY610" s="195"/>
      <c r="BZ610" s="195"/>
      <c r="CA610" s="195"/>
      <c r="CB610" s="195"/>
      <c r="CC610" s="195"/>
      <c r="CD610" s="195"/>
      <c r="CE610" s="195"/>
      <c r="CF610" s="195"/>
      <c r="CG610" s="256"/>
    </row>
    <row r="611" spans="1:85" s="254" customFormat="1" ht="13.9" customHeight="1" x14ac:dyDescent="0.2">
      <c r="A611" s="255" t="s">
        <v>158</v>
      </c>
      <c r="B611" s="187">
        <v>109</v>
      </c>
      <c r="C611" s="248" t="s">
        <v>841</v>
      </c>
      <c r="D611" s="197" t="s">
        <v>605</v>
      </c>
      <c r="E611" s="199"/>
      <c r="F611" s="199">
        <v>1174429162</v>
      </c>
      <c r="G611" s="199"/>
      <c r="H611" s="197" t="s">
        <v>798</v>
      </c>
      <c r="I611" s="248" t="s">
        <v>705</v>
      </c>
      <c r="J611" s="187">
        <v>1</v>
      </c>
      <c r="K611" s="187">
        <v>1</v>
      </c>
      <c r="L611" s="187">
        <v>12</v>
      </c>
      <c r="M611" s="172">
        <f t="shared" si="104"/>
        <v>1</v>
      </c>
      <c r="N611" s="180" t="s">
        <v>36</v>
      </c>
      <c r="O611" s="181" t="str">
        <f>IF(ISBLANK(N611),"",VLOOKUP(N611,[17]Parámetros!$G$2:$H$23,2,FALSE))</f>
        <v xml:space="preserve">Contratación directa (con ofertas) </v>
      </c>
      <c r="P611" s="249">
        <f t="shared" si="110"/>
        <v>1</v>
      </c>
      <c r="Q611" s="183">
        <f t="shared" si="105"/>
        <v>1174429162</v>
      </c>
      <c r="R611" s="183">
        <f t="shared" si="106"/>
        <v>1174429162</v>
      </c>
      <c r="S611" s="250" t="s">
        <v>223</v>
      </c>
      <c r="T611" s="249">
        <f t="shared" si="111"/>
        <v>0</v>
      </c>
      <c r="U611" s="185" t="str">
        <f t="shared" si="107"/>
        <v>SUBDIRECCION DE GESTION CONTRACTUAL</v>
      </c>
      <c r="V611" s="249" t="str">
        <f t="shared" si="108"/>
        <v>CO-DC</v>
      </c>
      <c r="W611" s="249" t="str">
        <f t="shared" si="109"/>
        <v>Distrito Capital de Bogotá</v>
      </c>
      <c r="X611" s="197" t="s">
        <v>591</v>
      </c>
      <c r="Y611" s="187">
        <v>2427400</v>
      </c>
      <c r="Z611" s="201" t="s">
        <v>160</v>
      </c>
      <c r="AA611" s="252"/>
      <c r="AB611" s="252"/>
      <c r="AC611" s="252"/>
      <c r="AD611" s="252"/>
      <c r="AE611" s="252"/>
      <c r="AF611" s="252"/>
      <c r="AG611" s="252"/>
      <c r="AH611" s="252"/>
      <c r="AI611" s="252"/>
      <c r="AJ611" s="252"/>
      <c r="AK611" s="252"/>
      <c r="AL611" s="252"/>
      <c r="AM611" s="252"/>
      <c r="AN611" s="252"/>
      <c r="AO611" s="252"/>
      <c r="AP611" s="252"/>
      <c r="AQ611" s="252"/>
      <c r="AR611" s="252"/>
      <c r="AS611" s="252"/>
      <c r="AT611" s="252"/>
      <c r="AU611" s="195"/>
      <c r="AV611" s="195"/>
      <c r="AW611" s="195"/>
      <c r="AX611" s="195"/>
      <c r="AY611" s="195"/>
      <c r="AZ611" s="195"/>
      <c r="BA611" s="195"/>
      <c r="BB611" s="195"/>
      <c r="BC611" s="195"/>
      <c r="BD611" s="195"/>
      <c r="BE611" s="195"/>
      <c r="BF611" s="195"/>
      <c r="BG611" s="195"/>
      <c r="BH611" s="195"/>
      <c r="BI611" s="195"/>
      <c r="BJ611" s="195"/>
      <c r="BK611" s="195"/>
      <c r="BL611" s="195"/>
      <c r="BM611" s="195"/>
      <c r="BN611" s="195"/>
      <c r="BO611" s="195"/>
      <c r="BP611" s="195"/>
      <c r="BQ611" s="195"/>
      <c r="BR611" s="195"/>
      <c r="BS611" s="195"/>
      <c r="BT611" s="195"/>
      <c r="BU611" s="195"/>
      <c r="BV611" s="195"/>
      <c r="BW611" s="195"/>
      <c r="BX611" s="195"/>
      <c r="BY611" s="195"/>
      <c r="BZ611" s="195"/>
      <c r="CA611" s="195"/>
      <c r="CB611" s="195"/>
      <c r="CC611" s="195"/>
      <c r="CD611" s="195"/>
      <c r="CE611" s="195"/>
      <c r="CF611" s="195"/>
      <c r="CG611" s="256"/>
    </row>
    <row r="612" spans="1:85" s="254" customFormat="1" ht="13.9" customHeight="1" x14ac:dyDescent="0.2">
      <c r="A612" s="255" t="s">
        <v>158</v>
      </c>
      <c r="B612" s="187">
        <v>110</v>
      </c>
      <c r="C612" s="248" t="s">
        <v>841</v>
      </c>
      <c r="D612" s="197" t="s">
        <v>605</v>
      </c>
      <c r="E612" s="199"/>
      <c r="F612" s="199">
        <v>4428608739</v>
      </c>
      <c r="G612" s="199"/>
      <c r="H612" s="197" t="s">
        <v>798</v>
      </c>
      <c r="I612" s="248" t="s">
        <v>704</v>
      </c>
      <c r="J612" s="187">
        <v>1</v>
      </c>
      <c r="K612" s="187">
        <v>1</v>
      </c>
      <c r="L612" s="187">
        <v>12</v>
      </c>
      <c r="M612" s="172">
        <f t="shared" si="104"/>
        <v>1</v>
      </c>
      <c r="N612" s="180" t="s">
        <v>36</v>
      </c>
      <c r="O612" s="181" t="str">
        <f>IF(ISBLANK(N612),"",VLOOKUP(N612,[17]Parámetros!$G$2:$H$23,2,FALSE))</f>
        <v xml:space="preserve">Contratación directa (con ofertas) </v>
      </c>
      <c r="P612" s="249">
        <f t="shared" si="110"/>
        <v>1</v>
      </c>
      <c r="Q612" s="183">
        <f t="shared" si="105"/>
        <v>4428608739</v>
      </c>
      <c r="R612" s="183">
        <f t="shared" si="106"/>
        <v>4428608739</v>
      </c>
      <c r="S612" s="250" t="s">
        <v>223</v>
      </c>
      <c r="T612" s="249">
        <f t="shared" si="111"/>
        <v>0</v>
      </c>
      <c r="U612" s="185" t="str">
        <f t="shared" si="107"/>
        <v>SUBDIRECCION DE GESTION CONTRACTUAL</v>
      </c>
      <c r="V612" s="249" t="str">
        <f t="shared" si="108"/>
        <v>CO-DC</v>
      </c>
      <c r="W612" s="249" t="str">
        <f t="shared" si="109"/>
        <v>Distrito Capital de Bogotá</v>
      </c>
      <c r="X612" s="197" t="s">
        <v>591</v>
      </c>
      <c r="Y612" s="187">
        <v>2427400</v>
      </c>
      <c r="Z612" s="201" t="s">
        <v>160</v>
      </c>
      <c r="AA612" s="252"/>
      <c r="AB612" s="252"/>
      <c r="AC612" s="252"/>
      <c r="AD612" s="252"/>
      <c r="AE612" s="252"/>
      <c r="AF612" s="252"/>
      <c r="AG612" s="252"/>
      <c r="AH612" s="252"/>
      <c r="AI612" s="252"/>
      <c r="AJ612" s="252"/>
      <c r="AK612" s="252"/>
      <c r="AL612" s="252"/>
      <c r="AM612" s="252"/>
      <c r="AN612" s="252"/>
      <c r="AO612" s="252"/>
      <c r="AP612" s="252"/>
      <c r="AQ612" s="252"/>
      <c r="AR612" s="252"/>
      <c r="AS612" s="252"/>
      <c r="AT612" s="252"/>
      <c r="AU612" s="195"/>
      <c r="AV612" s="195"/>
      <c r="AW612" s="195"/>
      <c r="AX612" s="195"/>
      <c r="AY612" s="195"/>
      <c r="AZ612" s="195"/>
      <c r="BA612" s="195"/>
      <c r="BB612" s="195"/>
      <c r="BC612" s="195"/>
      <c r="BD612" s="195"/>
      <c r="BE612" s="195"/>
      <c r="BF612" s="195"/>
      <c r="BG612" s="195"/>
      <c r="BH612" s="195"/>
      <c r="BI612" s="195"/>
      <c r="BJ612" s="195"/>
      <c r="BK612" s="195"/>
      <c r="BL612" s="195"/>
      <c r="BM612" s="195"/>
      <c r="BN612" s="195"/>
      <c r="BO612" s="195"/>
      <c r="BP612" s="195"/>
      <c r="BQ612" s="195"/>
      <c r="BR612" s="195"/>
      <c r="BS612" s="195"/>
      <c r="BT612" s="195"/>
      <c r="BU612" s="195"/>
      <c r="BV612" s="195"/>
      <c r="BW612" s="195"/>
      <c r="BX612" s="195"/>
      <c r="BY612" s="195"/>
      <c r="BZ612" s="195"/>
      <c r="CA612" s="195"/>
      <c r="CB612" s="195"/>
      <c r="CC612" s="195"/>
      <c r="CD612" s="195"/>
      <c r="CE612" s="195"/>
      <c r="CF612" s="195"/>
      <c r="CG612" s="256"/>
    </row>
    <row r="613" spans="1:85" s="254" customFormat="1" ht="13.9" customHeight="1" x14ac:dyDescent="0.2">
      <c r="A613" s="255" t="s">
        <v>158</v>
      </c>
      <c r="B613" s="187">
        <v>111</v>
      </c>
      <c r="C613" s="248" t="s">
        <v>841</v>
      </c>
      <c r="D613" s="197" t="s">
        <v>605</v>
      </c>
      <c r="E613" s="199"/>
      <c r="F613" s="199">
        <v>1816499827</v>
      </c>
      <c r="G613" s="199"/>
      <c r="H613" s="197" t="s">
        <v>798</v>
      </c>
      <c r="I613" s="248" t="s">
        <v>703</v>
      </c>
      <c r="J613" s="187">
        <v>1</v>
      </c>
      <c r="K613" s="187">
        <v>1</v>
      </c>
      <c r="L613" s="187">
        <v>12</v>
      </c>
      <c r="M613" s="172">
        <f t="shared" si="104"/>
        <v>1</v>
      </c>
      <c r="N613" s="180" t="s">
        <v>36</v>
      </c>
      <c r="O613" s="181" t="str">
        <f>IF(ISBLANK(N613),"",VLOOKUP(N613,[17]Parámetros!$G$2:$H$23,2,FALSE))</f>
        <v xml:space="preserve">Contratación directa (con ofertas) </v>
      </c>
      <c r="P613" s="249">
        <f t="shared" si="110"/>
        <v>1</v>
      </c>
      <c r="Q613" s="183">
        <f t="shared" si="105"/>
        <v>1816499827</v>
      </c>
      <c r="R613" s="183">
        <f t="shared" si="106"/>
        <v>1816499827</v>
      </c>
      <c r="S613" s="250" t="s">
        <v>223</v>
      </c>
      <c r="T613" s="249">
        <f t="shared" si="111"/>
        <v>0</v>
      </c>
      <c r="U613" s="185" t="str">
        <f t="shared" si="107"/>
        <v>SUBDIRECCION DE GESTION CONTRACTUAL</v>
      </c>
      <c r="V613" s="249" t="str">
        <f t="shared" si="108"/>
        <v>CO-DC</v>
      </c>
      <c r="W613" s="249" t="str">
        <f t="shared" si="109"/>
        <v>Distrito Capital de Bogotá</v>
      </c>
      <c r="X613" s="197" t="s">
        <v>591</v>
      </c>
      <c r="Y613" s="187">
        <v>2427400</v>
      </c>
      <c r="Z613" s="201" t="s">
        <v>160</v>
      </c>
      <c r="AA613" s="252"/>
      <c r="AB613" s="252"/>
      <c r="AC613" s="252"/>
      <c r="AD613" s="252"/>
      <c r="AE613" s="252"/>
      <c r="AF613" s="252"/>
      <c r="AG613" s="252"/>
      <c r="AH613" s="252"/>
      <c r="AI613" s="252"/>
      <c r="AJ613" s="252"/>
      <c r="AK613" s="252"/>
      <c r="AL613" s="252"/>
      <c r="AM613" s="252"/>
      <c r="AN613" s="252"/>
      <c r="AO613" s="252"/>
      <c r="AP613" s="252"/>
      <c r="AQ613" s="252"/>
      <c r="AR613" s="252"/>
      <c r="AS613" s="252"/>
      <c r="AT613" s="252"/>
      <c r="AU613" s="195"/>
      <c r="AV613" s="195"/>
      <c r="AW613" s="195"/>
      <c r="AX613" s="195"/>
      <c r="AY613" s="195"/>
      <c r="AZ613" s="195"/>
      <c r="BA613" s="195"/>
      <c r="BB613" s="195"/>
      <c r="BC613" s="195"/>
      <c r="BD613" s="195"/>
      <c r="BE613" s="195"/>
      <c r="BF613" s="195"/>
      <c r="BG613" s="195"/>
      <c r="BH613" s="195"/>
      <c r="BI613" s="195"/>
      <c r="BJ613" s="195"/>
      <c r="BK613" s="195"/>
      <c r="BL613" s="195"/>
      <c r="BM613" s="195"/>
      <c r="BN613" s="195"/>
      <c r="BO613" s="195"/>
      <c r="BP613" s="195"/>
      <c r="BQ613" s="195"/>
      <c r="BR613" s="195"/>
      <c r="BS613" s="195"/>
      <c r="BT613" s="195"/>
      <c r="BU613" s="195"/>
      <c r="BV613" s="195"/>
      <c r="BW613" s="195"/>
      <c r="BX613" s="195"/>
      <c r="BY613" s="195"/>
      <c r="BZ613" s="195"/>
      <c r="CA613" s="195"/>
      <c r="CB613" s="195"/>
      <c r="CC613" s="195"/>
      <c r="CD613" s="195"/>
      <c r="CE613" s="195"/>
      <c r="CF613" s="195"/>
      <c r="CG613" s="256"/>
    </row>
    <row r="614" spans="1:85" s="254" customFormat="1" ht="13.9" customHeight="1" x14ac:dyDescent="0.2">
      <c r="A614" s="255" t="s">
        <v>158</v>
      </c>
      <c r="B614" s="187">
        <v>112</v>
      </c>
      <c r="C614" s="248" t="s">
        <v>841</v>
      </c>
      <c r="D614" s="197" t="s">
        <v>605</v>
      </c>
      <c r="E614" s="199"/>
      <c r="F614" s="199">
        <v>1965929315</v>
      </c>
      <c r="G614" s="199"/>
      <c r="H614" s="197" t="s">
        <v>798</v>
      </c>
      <c r="I614" s="248" t="s">
        <v>702</v>
      </c>
      <c r="J614" s="187">
        <v>1</v>
      </c>
      <c r="K614" s="187">
        <v>1</v>
      </c>
      <c r="L614" s="187">
        <v>12</v>
      </c>
      <c r="M614" s="172">
        <f t="shared" si="104"/>
        <v>1</v>
      </c>
      <c r="N614" s="180" t="s">
        <v>36</v>
      </c>
      <c r="O614" s="181" t="str">
        <f>IF(ISBLANK(N614),"",VLOOKUP(N614,[17]Parámetros!$G$2:$H$23,2,FALSE))</f>
        <v xml:space="preserve">Contratación directa (con ofertas) </v>
      </c>
      <c r="P614" s="249">
        <f t="shared" si="110"/>
        <v>1</v>
      </c>
      <c r="Q614" s="183">
        <f t="shared" si="105"/>
        <v>1965929315</v>
      </c>
      <c r="R614" s="183">
        <f t="shared" si="106"/>
        <v>1965929315</v>
      </c>
      <c r="S614" s="250" t="s">
        <v>223</v>
      </c>
      <c r="T614" s="249">
        <f t="shared" si="111"/>
        <v>0</v>
      </c>
      <c r="U614" s="185" t="str">
        <f t="shared" si="107"/>
        <v>SUBDIRECCION DE GESTION CONTRACTUAL</v>
      </c>
      <c r="V614" s="249" t="str">
        <f t="shared" si="108"/>
        <v>CO-DC</v>
      </c>
      <c r="W614" s="249" t="str">
        <f t="shared" si="109"/>
        <v>Distrito Capital de Bogotá</v>
      </c>
      <c r="X614" s="197" t="s">
        <v>591</v>
      </c>
      <c r="Y614" s="187">
        <v>2427400</v>
      </c>
      <c r="Z614" s="201" t="s">
        <v>160</v>
      </c>
      <c r="AA614" s="252"/>
      <c r="AB614" s="252"/>
      <c r="AC614" s="252"/>
      <c r="AD614" s="252"/>
      <c r="AE614" s="252"/>
      <c r="AF614" s="252"/>
      <c r="AG614" s="252"/>
      <c r="AH614" s="252"/>
      <c r="AI614" s="252"/>
      <c r="AJ614" s="252"/>
      <c r="AK614" s="252"/>
      <c r="AL614" s="252"/>
      <c r="AM614" s="252"/>
      <c r="AN614" s="252"/>
      <c r="AO614" s="252"/>
      <c r="AP614" s="252"/>
      <c r="AQ614" s="252"/>
      <c r="AR614" s="252"/>
      <c r="AS614" s="252"/>
      <c r="AT614" s="252"/>
      <c r="AU614" s="195"/>
      <c r="AV614" s="195"/>
      <c r="AW614" s="195"/>
      <c r="AX614" s="195"/>
      <c r="AY614" s="195"/>
      <c r="AZ614" s="195"/>
      <c r="BA614" s="195"/>
      <c r="BB614" s="195"/>
      <c r="BC614" s="195"/>
      <c r="BD614" s="195"/>
      <c r="BE614" s="195"/>
      <c r="BF614" s="195"/>
      <c r="BG614" s="195"/>
      <c r="BH614" s="195"/>
      <c r="BI614" s="195"/>
      <c r="BJ614" s="195"/>
      <c r="BK614" s="195"/>
      <c r="BL614" s="195"/>
      <c r="BM614" s="195"/>
      <c r="BN614" s="195"/>
      <c r="BO614" s="195"/>
      <c r="BP614" s="195"/>
      <c r="BQ614" s="195"/>
      <c r="BR614" s="195"/>
      <c r="BS614" s="195"/>
      <c r="BT614" s="195"/>
      <c r="BU614" s="195"/>
      <c r="BV614" s="195"/>
      <c r="BW614" s="195"/>
      <c r="BX614" s="195"/>
      <c r="BY614" s="195"/>
      <c r="BZ614" s="195"/>
      <c r="CA614" s="195"/>
      <c r="CB614" s="195"/>
      <c r="CC614" s="195"/>
      <c r="CD614" s="195"/>
      <c r="CE614" s="195"/>
      <c r="CF614" s="195"/>
      <c r="CG614" s="256"/>
    </row>
    <row r="615" spans="1:85" s="254" customFormat="1" ht="13.9" customHeight="1" x14ac:dyDescent="0.2">
      <c r="A615" s="255" t="s">
        <v>158</v>
      </c>
      <c r="B615" s="187">
        <v>113</v>
      </c>
      <c r="C615" s="248" t="s">
        <v>841</v>
      </c>
      <c r="D615" s="197" t="s">
        <v>605</v>
      </c>
      <c r="E615" s="199"/>
      <c r="F615" s="199">
        <v>6443016559</v>
      </c>
      <c r="G615" s="199"/>
      <c r="H615" s="197" t="s">
        <v>798</v>
      </c>
      <c r="I615" s="248" t="s">
        <v>701</v>
      </c>
      <c r="J615" s="187">
        <v>1</v>
      </c>
      <c r="K615" s="187">
        <v>1</v>
      </c>
      <c r="L615" s="187">
        <v>12</v>
      </c>
      <c r="M615" s="172">
        <f t="shared" si="104"/>
        <v>1</v>
      </c>
      <c r="N615" s="180" t="s">
        <v>36</v>
      </c>
      <c r="O615" s="181" t="str">
        <f>IF(ISBLANK(N615),"",VLOOKUP(N615,[17]Parámetros!$G$2:$H$23,2,FALSE))</f>
        <v xml:space="preserve">Contratación directa (con ofertas) </v>
      </c>
      <c r="P615" s="249">
        <f t="shared" si="110"/>
        <v>1</v>
      </c>
      <c r="Q615" s="183">
        <f t="shared" si="105"/>
        <v>6443016559</v>
      </c>
      <c r="R615" s="183">
        <f t="shared" si="106"/>
        <v>6443016559</v>
      </c>
      <c r="S615" s="250" t="s">
        <v>223</v>
      </c>
      <c r="T615" s="249">
        <f t="shared" si="111"/>
        <v>0</v>
      </c>
      <c r="U615" s="185" t="str">
        <f t="shared" si="107"/>
        <v>SUBDIRECCION DE GESTION CONTRACTUAL</v>
      </c>
      <c r="V615" s="249" t="str">
        <f t="shared" si="108"/>
        <v>CO-DC</v>
      </c>
      <c r="W615" s="249" t="str">
        <f t="shared" si="109"/>
        <v>Distrito Capital de Bogotá</v>
      </c>
      <c r="X615" s="197" t="s">
        <v>591</v>
      </c>
      <c r="Y615" s="187">
        <v>2427400</v>
      </c>
      <c r="Z615" s="201" t="s">
        <v>160</v>
      </c>
      <c r="AA615" s="252"/>
      <c r="AB615" s="252"/>
      <c r="AC615" s="252"/>
      <c r="AD615" s="252"/>
      <c r="AE615" s="252"/>
      <c r="AF615" s="252"/>
      <c r="AG615" s="252"/>
      <c r="AH615" s="252"/>
      <c r="AI615" s="252"/>
      <c r="AJ615" s="252"/>
      <c r="AK615" s="252"/>
      <c r="AL615" s="252"/>
      <c r="AM615" s="252"/>
      <c r="AN615" s="252"/>
      <c r="AO615" s="252"/>
      <c r="AP615" s="252"/>
      <c r="AQ615" s="252"/>
      <c r="AR615" s="252"/>
      <c r="AS615" s="252"/>
      <c r="AT615" s="252"/>
      <c r="AU615" s="195"/>
      <c r="AV615" s="195"/>
      <c r="AW615" s="195"/>
      <c r="AX615" s="195"/>
      <c r="AY615" s="195"/>
      <c r="AZ615" s="195"/>
      <c r="BA615" s="195"/>
      <c r="BB615" s="195"/>
      <c r="BC615" s="195"/>
      <c r="BD615" s="195"/>
      <c r="BE615" s="195"/>
      <c r="BF615" s="195"/>
      <c r="BG615" s="195"/>
      <c r="BH615" s="195"/>
      <c r="BI615" s="195"/>
      <c r="BJ615" s="195"/>
      <c r="BK615" s="195"/>
      <c r="BL615" s="195"/>
      <c r="BM615" s="195"/>
      <c r="BN615" s="195"/>
      <c r="BO615" s="195"/>
      <c r="BP615" s="195"/>
      <c r="BQ615" s="195"/>
      <c r="BR615" s="195"/>
      <c r="BS615" s="195"/>
      <c r="BT615" s="195"/>
      <c r="BU615" s="195"/>
      <c r="BV615" s="195"/>
      <c r="BW615" s="195"/>
      <c r="BX615" s="195"/>
      <c r="BY615" s="195"/>
      <c r="BZ615" s="195"/>
      <c r="CA615" s="195"/>
      <c r="CB615" s="195"/>
      <c r="CC615" s="195"/>
      <c r="CD615" s="195"/>
      <c r="CE615" s="195"/>
      <c r="CF615" s="195"/>
      <c r="CG615" s="256"/>
    </row>
    <row r="616" spans="1:85" s="254" customFormat="1" ht="13.9" customHeight="1" x14ac:dyDescent="0.2">
      <c r="A616" s="255" t="s">
        <v>158</v>
      </c>
      <c r="B616" s="187">
        <v>114</v>
      </c>
      <c r="C616" s="248" t="s">
        <v>841</v>
      </c>
      <c r="D616" s="197" t="s">
        <v>605</v>
      </c>
      <c r="E616" s="199"/>
      <c r="F616" s="199">
        <v>5349657667.9499998</v>
      </c>
      <c r="G616" s="199"/>
      <c r="H616" s="197" t="s">
        <v>798</v>
      </c>
      <c r="I616" s="248" t="s">
        <v>700</v>
      </c>
      <c r="J616" s="187">
        <v>1</v>
      </c>
      <c r="K616" s="187">
        <v>1</v>
      </c>
      <c r="L616" s="187">
        <v>12</v>
      </c>
      <c r="M616" s="172">
        <f t="shared" si="104"/>
        <v>1</v>
      </c>
      <c r="N616" s="180" t="s">
        <v>36</v>
      </c>
      <c r="O616" s="181" t="str">
        <f>IF(ISBLANK(N616),"",VLOOKUP(N616,[17]Parámetros!$G$2:$H$23,2,FALSE))</f>
        <v xml:space="preserve">Contratación directa (con ofertas) </v>
      </c>
      <c r="P616" s="249">
        <f t="shared" si="110"/>
        <v>1</v>
      </c>
      <c r="Q616" s="183">
        <f t="shared" si="105"/>
        <v>5349657667.9499998</v>
      </c>
      <c r="R616" s="183">
        <f t="shared" si="106"/>
        <v>5349657667.9499998</v>
      </c>
      <c r="S616" s="250" t="s">
        <v>223</v>
      </c>
      <c r="T616" s="249">
        <f t="shared" si="111"/>
        <v>0</v>
      </c>
      <c r="U616" s="185" t="str">
        <f t="shared" si="107"/>
        <v>SUBDIRECCION DE GESTION CONTRACTUAL</v>
      </c>
      <c r="V616" s="249" t="str">
        <f t="shared" si="108"/>
        <v>CO-DC</v>
      </c>
      <c r="W616" s="249" t="str">
        <f t="shared" si="109"/>
        <v>Distrito Capital de Bogotá</v>
      </c>
      <c r="X616" s="197" t="s">
        <v>591</v>
      </c>
      <c r="Y616" s="187">
        <v>2427400</v>
      </c>
      <c r="Z616" s="201" t="s">
        <v>160</v>
      </c>
      <c r="AA616" s="252"/>
      <c r="AB616" s="252"/>
      <c r="AC616" s="252"/>
      <c r="AD616" s="252"/>
      <c r="AE616" s="252"/>
      <c r="AF616" s="252"/>
      <c r="AG616" s="252"/>
      <c r="AH616" s="252"/>
      <c r="AI616" s="252"/>
      <c r="AJ616" s="252"/>
      <c r="AK616" s="252"/>
      <c r="AL616" s="252"/>
      <c r="AM616" s="252"/>
      <c r="AN616" s="252"/>
      <c r="AO616" s="252"/>
      <c r="AP616" s="252"/>
      <c r="AQ616" s="252"/>
      <c r="AR616" s="252"/>
      <c r="AS616" s="252"/>
      <c r="AT616" s="252"/>
      <c r="AU616" s="195"/>
      <c r="AV616" s="195"/>
      <c r="AW616" s="195"/>
      <c r="AX616" s="195"/>
      <c r="AY616" s="195"/>
      <c r="AZ616" s="195"/>
      <c r="BA616" s="195"/>
      <c r="BB616" s="195"/>
      <c r="BC616" s="195"/>
      <c r="BD616" s="195"/>
      <c r="BE616" s="195"/>
      <c r="BF616" s="195"/>
      <c r="BG616" s="195"/>
      <c r="BH616" s="195"/>
      <c r="BI616" s="195"/>
      <c r="BJ616" s="195"/>
      <c r="BK616" s="195"/>
      <c r="BL616" s="195"/>
      <c r="BM616" s="195"/>
      <c r="BN616" s="195"/>
      <c r="BO616" s="195"/>
      <c r="BP616" s="195"/>
      <c r="BQ616" s="195"/>
      <c r="BR616" s="195"/>
      <c r="BS616" s="195"/>
      <c r="BT616" s="195"/>
      <c r="BU616" s="195"/>
      <c r="BV616" s="195"/>
      <c r="BW616" s="195"/>
      <c r="BX616" s="195"/>
      <c r="BY616" s="195"/>
      <c r="BZ616" s="195"/>
      <c r="CA616" s="195"/>
      <c r="CB616" s="195"/>
      <c r="CC616" s="195"/>
      <c r="CD616" s="195"/>
      <c r="CE616" s="195"/>
      <c r="CF616" s="195"/>
      <c r="CG616" s="256"/>
    </row>
    <row r="617" spans="1:85" s="254" customFormat="1" ht="13.9" customHeight="1" x14ac:dyDescent="0.2">
      <c r="A617" s="255" t="s">
        <v>158</v>
      </c>
      <c r="B617" s="187">
        <v>115</v>
      </c>
      <c r="C617" s="248" t="s">
        <v>841</v>
      </c>
      <c r="D617" s="197" t="s">
        <v>605</v>
      </c>
      <c r="E617" s="199"/>
      <c r="F617" s="199">
        <v>4254451334</v>
      </c>
      <c r="G617" s="199"/>
      <c r="H617" s="197" t="s">
        <v>798</v>
      </c>
      <c r="I617" s="248" t="s">
        <v>699</v>
      </c>
      <c r="J617" s="187">
        <v>1</v>
      </c>
      <c r="K617" s="187">
        <v>1</v>
      </c>
      <c r="L617" s="187">
        <v>12</v>
      </c>
      <c r="M617" s="172">
        <f t="shared" si="104"/>
        <v>1</v>
      </c>
      <c r="N617" s="180" t="s">
        <v>36</v>
      </c>
      <c r="O617" s="181" t="str">
        <f>IF(ISBLANK(N617),"",VLOOKUP(N617,[17]Parámetros!$G$2:$H$23,2,FALSE))</f>
        <v xml:space="preserve">Contratación directa (con ofertas) </v>
      </c>
      <c r="P617" s="249">
        <f t="shared" si="110"/>
        <v>1</v>
      </c>
      <c r="Q617" s="183">
        <f t="shared" si="105"/>
        <v>4254451334</v>
      </c>
      <c r="R617" s="183">
        <f t="shared" si="106"/>
        <v>4254451334</v>
      </c>
      <c r="S617" s="250" t="s">
        <v>223</v>
      </c>
      <c r="T617" s="249">
        <f t="shared" si="111"/>
        <v>0</v>
      </c>
      <c r="U617" s="185" t="str">
        <f t="shared" si="107"/>
        <v>SUBDIRECCION DE GESTION CONTRACTUAL</v>
      </c>
      <c r="V617" s="249" t="str">
        <f t="shared" si="108"/>
        <v>CO-DC</v>
      </c>
      <c r="W617" s="249" t="str">
        <f t="shared" si="109"/>
        <v>Distrito Capital de Bogotá</v>
      </c>
      <c r="X617" s="197" t="s">
        <v>591</v>
      </c>
      <c r="Y617" s="187">
        <v>2427400</v>
      </c>
      <c r="Z617" s="201" t="s">
        <v>160</v>
      </c>
      <c r="AA617" s="252"/>
      <c r="AB617" s="252"/>
      <c r="AC617" s="252"/>
      <c r="AD617" s="252"/>
      <c r="AE617" s="252"/>
      <c r="AF617" s="252"/>
      <c r="AG617" s="252"/>
      <c r="AH617" s="252"/>
      <c r="AI617" s="252"/>
      <c r="AJ617" s="252"/>
      <c r="AK617" s="252"/>
      <c r="AL617" s="252"/>
      <c r="AM617" s="252"/>
      <c r="AN617" s="252"/>
      <c r="AO617" s="252"/>
      <c r="AP617" s="252"/>
      <c r="AQ617" s="252"/>
      <c r="AR617" s="252"/>
      <c r="AS617" s="252"/>
      <c r="AT617" s="252"/>
      <c r="AU617" s="195"/>
      <c r="AV617" s="195"/>
      <c r="AW617" s="195"/>
      <c r="AX617" s="195"/>
      <c r="AY617" s="195"/>
      <c r="AZ617" s="195"/>
      <c r="BA617" s="195"/>
      <c r="BB617" s="195"/>
      <c r="BC617" s="195"/>
      <c r="BD617" s="195"/>
      <c r="BE617" s="195"/>
      <c r="BF617" s="195"/>
      <c r="BG617" s="195"/>
      <c r="BH617" s="195"/>
      <c r="BI617" s="195"/>
      <c r="BJ617" s="195"/>
      <c r="BK617" s="195"/>
      <c r="BL617" s="195"/>
      <c r="BM617" s="195"/>
      <c r="BN617" s="195"/>
      <c r="BO617" s="195"/>
      <c r="BP617" s="195"/>
      <c r="BQ617" s="195"/>
      <c r="BR617" s="195"/>
      <c r="BS617" s="195"/>
      <c r="BT617" s="195"/>
      <c r="BU617" s="195"/>
      <c r="BV617" s="195"/>
      <c r="BW617" s="195"/>
      <c r="BX617" s="195"/>
      <c r="BY617" s="195"/>
      <c r="BZ617" s="195"/>
      <c r="CA617" s="195"/>
      <c r="CB617" s="195"/>
      <c r="CC617" s="195"/>
      <c r="CD617" s="195"/>
      <c r="CE617" s="195"/>
      <c r="CF617" s="195"/>
      <c r="CG617" s="256"/>
    </row>
    <row r="618" spans="1:85" s="254" customFormat="1" ht="13.9" customHeight="1" x14ac:dyDescent="0.2">
      <c r="A618" s="255" t="s">
        <v>158</v>
      </c>
      <c r="B618" s="187">
        <v>116</v>
      </c>
      <c r="C618" s="248" t="s">
        <v>841</v>
      </c>
      <c r="D618" s="197" t="s">
        <v>605</v>
      </c>
      <c r="E618" s="199"/>
      <c r="F618" s="199">
        <v>1664508782.5999999</v>
      </c>
      <c r="G618" s="199"/>
      <c r="H618" s="197" t="s">
        <v>798</v>
      </c>
      <c r="I618" s="248" t="s">
        <v>698</v>
      </c>
      <c r="J618" s="187">
        <v>1</v>
      </c>
      <c r="K618" s="187">
        <v>1</v>
      </c>
      <c r="L618" s="187">
        <v>12</v>
      </c>
      <c r="M618" s="172">
        <f t="shared" si="104"/>
        <v>1</v>
      </c>
      <c r="N618" s="180" t="s">
        <v>36</v>
      </c>
      <c r="O618" s="181" t="str">
        <f>IF(ISBLANK(N618),"",VLOOKUP(N618,[17]Parámetros!$G$2:$H$23,2,FALSE))</f>
        <v xml:space="preserve">Contratación directa (con ofertas) </v>
      </c>
      <c r="P618" s="249">
        <f t="shared" si="110"/>
        <v>1</v>
      </c>
      <c r="Q618" s="183">
        <f t="shared" si="105"/>
        <v>1664508782.5999999</v>
      </c>
      <c r="R618" s="183">
        <f t="shared" si="106"/>
        <v>1664508782.5999999</v>
      </c>
      <c r="S618" s="250" t="s">
        <v>223</v>
      </c>
      <c r="T618" s="249">
        <f t="shared" si="111"/>
        <v>0</v>
      </c>
      <c r="U618" s="185" t="str">
        <f t="shared" si="107"/>
        <v>SUBDIRECCION DE GESTION CONTRACTUAL</v>
      </c>
      <c r="V618" s="249" t="str">
        <f t="shared" si="108"/>
        <v>CO-DC</v>
      </c>
      <c r="W618" s="249" t="str">
        <f t="shared" si="109"/>
        <v>Distrito Capital de Bogotá</v>
      </c>
      <c r="X618" s="197" t="s">
        <v>591</v>
      </c>
      <c r="Y618" s="187">
        <v>2427400</v>
      </c>
      <c r="Z618" s="201" t="s">
        <v>160</v>
      </c>
      <c r="AA618" s="252"/>
      <c r="AB618" s="252"/>
      <c r="AC618" s="252"/>
      <c r="AD618" s="252"/>
      <c r="AE618" s="252"/>
      <c r="AF618" s="252"/>
      <c r="AG618" s="252"/>
      <c r="AH618" s="252"/>
      <c r="AI618" s="252"/>
      <c r="AJ618" s="252"/>
      <c r="AK618" s="252"/>
      <c r="AL618" s="252"/>
      <c r="AM618" s="252"/>
      <c r="AN618" s="252"/>
      <c r="AO618" s="252"/>
      <c r="AP618" s="252"/>
      <c r="AQ618" s="252"/>
      <c r="AR618" s="252"/>
      <c r="AS618" s="252"/>
      <c r="AT618" s="252"/>
      <c r="AU618" s="195"/>
      <c r="AV618" s="195"/>
      <c r="AW618" s="195"/>
      <c r="AX618" s="195"/>
      <c r="AY618" s="195"/>
      <c r="AZ618" s="195"/>
      <c r="BA618" s="195"/>
      <c r="BB618" s="195"/>
      <c r="BC618" s="195"/>
      <c r="BD618" s="195"/>
      <c r="BE618" s="195"/>
      <c r="BF618" s="195"/>
      <c r="BG618" s="195"/>
      <c r="BH618" s="195"/>
      <c r="BI618" s="195"/>
      <c r="BJ618" s="195"/>
      <c r="BK618" s="195"/>
      <c r="BL618" s="195"/>
      <c r="BM618" s="195"/>
      <c r="BN618" s="195"/>
      <c r="BO618" s="195"/>
      <c r="BP618" s="195"/>
      <c r="BQ618" s="195"/>
      <c r="BR618" s="195"/>
      <c r="BS618" s="195"/>
      <c r="BT618" s="195"/>
      <c r="BU618" s="195"/>
      <c r="BV618" s="195"/>
      <c r="BW618" s="195"/>
      <c r="BX618" s="195"/>
      <c r="BY618" s="195"/>
      <c r="BZ618" s="195"/>
      <c r="CA618" s="195"/>
      <c r="CB618" s="195"/>
      <c r="CC618" s="195"/>
      <c r="CD618" s="195"/>
      <c r="CE618" s="195"/>
      <c r="CF618" s="195"/>
      <c r="CG618" s="256"/>
    </row>
    <row r="619" spans="1:85" s="254" customFormat="1" ht="13.9" customHeight="1" x14ac:dyDescent="0.2">
      <c r="A619" s="255" t="s">
        <v>158</v>
      </c>
      <c r="B619" s="187">
        <v>117</v>
      </c>
      <c r="C619" s="248" t="s">
        <v>843</v>
      </c>
      <c r="D619" s="197" t="s">
        <v>161</v>
      </c>
      <c r="E619" s="199"/>
      <c r="F619" s="199">
        <v>608003369</v>
      </c>
      <c r="G619" s="199"/>
      <c r="H619" s="197">
        <v>45121500</v>
      </c>
      <c r="I619" s="248" t="s">
        <v>697</v>
      </c>
      <c r="J619" s="187">
        <v>1</v>
      </c>
      <c r="K619" s="187">
        <v>1</v>
      </c>
      <c r="L619" s="187">
        <v>12</v>
      </c>
      <c r="M619" s="172">
        <f t="shared" si="104"/>
        <v>1</v>
      </c>
      <c r="N619" s="180" t="s">
        <v>36</v>
      </c>
      <c r="O619" s="181" t="str">
        <f>IF(ISBLANK(N619),"",VLOOKUP(N619,[17]Parámetros!$G$2:$H$23,2,FALSE))</f>
        <v xml:space="preserve">Contratación directa (con ofertas) </v>
      </c>
      <c r="P619" s="249">
        <f t="shared" si="110"/>
        <v>1</v>
      </c>
      <c r="Q619" s="183">
        <f t="shared" si="105"/>
        <v>608003369</v>
      </c>
      <c r="R619" s="183">
        <f t="shared" si="106"/>
        <v>608003369</v>
      </c>
      <c r="S619" s="250" t="s">
        <v>223</v>
      </c>
      <c r="T619" s="249">
        <f t="shared" si="111"/>
        <v>0</v>
      </c>
      <c r="U619" s="185" t="str">
        <f t="shared" si="107"/>
        <v>SUBDIRECCION DE GESTION CONTRACTUAL</v>
      </c>
      <c r="V619" s="249" t="str">
        <f t="shared" si="108"/>
        <v>CO-DC</v>
      </c>
      <c r="W619" s="249" t="str">
        <f t="shared" si="109"/>
        <v>Distrito Capital de Bogotá</v>
      </c>
      <c r="X619" s="197" t="s">
        <v>591</v>
      </c>
      <c r="Y619" s="187">
        <v>2427400</v>
      </c>
      <c r="Z619" s="201" t="s">
        <v>160</v>
      </c>
      <c r="AA619" s="252"/>
      <c r="AB619" s="252"/>
      <c r="AC619" s="252"/>
      <c r="AD619" s="252"/>
      <c r="AE619" s="252"/>
      <c r="AF619" s="252"/>
      <c r="AG619" s="252"/>
      <c r="AH619" s="252"/>
      <c r="AI619" s="252"/>
      <c r="AJ619" s="252"/>
      <c r="AK619" s="252"/>
      <c r="AL619" s="252"/>
      <c r="AM619" s="252"/>
      <c r="AN619" s="252"/>
      <c r="AO619" s="252"/>
      <c r="AP619" s="252"/>
      <c r="AQ619" s="252"/>
      <c r="AR619" s="252"/>
      <c r="AS619" s="252"/>
      <c r="AT619" s="252"/>
      <c r="AU619" s="195"/>
      <c r="AV619" s="195"/>
      <c r="AW619" s="195"/>
      <c r="AX619" s="195"/>
      <c r="AY619" s="195"/>
      <c r="AZ619" s="195"/>
      <c r="BA619" s="195"/>
      <c r="BB619" s="195"/>
      <c r="BC619" s="195"/>
      <c r="BD619" s="195"/>
      <c r="BE619" s="195"/>
      <c r="BF619" s="195"/>
      <c r="BG619" s="195"/>
      <c r="BH619" s="195"/>
      <c r="BI619" s="195"/>
      <c r="BJ619" s="195"/>
      <c r="BK619" s="195"/>
      <c r="BL619" s="195"/>
      <c r="BM619" s="195"/>
      <c r="BN619" s="195"/>
      <c r="BO619" s="195"/>
      <c r="BP619" s="195"/>
      <c r="BQ619" s="195"/>
      <c r="BR619" s="195"/>
      <c r="BS619" s="195"/>
      <c r="BT619" s="195"/>
      <c r="BU619" s="195"/>
      <c r="BV619" s="195"/>
      <c r="BW619" s="195"/>
      <c r="BX619" s="195"/>
      <c r="BY619" s="195"/>
      <c r="BZ619" s="195"/>
      <c r="CA619" s="195"/>
      <c r="CB619" s="195"/>
      <c r="CC619" s="195"/>
      <c r="CD619" s="195"/>
      <c r="CE619" s="195"/>
      <c r="CF619" s="195"/>
      <c r="CG619" s="256"/>
    </row>
    <row r="620" spans="1:85" s="254" customFormat="1" ht="13.9" customHeight="1" x14ac:dyDescent="0.2">
      <c r="A620" s="255" t="s">
        <v>158</v>
      </c>
      <c r="B620" s="187">
        <v>118</v>
      </c>
      <c r="C620" s="248" t="s">
        <v>843</v>
      </c>
      <c r="D620" s="197" t="s">
        <v>161</v>
      </c>
      <c r="E620" s="199"/>
      <c r="F620" s="199">
        <v>491099100</v>
      </c>
      <c r="G620" s="199"/>
      <c r="H620" s="197">
        <v>45121500</v>
      </c>
      <c r="I620" s="248" t="s">
        <v>696</v>
      </c>
      <c r="J620" s="187">
        <v>1</v>
      </c>
      <c r="K620" s="187">
        <v>1</v>
      </c>
      <c r="L620" s="187">
        <v>12</v>
      </c>
      <c r="M620" s="172">
        <f t="shared" si="104"/>
        <v>1</v>
      </c>
      <c r="N620" s="180" t="s">
        <v>36</v>
      </c>
      <c r="O620" s="181" t="str">
        <f>IF(ISBLANK(N620),"",VLOOKUP(N620,[17]Parámetros!$G$2:$H$23,2,FALSE))</f>
        <v xml:space="preserve">Contratación directa (con ofertas) </v>
      </c>
      <c r="P620" s="249">
        <f t="shared" si="110"/>
        <v>1</v>
      </c>
      <c r="Q620" s="183">
        <f t="shared" si="105"/>
        <v>491099100</v>
      </c>
      <c r="R620" s="183">
        <f t="shared" si="106"/>
        <v>491099100</v>
      </c>
      <c r="S620" s="250" t="s">
        <v>223</v>
      </c>
      <c r="T620" s="249">
        <f t="shared" si="111"/>
        <v>0</v>
      </c>
      <c r="U620" s="185" t="str">
        <f t="shared" si="107"/>
        <v>SUBDIRECCION DE GESTION CONTRACTUAL</v>
      </c>
      <c r="V620" s="249" t="str">
        <f t="shared" si="108"/>
        <v>CO-DC</v>
      </c>
      <c r="W620" s="249" t="str">
        <f t="shared" si="109"/>
        <v>Distrito Capital de Bogotá</v>
      </c>
      <c r="X620" s="197" t="s">
        <v>591</v>
      </c>
      <c r="Y620" s="187">
        <v>2427400</v>
      </c>
      <c r="Z620" s="201" t="s">
        <v>160</v>
      </c>
      <c r="AA620" s="252"/>
      <c r="AB620" s="252"/>
      <c r="AC620" s="252"/>
      <c r="AD620" s="252"/>
      <c r="AE620" s="252"/>
      <c r="AF620" s="252"/>
      <c r="AG620" s="252"/>
      <c r="AH620" s="252"/>
      <c r="AI620" s="252"/>
      <c r="AJ620" s="252"/>
      <c r="AK620" s="252"/>
      <c r="AL620" s="252"/>
      <c r="AM620" s="252"/>
      <c r="AN620" s="252"/>
      <c r="AO620" s="252"/>
      <c r="AP620" s="252"/>
      <c r="AQ620" s="252"/>
      <c r="AR620" s="252"/>
      <c r="AS620" s="252"/>
      <c r="AT620" s="252"/>
      <c r="AU620" s="195"/>
      <c r="AV620" s="195"/>
      <c r="AW620" s="195"/>
      <c r="AX620" s="195"/>
      <c r="AY620" s="195"/>
      <c r="AZ620" s="195"/>
      <c r="BA620" s="195"/>
      <c r="BB620" s="195"/>
      <c r="BC620" s="195"/>
      <c r="BD620" s="195"/>
      <c r="BE620" s="195"/>
      <c r="BF620" s="195"/>
      <c r="BG620" s="195"/>
      <c r="BH620" s="195"/>
      <c r="BI620" s="195"/>
      <c r="BJ620" s="195"/>
      <c r="BK620" s="195"/>
      <c r="BL620" s="195"/>
      <c r="BM620" s="195"/>
      <c r="BN620" s="195"/>
      <c r="BO620" s="195"/>
      <c r="BP620" s="195"/>
      <c r="BQ620" s="195"/>
      <c r="BR620" s="195"/>
      <c r="BS620" s="195"/>
      <c r="BT620" s="195"/>
      <c r="BU620" s="195"/>
      <c r="BV620" s="195"/>
      <c r="BW620" s="195"/>
      <c r="BX620" s="195"/>
      <c r="BY620" s="195"/>
      <c r="BZ620" s="195"/>
      <c r="CA620" s="195"/>
      <c r="CB620" s="195"/>
      <c r="CC620" s="195"/>
      <c r="CD620" s="195"/>
      <c r="CE620" s="195"/>
      <c r="CF620" s="195"/>
      <c r="CG620" s="256"/>
    </row>
    <row r="621" spans="1:85" s="254" customFormat="1" ht="13.9" customHeight="1" x14ac:dyDescent="0.2">
      <c r="A621" s="255" t="s">
        <v>158</v>
      </c>
      <c r="B621" s="187">
        <v>119</v>
      </c>
      <c r="C621" s="248" t="s">
        <v>843</v>
      </c>
      <c r="D621" s="197" t="s">
        <v>161</v>
      </c>
      <c r="E621" s="199"/>
      <c r="F621" s="199">
        <v>509619274</v>
      </c>
      <c r="G621" s="199"/>
      <c r="H621" s="197">
        <v>45121500</v>
      </c>
      <c r="I621" s="248" t="s">
        <v>695</v>
      </c>
      <c r="J621" s="187">
        <v>1</v>
      </c>
      <c r="K621" s="187">
        <v>1</v>
      </c>
      <c r="L621" s="187">
        <v>12</v>
      </c>
      <c r="M621" s="172">
        <f t="shared" si="104"/>
        <v>1</v>
      </c>
      <c r="N621" s="180" t="s">
        <v>36</v>
      </c>
      <c r="O621" s="181" t="str">
        <f>IF(ISBLANK(N621),"",VLOOKUP(N621,[17]Parámetros!$G$2:$H$23,2,FALSE))</f>
        <v xml:space="preserve">Contratación directa (con ofertas) </v>
      </c>
      <c r="P621" s="249">
        <f t="shared" si="110"/>
        <v>1</v>
      </c>
      <c r="Q621" s="183">
        <f t="shared" si="105"/>
        <v>509619274</v>
      </c>
      <c r="R621" s="183">
        <f t="shared" si="106"/>
        <v>509619274</v>
      </c>
      <c r="S621" s="250" t="s">
        <v>223</v>
      </c>
      <c r="T621" s="249">
        <f t="shared" si="111"/>
        <v>0</v>
      </c>
      <c r="U621" s="185" t="str">
        <f t="shared" si="107"/>
        <v>SUBDIRECCION DE GESTION CONTRACTUAL</v>
      </c>
      <c r="V621" s="249" t="str">
        <f t="shared" si="108"/>
        <v>CO-DC</v>
      </c>
      <c r="W621" s="249" t="str">
        <f t="shared" si="109"/>
        <v>Distrito Capital de Bogotá</v>
      </c>
      <c r="X621" s="197" t="s">
        <v>591</v>
      </c>
      <c r="Y621" s="187">
        <v>2427400</v>
      </c>
      <c r="Z621" s="201" t="s">
        <v>160</v>
      </c>
      <c r="AA621" s="252"/>
      <c r="AB621" s="252"/>
      <c r="AC621" s="252"/>
      <c r="AD621" s="252"/>
      <c r="AE621" s="252"/>
      <c r="AF621" s="252"/>
      <c r="AG621" s="252"/>
      <c r="AH621" s="252"/>
      <c r="AI621" s="252"/>
      <c r="AJ621" s="252"/>
      <c r="AK621" s="252"/>
      <c r="AL621" s="252"/>
      <c r="AM621" s="252"/>
      <c r="AN621" s="252"/>
      <c r="AO621" s="252"/>
      <c r="AP621" s="252"/>
      <c r="AQ621" s="252"/>
      <c r="AR621" s="252"/>
      <c r="AS621" s="252"/>
      <c r="AT621" s="252"/>
      <c r="AU621" s="195"/>
      <c r="AV621" s="195"/>
      <c r="AW621" s="195"/>
      <c r="AX621" s="195"/>
      <c r="AY621" s="195"/>
      <c r="AZ621" s="195"/>
      <c r="BA621" s="195"/>
      <c r="BB621" s="195"/>
      <c r="BC621" s="195"/>
      <c r="BD621" s="195"/>
      <c r="BE621" s="195"/>
      <c r="BF621" s="195"/>
      <c r="BG621" s="195"/>
      <c r="BH621" s="195"/>
      <c r="BI621" s="195"/>
      <c r="BJ621" s="195"/>
      <c r="BK621" s="195"/>
      <c r="BL621" s="195"/>
      <c r="BM621" s="195"/>
      <c r="BN621" s="195"/>
      <c r="BO621" s="195"/>
      <c r="BP621" s="195"/>
      <c r="BQ621" s="195"/>
      <c r="BR621" s="195"/>
      <c r="BS621" s="195"/>
      <c r="BT621" s="195"/>
      <c r="BU621" s="195"/>
      <c r="BV621" s="195"/>
      <c r="BW621" s="195"/>
      <c r="BX621" s="195"/>
      <c r="BY621" s="195"/>
      <c r="BZ621" s="195"/>
      <c r="CA621" s="195"/>
      <c r="CB621" s="195"/>
      <c r="CC621" s="195"/>
      <c r="CD621" s="195"/>
      <c r="CE621" s="195"/>
      <c r="CF621" s="195"/>
      <c r="CG621" s="256"/>
    </row>
    <row r="622" spans="1:85" s="254" customFormat="1" ht="13.9" customHeight="1" x14ac:dyDescent="0.2">
      <c r="A622" s="255" t="s">
        <v>158</v>
      </c>
      <c r="B622" s="187">
        <v>120</v>
      </c>
      <c r="C622" s="248" t="s">
        <v>843</v>
      </c>
      <c r="D622" s="197" t="s">
        <v>161</v>
      </c>
      <c r="E622" s="199"/>
      <c r="F622" s="199">
        <v>17982695111</v>
      </c>
      <c r="G622" s="199"/>
      <c r="H622" s="197">
        <v>45121500</v>
      </c>
      <c r="I622" s="248" t="s">
        <v>694</v>
      </c>
      <c r="J622" s="187">
        <v>1</v>
      </c>
      <c r="K622" s="187">
        <v>1</v>
      </c>
      <c r="L622" s="187">
        <v>12</v>
      </c>
      <c r="M622" s="172">
        <f t="shared" si="104"/>
        <v>1</v>
      </c>
      <c r="N622" s="180" t="s">
        <v>36</v>
      </c>
      <c r="O622" s="181" t="str">
        <f>IF(ISBLANK(N622),"",VLOOKUP(N622,[17]Parámetros!$G$2:$H$23,2,FALSE))</f>
        <v xml:space="preserve">Contratación directa (con ofertas) </v>
      </c>
      <c r="P622" s="249">
        <f t="shared" si="110"/>
        <v>1</v>
      </c>
      <c r="Q622" s="183">
        <f t="shared" si="105"/>
        <v>17982695111</v>
      </c>
      <c r="R622" s="183">
        <f t="shared" si="106"/>
        <v>17982695111</v>
      </c>
      <c r="S622" s="250" t="s">
        <v>223</v>
      </c>
      <c r="T622" s="249">
        <f t="shared" si="111"/>
        <v>0</v>
      </c>
      <c r="U622" s="185" t="str">
        <f t="shared" si="107"/>
        <v>SUBDIRECCION DE GESTION CONTRACTUAL</v>
      </c>
      <c r="V622" s="249" t="str">
        <f t="shared" si="108"/>
        <v>CO-DC</v>
      </c>
      <c r="W622" s="249" t="str">
        <f t="shared" si="109"/>
        <v>Distrito Capital de Bogotá</v>
      </c>
      <c r="X622" s="197" t="s">
        <v>591</v>
      </c>
      <c r="Y622" s="187">
        <v>2427400</v>
      </c>
      <c r="Z622" s="201" t="s">
        <v>160</v>
      </c>
      <c r="AA622" s="252"/>
      <c r="AB622" s="252"/>
      <c r="AC622" s="252"/>
      <c r="AD622" s="252"/>
      <c r="AE622" s="252"/>
      <c r="AF622" s="252"/>
      <c r="AG622" s="252"/>
      <c r="AH622" s="252"/>
      <c r="AI622" s="252"/>
      <c r="AJ622" s="252"/>
      <c r="AK622" s="252"/>
      <c r="AL622" s="252"/>
      <c r="AM622" s="252"/>
      <c r="AN622" s="252"/>
      <c r="AO622" s="252"/>
      <c r="AP622" s="252"/>
      <c r="AQ622" s="252"/>
      <c r="AR622" s="252"/>
      <c r="AS622" s="252"/>
      <c r="AT622" s="252"/>
      <c r="AU622" s="195"/>
      <c r="AV622" s="195"/>
      <c r="AW622" s="195"/>
      <c r="AX622" s="195"/>
      <c r="AY622" s="195"/>
      <c r="AZ622" s="195"/>
      <c r="BA622" s="195"/>
      <c r="BB622" s="195"/>
      <c r="BC622" s="195"/>
      <c r="BD622" s="195"/>
      <c r="BE622" s="195"/>
      <c r="BF622" s="195"/>
      <c r="BG622" s="195"/>
      <c r="BH622" s="195"/>
      <c r="BI622" s="195"/>
      <c r="BJ622" s="195"/>
      <c r="BK622" s="195"/>
      <c r="BL622" s="195"/>
      <c r="BM622" s="195"/>
      <c r="BN622" s="195"/>
      <c r="BO622" s="195"/>
      <c r="BP622" s="195"/>
      <c r="BQ622" s="195"/>
      <c r="BR622" s="195"/>
      <c r="BS622" s="195"/>
      <c r="BT622" s="195"/>
      <c r="BU622" s="195"/>
      <c r="BV622" s="195"/>
      <c r="BW622" s="195"/>
      <c r="BX622" s="195"/>
      <c r="BY622" s="195"/>
      <c r="BZ622" s="195"/>
      <c r="CA622" s="195"/>
      <c r="CB622" s="195"/>
      <c r="CC622" s="195"/>
      <c r="CD622" s="195"/>
      <c r="CE622" s="195"/>
      <c r="CF622" s="195"/>
      <c r="CG622" s="256"/>
    </row>
    <row r="623" spans="1:85" s="254" customFormat="1" ht="13.9" customHeight="1" x14ac:dyDescent="0.2">
      <c r="A623" s="255" t="s">
        <v>158</v>
      </c>
      <c r="B623" s="187">
        <v>121</v>
      </c>
      <c r="C623" s="248" t="s">
        <v>843</v>
      </c>
      <c r="D623" s="197" t="s">
        <v>161</v>
      </c>
      <c r="E623" s="199"/>
      <c r="F623" s="199">
        <v>1500000000</v>
      </c>
      <c r="G623" s="199"/>
      <c r="H623" s="197">
        <v>80111600</v>
      </c>
      <c r="I623" s="248" t="s">
        <v>693</v>
      </c>
      <c r="J623" s="187">
        <v>1</v>
      </c>
      <c r="K623" s="187">
        <v>1</v>
      </c>
      <c r="L623" s="187">
        <v>12</v>
      </c>
      <c r="M623" s="172">
        <f t="shared" si="104"/>
        <v>1</v>
      </c>
      <c r="N623" s="180" t="s">
        <v>216</v>
      </c>
      <c r="O623" s="181" t="str">
        <f>IF(ISBLANK(N623),"",VLOOKUP(N623,[17]Parámetros!$G$2:$H$23,2,FALSE))</f>
        <v>Contratación directa.</v>
      </c>
      <c r="P623" s="249">
        <f t="shared" si="110"/>
        <v>1</v>
      </c>
      <c r="Q623" s="183">
        <f t="shared" si="105"/>
        <v>1500000000</v>
      </c>
      <c r="R623" s="183">
        <f t="shared" si="106"/>
        <v>1500000000</v>
      </c>
      <c r="S623" s="250" t="s">
        <v>223</v>
      </c>
      <c r="T623" s="249">
        <f t="shared" si="111"/>
        <v>0</v>
      </c>
      <c r="U623" s="185" t="str">
        <f t="shared" si="107"/>
        <v>SUBDIRECCION DE GESTION CONTRACTUAL</v>
      </c>
      <c r="V623" s="249" t="str">
        <f t="shared" si="108"/>
        <v>CO-DC</v>
      </c>
      <c r="W623" s="249" t="str">
        <f t="shared" si="109"/>
        <v>Distrito Capital de Bogotá</v>
      </c>
      <c r="X623" s="197" t="s">
        <v>591</v>
      </c>
      <c r="Y623" s="187">
        <v>2427400</v>
      </c>
      <c r="Z623" s="201" t="s">
        <v>160</v>
      </c>
      <c r="AA623" s="252"/>
      <c r="AB623" s="252"/>
      <c r="AC623" s="252"/>
      <c r="AD623" s="252"/>
      <c r="AE623" s="252"/>
      <c r="AF623" s="252"/>
      <c r="AG623" s="252"/>
      <c r="AH623" s="252"/>
      <c r="AI623" s="252"/>
      <c r="AJ623" s="252"/>
      <c r="AK623" s="252"/>
      <c r="AL623" s="252"/>
      <c r="AM623" s="252"/>
      <c r="AN623" s="252"/>
      <c r="AO623" s="252"/>
      <c r="AP623" s="252"/>
      <c r="AQ623" s="252"/>
      <c r="AR623" s="252"/>
      <c r="AS623" s="252"/>
      <c r="AT623" s="252"/>
      <c r="AU623" s="195"/>
      <c r="AV623" s="195"/>
      <c r="AW623" s="195"/>
      <c r="AX623" s="195"/>
      <c r="AY623" s="195"/>
      <c r="AZ623" s="195"/>
      <c r="BA623" s="195"/>
      <c r="BB623" s="195"/>
      <c r="BC623" s="195"/>
      <c r="BD623" s="195"/>
      <c r="BE623" s="195"/>
      <c r="BF623" s="195"/>
      <c r="BG623" s="195"/>
      <c r="BH623" s="195"/>
      <c r="BI623" s="195"/>
      <c r="BJ623" s="195"/>
      <c r="BK623" s="195"/>
      <c r="BL623" s="195"/>
      <c r="BM623" s="195"/>
      <c r="BN623" s="195"/>
      <c r="BO623" s="195"/>
      <c r="BP623" s="195"/>
      <c r="BQ623" s="195"/>
      <c r="BR623" s="195"/>
      <c r="BS623" s="195"/>
      <c r="BT623" s="195"/>
      <c r="BU623" s="195"/>
      <c r="BV623" s="195"/>
      <c r="BW623" s="195"/>
      <c r="BX623" s="195"/>
      <c r="BY623" s="195"/>
      <c r="BZ623" s="195"/>
      <c r="CA623" s="195"/>
      <c r="CB623" s="195"/>
      <c r="CC623" s="195"/>
      <c r="CD623" s="195"/>
      <c r="CE623" s="195"/>
      <c r="CF623" s="195"/>
      <c r="CG623" s="256"/>
    </row>
    <row r="624" spans="1:85" s="254" customFormat="1" ht="13.9" customHeight="1" x14ac:dyDescent="0.2">
      <c r="A624" s="255" t="s">
        <v>158</v>
      </c>
      <c r="B624" s="187">
        <v>122</v>
      </c>
      <c r="C624" s="248" t="s">
        <v>622</v>
      </c>
      <c r="D624" s="197" t="s">
        <v>159</v>
      </c>
      <c r="E624" s="199"/>
      <c r="F624" s="199">
        <v>117000000</v>
      </c>
      <c r="G624" s="199"/>
      <c r="H624" s="197" t="s">
        <v>121</v>
      </c>
      <c r="I624" s="248" t="s">
        <v>855</v>
      </c>
      <c r="J624" s="187">
        <v>1</v>
      </c>
      <c r="K624" s="187">
        <v>2</v>
      </c>
      <c r="L624" s="187">
        <v>10</v>
      </c>
      <c r="M624" s="172">
        <v>1</v>
      </c>
      <c r="N624" s="180" t="s">
        <v>43</v>
      </c>
      <c r="O624" s="181" t="str">
        <f>IF(ISBLANK(N624),"",VLOOKUP(N624,[18]Parámetros!$G$2:$H$23,2,FALSE))</f>
        <v>Selección abreviada subasta inversa</v>
      </c>
      <c r="P624" s="249">
        <f t="shared" si="110"/>
        <v>1</v>
      </c>
      <c r="Q624" s="183">
        <f t="shared" ref="Q624" si="112">IF(VALUE(E624+F624+G624)=0,"",E624+F624+G624)</f>
        <v>117000000</v>
      </c>
      <c r="R624" s="183">
        <f t="shared" ref="R624" si="113">IF(VALUE(F624)=0,"",F624)</f>
        <v>117000000</v>
      </c>
      <c r="S624" s="250" t="s">
        <v>223</v>
      </c>
      <c r="T624" s="249">
        <f t="shared" si="111"/>
        <v>0</v>
      </c>
      <c r="U624" s="185" t="str">
        <f t="shared" si="107"/>
        <v>SUBDIRECCION DE GESTION CONTRACTUAL</v>
      </c>
      <c r="V624" s="249" t="str">
        <f t="shared" si="108"/>
        <v>CO-DC</v>
      </c>
      <c r="W624" s="249" t="str">
        <f t="shared" si="109"/>
        <v>Distrito Capital de Bogotá</v>
      </c>
      <c r="X624" s="197" t="s">
        <v>591</v>
      </c>
      <c r="Y624" s="187">
        <v>2427400</v>
      </c>
      <c r="Z624" s="201" t="s">
        <v>160</v>
      </c>
      <c r="AA624" s="252"/>
      <c r="AB624" s="252"/>
      <c r="AC624" s="252"/>
      <c r="AD624" s="252"/>
      <c r="AE624" s="252"/>
      <c r="AF624" s="252"/>
      <c r="AG624" s="252"/>
      <c r="AH624" s="252"/>
      <c r="AI624" s="252"/>
      <c r="AJ624" s="252"/>
      <c r="AK624" s="252"/>
      <c r="AL624" s="252"/>
      <c r="AM624" s="252"/>
      <c r="AN624" s="252"/>
      <c r="AO624" s="252"/>
      <c r="AP624" s="252"/>
      <c r="AQ624" s="252"/>
      <c r="AR624" s="252"/>
      <c r="AS624" s="252"/>
      <c r="AT624" s="252"/>
      <c r="AU624" s="195"/>
      <c r="AV624" s="195"/>
      <c r="AW624" s="195"/>
      <c r="AX624" s="195"/>
      <c r="AY624" s="195"/>
      <c r="AZ624" s="195"/>
      <c r="BA624" s="195"/>
      <c r="BB624" s="195"/>
      <c r="BC624" s="195"/>
      <c r="BD624" s="195"/>
      <c r="BE624" s="195"/>
      <c r="BF624" s="195"/>
      <c r="BG624" s="195"/>
      <c r="BH624" s="195"/>
      <c r="BI624" s="195"/>
      <c r="BJ624" s="195"/>
      <c r="BK624" s="195"/>
      <c r="BL624" s="195"/>
      <c r="BM624" s="195"/>
      <c r="BN624" s="195"/>
      <c r="BO624" s="195"/>
      <c r="BP624" s="195"/>
      <c r="BQ624" s="195"/>
      <c r="BR624" s="195"/>
      <c r="BS624" s="195"/>
      <c r="BT624" s="195"/>
      <c r="BU624" s="195"/>
      <c r="BV624" s="195"/>
      <c r="BW624" s="195"/>
      <c r="BX624" s="195"/>
      <c r="BY624" s="195"/>
      <c r="BZ624" s="195"/>
      <c r="CA624" s="195"/>
      <c r="CB624" s="195"/>
      <c r="CC624" s="195"/>
      <c r="CD624" s="195"/>
      <c r="CE624" s="195"/>
      <c r="CF624" s="195"/>
      <c r="CG624" s="256"/>
    </row>
    <row r="625" spans="1:85" s="254" customFormat="1" ht="13.9" customHeight="1" x14ac:dyDescent="0.2">
      <c r="A625" s="255" t="s">
        <v>158</v>
      </c>
      <c r="B625" s="187">
        <v>123</v>
      </c>
      <c r="C625" s="248" t="s">
        <v>622</v>
      </c>
      <c r="D625" s="197" t="s">
        <v>159</v>
      </c>
      <c r="E625" s="199"/>
      <c r="F625" s="199">
        <v>370000000</v>
      </c>
      <c r="G625" s="199"/>
      <c r="H625" s="197" t="s">
        <v>801</v>
      </c>
      <c r="I625" s="248" t="s">
        <v>623</v>
      </c>
      <c r="J625" s="187">
        <v>2</v>
      </c>
      <c r="K625" s="187">
        <v>3</v>
      </c>
      <c r="L625" s="187">
        <v>9</v>
      </c>
      <c r="M625" s="172">
        <v>1</v>
      </c>
      <c r="N625" s="180" t="s">
        <v>234</v>
      </c>
      <c r="O625" s="181" t="str">
        <f>IF(ISBLANK(N625),"",VLOOKUP(N625,[17]Parámetros!$G$2:$H$23,2,FALSE))</f>
        <v>Licitación pública</v>
      </c>
      <c r="P625" s="249">
        <f t="shared" si="110"/>
        <v>1</v>
      </c>
      <c r="Q625" s="183">
        <f t="shared" ref="Q625:Q626" si="114">+E625+F625+G625</f>
        <v>370000000</v>
      </c>
      <c r="R625" s="183">
        <f t="shared" ref="R625:R626" si="115">+F625</f>
        <v>370000000</v>
      </c>
      <c r="S625" s="250" t="s">
        <v>223</v>
      </c>
      <c r="T625" s="249">
        <f t="shared" si="111"/>
        <v>0</v>
      </c>
      <c r="U625" s="185" t="str">
        <f t="shared" si="107"/>
        <v>SUBDIRECCION DE GESTION CONTRACTUAL</v>
      </c>
      <c r="V625" s="249" t="str">
        <f t="shared" si="108"/>
        <v>CO-DC</v>
      </c>
      <c r="W625" s="249" t="str">
        <f t="shared" si="109"/>
        <v>Distrito Capital de Bogotá</v>
      </c>
      <c r="X625" s="197" t="s">
        <v>591</v>
      </c>
      <c r="Y625" s="187">
        <v>2427400</v>
      </c>
      <c r="Z625" s="201" t="s">
        <v>160</v>
      </c>
      <c r="AA625" s="252"/>
      <c r="AB625" s="252"/>
      <c r="AC625" s="252"/>
      <c r="AD625" s="252"/>
      <c r="AE625" s="252"/>
      <c r="AF625" s="252"/>
      <c r="AG625" s="252"/>
      <c r="AH625" s="252"/>
      <c r="AI625" s="252"/>
      <c r="AJ625" s="252"/>
      <c r="AK625" s="252"/>
      <c r="AL625" s="252"/>
      <c r="AM625" s="252"/>
      <c r="AN625" s="252"/>
      <c r="AO625" s="252"/>
      <c r="AP625" s="252"/>
      <c r="AQ625" s="252"/>
      <c r="AR625" s="252"/>
      <c r="AS625" s="252"/>
      <c r="AT625" s="252"/>
      <c r="AU625" s="195"/>
      <c r="AV625" s="195"/>
      <c r="AW625" s="195"/>
      <c r="AX625" s="195"/>
      <c r="AY625" s="195"/>
      <c r="AZ625" s="195"/>
      <c r="BA625" s="195"/>
      <c r="BB625" s="195"/>
      <c r="BC625" s="195"/>
      <c r="BD625" s="195"/>
      <c r="BE625" s="195"/>
      <c r="BF625" s="195"/>
      <c r="BG625" s="195"/>
      <c r="BH625" s="195"/>
      <c r="BI625" s="195"/>
      <c r="BJ625" s="195"/>
      <c r="BK625" s="195"/>
      <c r="BL625" s="195"/>
      <c r="BM625" s="195"/>
      <c r="BN625" s="195"/>
      <c r="BO625" s="195"/>
      <c r="BP625" s="195"/>
      <c r="BQ625" s="195"/>
      <c r="BR625" s="195"/>
      <c r="BS625" s="195"/>
      <c r="BT625" s="195"/>
      <c r="BU625" s="195"/>
      <c r="BV625" s="195"/>
      <c r="BW625" s="195"/>
      <c r="BX625" s="195"/>
      <c r="BY625" s="195"/>
      <c r="BZ625" s="195"/>
      <c r="CA625" s="195"/>
      <c r="CB625" s="195"/>
      <c r="CC625" s="195"/>
      <c r="CD625" s="195"/>
      <c r="CE625" s="195"/>
      <c r="CF625" s="195"/>
      <c r="CG625" s="256"/>
    </row>
    <row r="626" spans="1:85" s="254" customFormat="1" ht="71.25" customHeight="1" x14ac:dyDescent="0.2">
      <c r="A626" s="255" t="s">
        <v>158</v>
      </c>
      <c r="B626" s="187">
        <v>124</v>
      </c>
      <c r="C626" s="248" t="s">
        <v>843</v>
      </c>
      <c r="D626" s="197" t="s">
        <v>161</v>
      </c>
      <c r="E626" s="199"/>
      <c r="F626" s="199">
        <v>10497683192</v>
      </c>
      <c r="G626" s="199"/>
      <c r="H626" s="197">
        <v>52161511</v>
      </c>
      <c r="I626" s="259" t="s">
        <v>870</v>
      </c>
      <c r="J626" s="187">
        <v>2</v>
      </c>
      <c r="K626" s="187">
        <v>2</v>
      </c>
      <c r="L626" s="187">
        <v>10</v>
      </c>
      <c r="M626" s="207">
        <f t="shared" ref="M626" si="116">IF(ISBLANK(J626),"",1)</f>
        <v>1</v>
      </c>
      <c r="N626" s="204" t="s">
        <v>36</v>
      </c>
      <c r="O626" s="181" t="str">
        <f>IF(ISBLANK(N626),"",VLOOKUP(N626,[17]Parámetros!$G$2:$H$23,2,FALSE))</f>
        <v xml:space="preserve">Contratación directa (con ofertas) </v>
      </c>
      <c r="P626" s="249">
        <f t="shared" si="110"/>
        <v>1</v>
      </c>
      <c r="Q626" s="183">
        <f t="shared" si="114"/>
        <v>10497683192</v>
      </c>
      <c r="R626" s="183">
        <f t="shared" si="115"/>
        <v>10497683192</v>
      </c>
      <c r="S626" s="250" t="s">
        <v>223</v>
      </c>
      <c r="T626" s="249">
        <f t="shared" si="111"/>
        <v>0</v>
      </c>
      <c r="U626" s="185" t="str">
        <f t="shared" si="107"/>
        <v>SUBDIRECCION DE GESTION CONTRACTUAL</v>
      </c>
      <c r="V626" s="249" t="str">
        <f t="shared" si="108"/>
        <v>CO-DC</v>
      </c>
      <c r="W626" s="249" t="str">
        <f t="shared" si="109"/>
        <v>Distrito Capital de Bogotá</v>
      </c>
      <c r="X626" s="197" t="s">
        <v>591</v>
      </c>
      <c r="Y626" s="187">
        <v>2427400</v>
      </c>
      <c r="Z626" s="201" t="s">
        <v>160</v>
      </c>
      <c r="AA626" s="252"/>
      <c r="AB626" s="252"/>
      <c r="AC626" s="252"/>
      <c r="AD626" s="252"/>
      <c r="AE626" s="252"/>
      <c r="AF626" s="252"/>
      <c r="AG626" s="252"/>
      <c r="AH626" s="252"/>
      <c r="AI626" s="252"/>
      <c r="AJ626" s="252"/>
      <c r="AK626" s="252"/>
      <c r="AL626" s="252"/>
      <c r="AM626" s="252"/>
      <c r="AN626" s="252"/>
      <c r="AO626" s="252"/>
      <c r="AP626" s="252"/>
      <c r="AQ626" s="252"/>
      <c r="AR626" s="252"/>
      <c r="AS626" s="252"/>
      <c r="AT626" s="252"/>
      <c r="AU626" s="195"/>
      <c r="AV626" s="195"/>
      <c r="AW626" s="195"/>
      <c r="AX626" s="195"/>
      <c r="AY626" s="195"/>
      <c r="AZ626" s="195"/>
      <c r="BA626" s="195"/>
      <c r="BB626" s="195"/>
      <c r="BC626" s="195"/>
      <c r="BD626" s="195"/>
      <c r="BE626" s="195"/>
      <c r="BF626" s="195"/>
      <c r="BG626" s="195"/>
      <c r="BH626" s="195"/>
      <c r="BI626" s="195"/>
      <c r="BJ626" s="195"/>
      <c r="BK626" s="195"/>
      <c r="BL626" s="195"/>
      <c r="BM626" s="195"/>
      <c r="BN626" s="195"/>
      <c r="BO626" s="195"/>
      <c r="BP626" s="195"/>
      <c r="BQ626" s="195"/>
      <c r="BR626" s="195"/>
      <c r="BS626" s="195"/>
      <c r="BT626" s="195"/>
      <c r="BU626" s="195"/>
      <c r="BV626" s="195"/>
      <c r="BW626" s="195"/>
      <c r="BX626" s="195"/>
      <c r="BY626" s="195"/>
      <c r="BZ626" s="195"/>
      <c r="CA626" s="195"/>
      <c r="CB626" s="195"/>
      <c r="CC626" s="195"/>
      <c r="CD626" s="195"/>
      <c r="CE626" s="195"/>
      <c r="CF626" s="195"/>
      <c r="CG626" s="256"/>
    </row>
    <row r="627" spans="1:85" s="254" customFormat="1" ht="13.9" customHeight="1" x14ac:dyDescent="0.2">
      <c r="A627" s="255" t="s">
        <v>606</v>
      </c>
      <c r="B627" s="187">
        <v>1</v>
      </c>
      <c r="C627" s="248" t="s">
        <v>607</v>
      </c>
      <c r="D627" s="197" t="s">
        <v>608</v>
      </c>
      <c r="E627" s="199"/>
      <c r="F627" s="199">
        <v>3912000000</v>
      </c>
      <c r="G627" s="199"/>
      <c r="H627" s="197">
        <v>80111600</v>
      </c>
      <c r="I627" s="248" t="s">
        <v>609</v>
      </c>
      <c r="J627" s="187">
        <v>1</v>
      </c>
      <c r="K627" s="187">
        <v>1</v>
      </c>
      <c r="L627" s="187">
        <v>12</v>
      </c>
      <c r="M627" s="172">
        <f t="shared" si="104"/>
        <v>1</v>
      </c>
      <c r="N627" s="180" t="s">
        <v>216</v>
      </c>
      <c r="O627" s="181" t="str">
        <f>IF(ISBLANK(N627),"",VLOOKUP(N627,[19]Parámetros!$G$2:$H$23,2,FALSE))</f>
        <v>Contratación directa.</v>
      </c>
      <c r="P627" s="249">
        <f t="shared" si="110"/>
        <v>1</v>
      </c>
      <c r="Q627" s="183">
        <f t="shared" si="105"/>
        <v>3912000000</v>
      </c>
      <c r="R627" s="183">
        <f t="shared" si="106"/>
        <v>3912000000</v>
      </c>
      <c r="S627" s="250" t="s">
        <v>223</v>
      </c>
      <c r="T627" s="249">
        <f t="shared" si="111"/>
        <v>0</v>
      </c>
      <c r="U627" s="185" t="str">
        <f t="shared" si="107"/>
        <v>SUBDIRECCION DE GESTION CONTRACTUAL</v>
      </c>
      <c r="V627" s="249" t="str">
        <f t="shared" si="108"/>
        <v>CO-DC</v>
      </c>
      <c r="W627" s="249" t="str">
        <f t="shared" si="109"/>
        <v>Distrito Capital de Bogotá</v>
      </c>
      <c r="X627" s="197" t="s">
        <v>610</v>
      </c>
      <c r="Y627" s="187">
        <v>2427400</v>
      </c>
      <c r="Z627" s="201" t="s">
        <v>611</v>
      </c>
      <c r="AA627" s="252"/>
      <c r="AB627" s="252"/>
      <c r="AC627" s="252"/>
      <c r="AD627" s="252"/>
      <c r="AE627" s="252"/>
      <c r="AF627" s="252"/>
      <c r="AG627" s="252"/>
      <c r="AH627" s="252"/>
      <c r="AI627" s="252"/>
      <c r="AJ627" s="252"/>
      <c r="AK627" s="252"/>
      <c r="AL627" s="252"/>
      <c r="AM627" s="252"/>
      <c r="AN627" s="252"/>
      <c r="AO627" s="252"/>
      <c r="AP627" s="252"/>
      <c r="AQ627" s="252"/>
      <c r="AR627" s="252"/>
      <c r="AS627" s="252"/>
      <c r="AT627" s="252"/>
      <c r="AU627" s="195"/>
      <c r="AV627" s="195"/>
      <c r="AW627" s="195"/>
      <c r="AX627" s="195"/>
      <c r="AY627" s="195"/>
      <c r="AZ627" s="195"/>
      <c r="BA627" s="195"/>
      <c r="BB627" s="195"/>
      <c r="BC627" s="195"/>
      <c r="BD627" s="195"/>
      <c r="BE627" s="195"/>
      <c r="BF627" s="195"/>
      <c r="BG627" s="195"/>
      <c r="BH627" s="195"/>
      <c r="BI627" s="195"/>
      <c r="BJ627" s="195"/>
      <c r="BK627" s="195"/>
      <c r="BL627" s="195"/>
      <c r="BM627" s="195"/>
      <c r="BN627" s="195"/>
      <c r="BO627" s="195"/>
      <c r="BP627" s="195"/>
      <c r="BQ627" s="195"/>
      <c r="BR627" s="195"/>
      <c r="BS627" s="195"/>
      <c r="BT627" s="195"/>
      <c r="BU627" s="195"/>
      <c r="BV627" s="195"/>
      <c r="BW627" s="195"/>
      <c r="BX627" s="195"/>
      <c r="BY627" s="195"/>
      <c r="BZ627" s="195"/>
      <c r="CA627" s="195"/>
      <c r="CB627" s="195"/>
      <c r="CC627" s="195"/>
      <c r="CD627" s="195"/>
      <c r="CE627" s="195"/>
      <c r="CF627" s="195"/>
      <c r="CG627" s="256"/>
    </row>
    <row r="628" spans="1:85" s="254" customFormat="1" ht="13.9" customHeight="1" x14ac:dyDescent="0.2">
      <c r="A628" s="255" t="s">
        <v>606</v>
      </c>
      <c r="B628" s="187">
        <v>2</v>
      </c>
      <c r="C628" s="248" t="s">
        <v>607</v>
      </c>
      <c r="D628" s="197" t="s">
        <v>608</v>
      </c>
      <c r="E628" s="199"/>
      <c r="F628" s="199">
        <v>45600000000</v>
      </c>
      <c r="G628" s="199"/>
      <c r="H628" s="197" t="s">
        <v>72</v>
      </c>
      <c r="I628" s="248" t="s">
        <v>612</v>
      </c>
      <c r="J628" s="187">
        <v>5</v>
      </c>
      <c r="K628" s="187">
        <v>5</v>
      </c>
      <c r="L628" s="187">
        <v>7</v>
      </c>
      <c r="M628" s="172">
        <f t="shared" si="104"/>
        <v>1</v>
      </c>
      <c r="N628" s="180" t="s">
        <v>36</v>
      </c>
      <c r="O628" s="181" t="str">
        <f>IF(ISBLANK(N628),"",VLOOKUP(N628,[19]Parámetros!$G$2:$H$23,2,FALSE))</f>
        <v xml:space="preserve">Contratación directa (con ofertas) </v>
      </c>
      <c r="P628" s="249">
        <f t="shared" si="110"/>
        <v>1</v>
      </c>
      <c r="Q628" s="183">
        <f t="shared" si="105"/>
        <v>45600000000</v>
      </c>
      <c r="R628" s="183">
        <f t="shared" si="106"/>
        <v>45600000000</v>
      </c>
      <c r="S628" s="250" t="s">
        <v>223</v>
      </c>
      <c r="T628" s="249">
        <f t="shared" si="111"/>
        <v>0</v>
      </c>
      <c r="U628" s="185" t="str">
        <f t="shared" si="107"/>
        <v>SUBDIRECCION DE GESTION CONTRACTUAL</v>
      </c>
      <c r="V628" s="249" t="str">
        <f t="shared" si="108"/>
        <v>CO-DC</v>
      </c>
      <c r="W628" s="249" t="str">
        <f t="shared" si="109"/>
        <v>Distrito Capital de Bogotá</v>
      </c>
      <c r="X628" s="197" t="s">
        <v>610</v>
      </c>
      <c r="Y628" s="187">
        <v>2427400</v>
      </c>
      <c r="Z628" s="201" t="s">
        <v>611</v>
      </c>
      <c r="AA628" s="252"/>
      <c r="AB628" s="252"/>
      <c r="AC628" s="252"/>
      <c r="AD628" s="252"/>
      <c r="AE628" s="252"/>
      <c r="AF628" s="252"/>
      <c r="AG628" s="252"/>
      <c r="AH628" s="252"/>
      <c r="AI628" s="252"/>
      <c r="AJ628" s="252"/>
      <c r="AK628" s="252"/>
      <c r="AL628" s="252"/>
      <c r="AM628" s="252"/>
      <c r="AN628" s="252"/>
      <c r="AO628" s="252"/>
      <c r="AP628" s="252"/>
      <c r="AQ628" s="252"/>
      <c r="AR628" s="252"/>
      <c r="AS628" s="252"/>
      <c r="AT628" s="252"/>
      <c r="AU628" s="195"/>
      <c r="AV628" s="195"/>
      <c r="AW628" s="195"/>
      <c r="AX628" s="195"/>
      <c r="AY628" s="195"/>
      <c r="AZ628" s="195"/>
      <c r="BA628" s="195"/>
      <c r="BB628" s="195"/>
      <c r="BC628" s="195"/>
      <c r="BD628" s="195"/>
      <c r="BE628" s="195"/>
      <c r="BF628" s="195"/>
      <c r="BG628" s="195"/>
      <c r="BH628" s="195"/>
      <c r="BI628" s="195"/>
      <c r="BJ628" s="195"/>
      <c r="BK628" s="195"/>
      <c r="BL628" s="195"/>
      <c r="BM628" s="195"/>
      <c r="BN628" s="195"/>
      <c r="BO628" s="195"/>
      <c r="BP628" s="195"/>
      <c r="BQ628" s="195"/>
      <c r="BR628" s="195"/>
      <c r="BS628" s="195"/>
      <c r="BT628" s="195"/>
      <c r="BU628" s="195"/>
      <c r="BV628" s="195"/>
      <c r="BW628" s="195"/>
      <c r="BX628" s="195"/>
      <c r="BY628" s="195"/>
      <c r="BZ628" s="195"/>
      <c r="CA628" s="195"/>
      <c r="CB628" s="195"/>
      <c r="CC628" s="195"/>
      <c r="CD628" s="195"/>
      <c r="CE628" s="195"/>
      <c r="CF628" s="195"/>
      <c r="CG628" s="256"/>
    </row>
    <row r="629" spans="1:85" s="254" customFormat="1" ht="13.9" customHeight="1" x14ac:dyDescent="0.2">
      <c r="A629" s="255" t="s">
        <v>606</v>
      </c>
      <c r="B629" s="187">
        <v>3</v>
      </c>
      <c r="C629" s="248" t="s">
        <v>607</v>
      </c>
      <c r="D629" s="197" t="s">
        <v>608</v>
      </c>
      <c r="E629" s="199"/>
      <c r="F629" s="199">
        <v>217600000</v>
      </c>
      <c r="G629" s="199"/>
      <c r="H629" s="197">
        <v>81111800</v>
      </c>
      <c r="I629" s="248" t="s">
        <v>613</v>
      </c>
      <c r="J629" s="187">
        <v>3</v>
      </c>
      <c r="K629" s="187">
        <v>4</v>
      </c>
      <c r="L629" s="187">
        <v>8</v>
      </c>
      <c r="M629" s="172">
        <f t="shared" si="104"/>
        <v>1</v>
      </c>
      <c r="N629" s="180" t="s">
        <v>36</v>
      </c>
      <c r="O629" s="181" t="str">
        <f>IF(ISBLANK(N629),"",VLOOKUP(N629,[19]Parámetros!$G$2:$H$23,2,FALSE))</f>
        <v xml:space="preserve">Contratación directa (con ofertas) </v>
      </c>
      <c r="P629" s="249">
        <f t="shared" si="110"/>
        <v>1</v>
      </c>
      <c r="Q629" s="183">
        <f t="shared" si="105"/>
        <v>217600000</v>
      </c>
      <c r="R629" s="183">
        <f t="shared" si="106"/>
        <v>217600000</v>
      </c>
      <c r="S629" s="250" t="s">
        <v>223</v>
      </c>
      <c r="T629" s="249">
        <f t="shared" si="111"/>
        <v>0</v>
      </c>
      <c r="U629" s="185" t="str">
        <f t="shared" si="107"/>
        <v>SUBDIRECCION DE GESTION CONTRACTUAL</v>
      </c>
      <c r="V629" s="249" t="str">
        <f t="shared" si="108"/>
        <v>CO-DC</v>
      </c>
      <c r="W629" s="249" t="str">
        <f t="shared" si="109"/>
        <v>Distrito Capital de Bogotá</v>
      </c>
      <c r="X629" s="197" t="s">
        <v>610</v>
      </c>
      <c r="Y629" s="187">
        <v>2427400</v>
      </c>
      <c r="Z629" s="201" t="s">
        <v>611</v>
      </c>
      <c r="AA629" s="252"/>
      <c r="AB629" s="252"/>
      <c r="AC629" s="252"/>
      <c r="AD629" s="252"/>
      <c r="AE629" s="252"/>
      <c r="AF629" s="252"/>
      <c r="AG629" s="252"/>
      <c r="AH629" s="252"/>
      <c r="AI629" s="252"/>
      <c r="AJ629" s="252"/>
      <c r="AK629" s="252"/>
      <c r="AL629" s="252"/>
      <c r="AM629" s="252"/>
      <c r="AN629" s="252"/>
      <c r="AO629" s="252"/>
      <c r="AP629" s="252"/>
      <c r="AQ629" s="252"/>
      <c r="AR629" s="252"/>
      <c r="AS629" s="252"/>
      <c r="AT629" s="252"/>
      <c r="AU629" s="195"/>
      <c r="AV629" s="195"/>
      <c r="AW629" s="195"/>
      <c r="AX629" s="195"/>
      <c r="AY629" s="195"/>
      <c r="AZ629" s="195"/>
      <c r="BA629" s="195"/>
      <c r="BB629" s="195"/>
      <c r="BC629" s="195"/>
      <c r="BD629" s="195"/>
      <c r="BE629" s="195"/>
      <c r="BF629" s="195"/>
      <c r="BG629" s="195"/>
      <c r="BH629" s="195"/>
      <c r="BI629" s="195"/>
      <c r="BJ629" s="195"/>
      <c r="BK629" s="195"/>
      <c r="BL629" s="195"/>
      <c r="BM629" s="195"/>
      <c r="BN629" s="195"/>
      <c r="BO629" s="195"/>
      <c r="BP629" s="195"/>
      <c r="BQ629" s="195"/>
      <c r="BR629" s="195"/>
      <c r="BS629" s="195"/>
      <c r="BT629" s="195"/>
      <c r="BU629" s="195"/>
      <c r="BV629" s="195"/>
      <c r="BW629" s="195"/>
      <c r="BX629" s="195"/>
      <c r="BY629" s="195"/>
      <c r="BZ629" s="195"/>
      <c r="CA629" s="195"/>
      <c r="CB629" s="195"/>
      <c r="CC629" s="195"/>
      <c r="CD629" s="195"/>
      <c r="CE629" s="195"/>
      <c r="CF629" s="195"/>
      <c r="CG629" s="256"/>
    </row>
    <row r="630" spans="1:85" s="254" customFormat="1" ht="13.9" customHeight="1" x14ac:dyDescent="0.2">
      <c r="A630" s="255" t="s">
        <v>606</v>
      </c>
      <c r="B630" s="187">
        <v>4</v>
      </c>
      <c r="C630" s="248" t="s">
        <v>607</v>
      </c>
      <c r="D630" s="197" t="s">
        <v>608</v>
      </c>
      <c r="E630" s="199"/>
      <c r="F630" s="199">
        <v>16406400000</v>
      </c>
      <c r="G630" s="199"/>
      <c r="H630" s="175" t="s">
        <v>801</v>
      </c>
      <c r="I630" s="248" t="s">
        <v>614</v>
      </c>
      <c r="J630" s="177">
        <v>2</v>
      </c>
      <c r="K630" s="178">
        <v>3</v>
      </c>
      <c r="L630" s="179">
        <v>9</v>
      </c>
      <c r="M630" s="172">
        <f t="shared" si="104"/>
        <v>1</v>
      </c>
      <c r="N630" s="180" t="s">
        <v>234</v>
      </c>
      <c r="O630" s="181" t="str">
        <f>IF(ISBLANK(N630),"",VLOOKUP(N630,[19]Parámetros!$G$2:$H$23,2,FALSE))</f>
        <v>Licitación pública</v>
      </c>
      <c r="P630" s="249">
        <f t="shared" si="110"/>
        <v>1</v>
      </c>
      <c r="Q630" s="183">
        <f t="shared" si="105"/>
        <v>16406400000</v>
      </c>
      <c r="R630" s="183">
        <f t="shared" si="106"/>
        <v>16406400000</v>
      </c>
      <c r="S630" s="250" t="s">
        <v>223</v>
      </c>
      <c r="T630" s="249">
        <f t="shared" si="111"/>
        <v>0</v>
      </c>
      <c r="U630" s="185" t="str">
        <f t="shared" si="107"/>
        <v>SUBDIRECCION DE GESTION CONTRACTUAL</v>
      </c>
      <c r="V630" s="249" t="str">
        <f t="shared" si="108"/>
        <v>CO-DC</v>
      </c>
      <c r="W630" s="249" t="str">
        <f t="shared" si="109"/>
        <v>Distrito Capital de Bogotá</v>
      </c>
      <c r="X630" s="197" t="s">
        <v>610</v>
      </c>
      <c r="Y630" s="187">
        <v>2427400</v>
      </c>
      <c r="Z630" s="201" t="s">
        <v>611</v>
      </c>
      <c r="AA630" s="252"/>
      <c r="AB630" s="252"/>
      <c r="AC630" s="252"/>
      <c r="AD630" s="252"/>
      <c r="AE630" s="252"/>
      <c r="AF630" s="252"/>
      <c r="AG630" s="252"/>
      <c r="AH630" s="252"/>
      <c r="AI630" s="252"/>
      <c r="AJ630" s="252"/>
      <c r="AK630" s="252"/>
      <c r="AL630" s="252"/>
      <c r="AM630" s="252"/>
      <c r="AN630" s="252"/>
      <c r="AO630" s="252"/>
      <c r="AP630" s="252"/>
      <c r="AQ630" s="252"/>
      <c r="AR630" s="252"/>
      <c r="AS630" s="252"/>
      <c r="AT630" s="252"/>
      <c r="AU630" s="195"/>
      <c r="AV630" s="195"/>
      <c r="AW630" s="195"/>
      <c r="AX630" s="195"/>
      <c r="AY630" s="195"/>
      <c r="AZ630" s="195"/>
      <c r="BA630" s="195"/>
      <c r="BB630" s="195"/>
      <c r="BC630" s="195"/>
      <c r="BD630" s="195"/>
      <c r="BE630" s="195"/>
      <c r="BF630" s="195"/>
      <c r="BG630" s="195"/>
      <c r="BH630" s="195"/>
      <c r="BI630" s="195"/>
      <c r="BJ630" s="195"/>
      <c r="BK630" s="195"/>
      <c r="BL630" s="195"/>
      <c r="BM630" s="195"/>
      <c r="BN630" s="195"/>
      <c r="BO630" s="195"/>
      <c r="BP630" s="195"/>
      <c r="BQ630" s="195"/>
      <c r="BR630" s="195"/>
      <c r="BS630" s="195"/>
      <c r="BT630" s="195"/>
      <c r="BU630" s="195"/>
      <c r="BV630" s="195"/>
      <c r="BW630" s="195"/>
      <c r="BX630" s="195"/>
      <c r="BY630" s="195"/>
      <c r="BZ630" s="195"/>
      <c r="CA630" s="195"/>
      <c r="CB630" s="195"/>
      <c r="CC630" s="195"/>
      <c r="CD630" s="195"/>
      <c r="CE630" s="195"/>
      <c r="CF630" s="195"/>
      <c r="CG630" s="256"/>
    </row>
    <row r="631" spans="1:85" s="254" customFormat="1" ht="13.9" customHeight="1" x14ac:dyDescent="0.2">
      <c r="A631" s="255" t="s">
        <v>606</v>
      </c>
      <c r="B631" s="187">
        <v>5</v>
      </c>
      <c r="C631" s="248" t="s">
        <v>607</v>
      </c>
      <c r="D631" s="197" t="s">
        <v>608</v>
      </c>
      <c r="E631" s="199"/>
      <c r="F631" s="199">
        <v>3124000000</v>
      </c>
      <c r="G631" s="199"/>
      <c r="H631" s="197" t="s">
        <v>799</v>
      </c>
      <c r="I631" s="248" t="s">
        <v>615</v>
      </c>
      <c r="J631" s="187">
        <v>3</v>
      </c>
      <c r="K631" s="187">
        <v>3</v>
      </c>
      <c r="L631" s="187">
        <v>3</v>
      </c>
      <c r="M631" s="172">
        <f t="shared" si="104"/>
        <v>1</v>
      </c>
      <c r="N631" s="180" t="s">
        <v>36</v>
      </c>
      <c r="O631" s="181" t="str">
        <f>IF(ISBLANK(N631),"",VLOOKUP(N631,[19]Parámetros!$G$2:$H$23,2,FALSE))</f>
        <v xml:space="preserve">Contratación directa (con ofertas) </v>
      </c>
      <c r="P631" s="249">
        <f t="shared" si="110"/>
        <v>1</v>
      </c>
      <c r="Q631" s="183">
        <f t="shared" si="105"/>
        <v>3124000000</v>
      </c>
      <c r="R631" s="183">
        <f t="shared" si="106"/>
        <v>3124000000</v>
      </c>
      <c r="S631" s="250" t="s">
        <v>223</v>
      </c>
      <c r="T631" s="249">
        <f t="shared" si="111"/>
        <v>0</v>
      </c>
      <c r="U631" s="185" t="str">
        <f t="shared" si="107"/>
        <v>SUBDIRECCION DE GESTION CONTRACTUAL</v>
      </c>
      <c r="V631" s="249" t="str">
        <f t="shared" si="108"/>
        <v>CO-DC</v>
      </c>
      <c r="W631" s="249" t="str">
        <f t="shared" si="109"/>
        <v>Distrito Capital de Bogotá</v>
      </c>
      <c r="X631" s="197" t="s">
        <v>610</v>
      </c>
      <c r="Y631" s="187">
        <v>2427400</v>
      </c>
      <c r="Z631" s="201" t="s">
        <v>611</v>
      </c>
      <c r="AA631" s="252"/>
      <c r="AB631" s="252"/>
      <c r="AC631" s="252"/>
      <c r="AD631" s="252"/>
      <c r="AE631" s="252"/>
      <c r="AF631" s="252"/>
      <c r="AG631" s="252"/>
      <c r="AH631" s="252"/>
      <c r="AI631" s="252"/>
      <c r="AJ631" s="252"/>
      <c r="AK631" s="252"/>
      <c r="AL631" s="252"/>
      <c r="AM631" s="252"/>
      <c r="AN631" s="252"/>
      <c r="AO631" s="252"/>
      <c r="AP631" s="252"/>
      <c r="AQ631" s="252"/>
      <c r="AR631" s="252"/>
      <c r="AS631" s="252"/>
      <c r="AT631" s="252"/>
      <c r="AU631" s="195"/>
      <c r="AV631" s="195"/>
      <c r="AW631" s="195"/>
      <c r="AX631" s="195"/>
      <c r="AY631" s="195"/>
      <c r="AZ631" s="195"/>
      <c r="BA631" s="195"/>
      <c r="BB631" s="195"/>
      <c r="BC631" s="195"/>
      <c r="BD631" s="195"/>
      <c r="BE631" s="195"/>
      <c r="BF631" s="195"/>
      <c r="BG631" s="195"/>
      <c r="BH631" s="195"/>
      <c r="BI631" s="195"/>
      <c r="BJ631" s="195"/>
      <c r="BK631" s="195"/>
      <c r="BL631" s="195"/>
      <c r="BM631" s="195"/>
      <c r="BN631" s="195"/>
      <c r="BO631" s="195"/>
      <c r="BP631" s="195"/>
      <c r="BQ631" s="195"/>
      <c r="BR631" s="195"/>
      <c r="BS631" s="195"/>
      <c r="BT631" s="195"/>
      <c r="BU631" s="195"/>
      <c r="BV631" s="195"/>
      <c r="BW631" s="195"/>
      <c r="BX631" s="195"/>
      <c r="BY631" s="195"/>
      <c r="BZ631" s="195"/>
      <c r="CA631" s="195"/>
      <c r="CB631" s="195"/>
      <c r="CC631" s="195"/>
      <c r="CD631" s="195"/>
      <c r="CE631" s="195"/>
      <c r="CF631" s="195"/>
      <c r="CG631" s="256"/>
    </row>
    <row r="632" spans="1:85" s="254" customFormat="1" ht="13.9" customHeight="1" x14ac:dyDescent="0.2">
      <c r="A632" s="255" t="s">
        <v>606</v>
      </c>
      <c r="B632" s="187">
        <v>6</v>
      </c>
      <c r="C632" s="248" t="s">
        <v>607</v>
      </c>
      <c r="D632" s="197" t="s">
        <v>608</v>
      </c>
      <c r="E632" s="199"/>
      <c r="F632" s="199">
        <v>115000000</v>
      </c>
      <c r="G632" s="199"/>
      <c r="H632" s="197">
        <v>86132000</v>
      </c>
      <c r="I632" s="248" t="s">
        <v>616</v>
      </c>
      <c r="J632" s="187">
        <v>5</v>
      </c>
      <c r="K632" s="187">
        <v>6</v>
      </c>
      <c r="L632" s="187">
        <v>6</v>
      </c>
      <c r="M632" s="172">
        <f t="shared" si="104"/>
        <v>1</v>
      </c>
      <c r="N632" s="180" t="s">
        <v>36</v>
      </c>
      <c r="O632" s="181" t="str">
        <f>IF(ISBLANK(N632),"",VLOOKUP(N632,[19]Parámetros!$G$2:$H$23,2,FALSE))</f>
        <v xml:space="preserve">Contratación directa (con ofertas) </v>
      </c>
      <c r="P632" s="249">
        <f t="shared" si="110"/>
        <v>1</v>
      </c>
      <c r="Q632" s="183">
        <f t="shared" si="105"/>
        <v>115000000</v>
      </c>
      <c r="R632" s="183">
        <f t="shared" si="106"/>
        <v>115000000</v>
      </c>
      <c r="S632" s="250" t="s">
        <v>223</v>
      </c>
      <c r="T632" s="249">
        <f t="shared" si="111"/>
        <v>0</v>
      </c>
      <c r="U632" s="185" t="str">
        <f t="shared" si="107"/>
        <v>SUBDIRECCION DE GESTION CONTRACTUAL</v>
      </c>
      <c r="V632" s="249" t="str">
        <f t="shared" si="108"/>
        <v>CO-DC</v>
      </c>
      <c r="W632" s="249" t="str">
        <f t="shared" si="109"/>
        <v>Distrito Capital de Bogotá</v>
      </c>
      <c r="X632" s="197" t="s">
        <v>610</v>
      </c>
      <c r="Y632" s="187">
        <v>2427400</v>
      </c>
      <c r="Z632" s="201" t="s">
        <v>611</v>
      </c>
      <c r="AA632" s="252"/>
      <c r="AB632" s="252"/>
      <c r="AC632" s="252"/>
      <c r="AD632" s="252"/>
      <c r="AE632" s="252"/>
      <c r="AF632" s="252"/>
      <c r="AG632" s="252"/>
      <c r="AH632" s="252"/>
      <c r="AI632" s="252"/>
      <c r="AJ632" s="252"/>
      <c r="AK632" s="252"/>
      <c r="AL632" s="252"/>
      <c r="AM632" s="252"/>
      <c r="AN632" s="252"/>
      <c r="AO632" s="252"/>
      <c r="AP632" s="252"/>
      <c r="AQ632" s="252"/>
      <c r="AR632" s="252"/>
      <c r="AS632" s="252"/>
      <c r="AT632" s="252"/>
      <c r="AU632" s="195"/>
      <c r="AV632" s="195"/>
      <c r="AW632" s="195"/>
      <c r="AX632" s="195"/>
      <c r="AY632" s="195"/>
      <c r="AZ632" s="195"/>
      <c r="BA632" s="195"/>
      <c r="BB632" s="195"/>
      <c r="BC632" s="195"/>
      <c r="BD632" s="195"/>
      <c r="BE632" s="195"/>
      <c r="BF632" s="195"/>
      <c r="BG632" s="195"/>
      <c r="BH632" s="195"/>
      <c r="BI632" s="195"/>
      <c r="BJ632" s="195"/>
      <c r="BK632" s="195"/>
      <c r="BL632" s="195"/>
      <c r="BM632" s="195"/>
      <c r="BN632" s="195"/>
      <c r="BO632" s="195"/>
      <c r="BP632" s="195"/>
      <c r="BQ632" s="195"/>
      <c r="BR632" s="195"/>
      <c r="BS632" s="195"/>
      <c r="BT632" s="195"/>
      <c r="BU632" s="195"/>
      <c r="BV632" s="195"/>
      <c r="BW632" s="195"/>
      <c r="BX632" s="195"/>
      <c r="BY632" s="195"/>
      <c r="BZ632" s="195"/>
      <c r="CA632" s="195"/>
      <c r="CB632" s="195"/>
      <c r="CC632" s="195"/>
      <c r="CD632" s="195"/>
      <c r="CE632" s="195"/>
      <c r="CF632" s="195"/>
      <c r="CG632" s="256"/>
    </row>
    <row r="633" spans="1:85" s="254" customFormat="1" ht="13.9" customHeight="1" x14ac:dyDescent="0.2">
      <c r="A633" s="255" t="s">
        <v>606</v>
      </c>
      <c r="B633" s="187">
        <v>7</v>
      </c>
      <c r="C633" s="248" t="s">
        <v>607</v>
      </c>
      <c r="D633" s="197" t="s">
        <v>608</v>
      </c>
      <c r="E633" s="199"/>
      <c r="F633" s="199">
        <v>500000000</v>
      </c>
      <c r="G633" s="199"/>
      <c r="H633" s="197" t="s">
        <v>800</v>
      </c>
      <c r="I633" s="248" t="s">
        <v>617</v>
      </c>
      <c r="J633" s="187">
        <v>4</v>
      </c>
      <c r="K633" s="187">
        <v>4</v>
      </c>
      <c r="L633" s="187">
        <v>8</v>
      </c>
      <c r="M633" s="172">
        <f t="shared" si="104"/>
        <v>1</v>
      </c>
      <c r="N633" s="180" t="s">
        <v>36</v>
      </c>
      <c r="O633" s="181" t="str">
        <f>IF(ISBLANK(N633),"",VLOOKUP(N633,[19]Parámetros!$G$2:$H$23,2,FALSE))</f>
        <v xml:space="preserve">Contratación directa (con ofertas) </v>
      </c>
      <c r="P633" s="249">
        <f t="shared" si="110"/>
        <v>1</v>
      </c>
      <c r="Q633" s="183">
        <f t="shared" si="105"/>
        <v>500000000</v>
      </c>
      <c r="R633" s="183">
        <f t="shared" si="106"/>
        <v>500000000</v>
      </c>
      <c r="S633" s="250" t="s">
        <v>223</v>
      </c>
      <c r="T633" s="249">
        <f t="shared" si="111"/>
        <v>0</v>
      </c>
      <c r="U633" s="185" t="str">
        <f t="shared" si="107"/>
        <v>SUBDIRECCION DE GESTION CONTRACTUAL</v>
      </c>
      <c r="V633" s="249" t="str">
        <f t="shared" si="108"/>
        <v>CO-DC</v>
      </c>
      <c r="W633" s="249" t="str">
        <f t="shared" si="109"/>
        <v>Distrito Capital de Bogotá</v>
      </c>
      <c r="X633" s="197" t="s">
        <v>610</v>
      </c>
      <c r="Y633" s="187">
        <v>2427400</v>
      </c>
      <c r="Z633" s="201" t="s">
        <v>611</v>
      </c>
      <c r="AA633" s="252"/>
      <c r="AB633" s="252"/>
      <c r="AC633" s="252"/>
      <c r="AD633" s="252"/>
      <c r="AE633" s="252"/>
      <c r="AF633" s="252"/>
      <c r="AG633" s="252"/>
      <c r="AH633" s="252"/>
      <c r="AI633" s="252"/>
      <c r="AJ633" s="252"/>
      <c r="AK633" s="252"/>
      <c r="AL633" s="252"/>
      <c r="AM633" s="252"/>
      <c r="AN633" s="252"/>
      <c r="AO633" s="252"/>
      <c r="AP633" s="252"/>
      <c r="AQ633" s="252"/>
      <c r="AR633" s="252"/>
      <c r="AS633" s="252"/>
      <c r="AT633" s="252"/>
      <c r="AU633" s="195"/>
      <c r="AV633" s="195"/>
      <c r="AW633" s="195"/>
      <c r="AX633" s="195"/>
      <c r="AY633" s="195"/>
      <c r="AZ633" s="195"/>
      <c r="BA633" s="195"/>
      <c r="BB633" s="195"/>
      <c r="BC633" s="195"/>
      <c r="BD633" s="195"/>
      <c r="BE633" s="195"/>
      <c r="BF633" s="195"/>
      <c r="BG633" s="195"/>
      <c r="BH633" s="195"/>
      <c r="BI633" s="195"/>
      <c r="BJ633" s="195"/>
      <c r="BK633" s="195"/>
      <c r="BL633" s="195"/>
      <c r="BM633" s="195"/>
      <c r="BN633" s="195"/>
      <c r="BO633" s="195"/>
      <c r="BP633" s="195"/>
      <c r="BQ633" s="195"/>
      <c r="BR633" s="195"/>
      <c r="BS633" s="195"/>
      <c r="BT633" s="195"/>
      <c r="BU633" s="195"/>
      <c r="BV633" s="195"/>
      <c r="BW633" s="195"/>
      <c r="BX633" s="195"/>
      <c r="BY633" s="195"/>
      <c r="BZ633" s="195"/>
      <c r="CA633" s="195"/>
      <c r="CB633" s="195"/>
      <c r="CC633" s="195"/>
      <c r="CD633" s="195"/>
      <c r="CE633" s="195"/>
      <c r="CF633" s="195"/>
      <c r="CG633" s="256"/>
    </row>
    <row r="634" spans="1:85" s="254" customFormat="1" ht="13.9" customHeight="1" x14ac:dyDescent="0.2">
      <c r="A634" s="255" t="s">
        <v>606</v>
      </c>
      <c r="B634" s="187">
        <v>8</v>
      </c>
      <c r="C634" s="248" t="s">
        <v>607</v>
      </c>
      <c r="D634" s="197" t="s">
        <v>608</v>
      </c>
      <c r="E634" s="199"/>
      <c r="F634" s="199">
        <f>1650000000-80000000</f>
        <v>1570000000</v>
      </c>
      <c r="G634" s="199"/>
      <c r="H634" s="197" t="s">
        <v>792</v>
      </c>
      <c r="I634" s="248" t="s">
        <v>618</v>
      </c>
      <c r="J634" s="187">
        <v>2</v>
      </c>
      <c r="K634" s="187">
        <v>2</v>
      </c>
      <c r="L634" s="187">
        <v>10</v>
      </c>
      <c r="M634" s="172">
        <f t="shared" si="104"/>
        <v>1</v>
      </c>
      <c r="N634" s="180" t="s">
        <v>36</v>
      </c>
      <c r="O634" s="181" t="str">
        <f>IF(ISBLANK(N634),"",VLOOKUP(N634,[19]Parámetros!$G$2:$H$23,2,FALSE))</f>
        <v xml:space="preserve">Contratación directa (con ofertas) </v>
      </c>
      <c r="P634" s="249">
        <f t="shared" si="110"/>
        <v>1</v>
      </c>
      <c r="Q634" s="183">
        <f t="shared" si="105"/>
        <v>1570000000</v>
      </c>
      <c r="R634" s="183">
        <f t="shared" si="106"/>
        <v>1570000000</v>
      </c>
      <c r="S634" s="250" t="s">
        <v>223</v>
      </c>
      <c r="T634" s="249">
        <f t="shared" si="111"/>
        <v>0</v>
      </c>
      <c r="U634" s="185" t="str">
        <f t="shared" si="107"/>
        <v>SUBDIRECCION DE GESTION CONTRACTUAL</v>
      </c>
      <c r="V634" s="249" t="str">
        <f t="shared" si="108"/>
        <v>CO-DC</v>
      </c>
      <c r="W634" s="249" t="str">
        <f t="shared" si="109"/>
        <v>Distrito Capital de Bogotá</v>
      </c>
      <c r="X634" s="197" t="s">
        <v>610</v>
      </c>
      <c r="Y634" s="187">
        <v>2427400</v>
      </c>
      <c r="Z634" s="201" t="s">
        <v>611</v>
      </c>
      <c r="AA634" s="252"/>
      <c r="AB634" s="252"/>
      <c r="AC634" s="252"/>
      <c r="AD634" s="252"/>
      <c r="AE634" s="252"/>
      <c r="AF634" s="252"/>
      <c r="AG634" s="252"/>
      <c r="AH634" s="252"/>
      <c r="AI634" s="252"/>
      <c r="AJ634" s="252"/>
      <c r="AK634" s="252"/>
      <c r="AL634" s="252"/>
      <c r="AM634" s="252"/>
      <c r="AN634" s="252"/>
      <c r="AO634" s="252"/>
      <c r="AP634" s="252"/>
      <c r="AQ634" s="252"/>
      <c r="AR634" s="252"/>
      <c r="AS634" s="252"/>
      <c r="AT634" s="252"/>
      <c r="AU634" s="195"/>
      <c r="AV634" s="195"/>
      <c r="AW634" s="195"/>
      <c r="AX634" s="195"/>
      <c r="AY634" s="195"/>
      <c r="AZ634" s="195"/>
      <c r="BA634" s="195"/>
      <c r="BB634" s="195"/>
      <c r="BC634" s="195"/>
      <c r="BD634" s="195"/>
      <c r="BE634" s="195"/>
      <c r="BF634" s="195"/>
      <c r="BG634" s="195"/>
      <c r="BH634" s="195"/>
      <c r="BI634" s="195"/>
      <c r="BJ634" s="195"/>
      <c r="BK634" s="195"/>
      <c r="BL634" s="195"/>
      <c r="BM634" s="195"/>
      <c r="BN634" s="195"/>
      <c r="BO634" s="195"/>
      <c r="BP634" s="195"/>
      <c r="BQ634" s="195"/>
      <c r="BR634" s="195"/>
      <c r="BS634" s="195"/>
      <c r="BT634" s="195"/>
      <c r="BU634" s="195"/>
      <c r="BV634" s="195"/>
      <c r="BW634" s="195"/>
      <c r="BX634" s="195"/>
      <c r="BY634" s="195"/>
      <c r="BZ634" s="195"/>
      <c r="CA634" s="195"/>
      <c r="CB634" s="195"/>
      <c r="CC634" s="195"/>
      <c r="CD634" s="195"/>
      <c r="CE634" s="195"/>
      <c r="CF634" s="195"/>
      <c r="CG634" s="256"/>
    </row>
    <row r="635" spans="1:85" s="254" customFormat="1" ht="13.9" customHeight="1" x14ac:dyDescent="0.2">
      <c r="A635" s="255" t="s">
        <v>606</v>
      </c>
      <c r="B635" s="187">
        <v>9</v>
      </c>
      <c r="C635" s="248" t="s">
        <v>607</v>
      </c>
      <c r="D635" s="197" t="s">
        <v>608</v>
      </c>
      <c r="E635" s="199"/>
      <c r="F635" s="199">
        <v>1000000000</v>
      </c>
      <c r="G635" s="199"/>
      <c r="H635" s="175" t="s">
        <v>801</v>
      </c>
      <c r="I635" s="248" t="s">
        <v>614</v>
      </c>
      <c r="J635" s="202">
        <v>1</v>
      </c>
      <c r="K635" s="202">
        <v>2</v>
      </c>
      <c r="L635" s="202">
        <v>3</v>
      </c>
      <c r="M635" s="172">
        <f t="shared" si="104"/>
        <v>1</v>
      </c>
      <c r="N635" s="180" t="s">
        <v>36</v>
      </c>
      <c r="O635" s="181" t="str">
        <f>IF(ISBLANK(N635),"",VLOOKUP(N635,[19]Parámetros!$G$2:$H$23,2,FALSE))</f>
        <v xml:space="preserve">Contratación directa (con ofertas) </v>
      </c>
      <c r="P635" s="249">
        <f t="shared" si="110"/>
        <v>1</v>
      </c>
      <c r="Q635" s="183">
        <f t="shared" si="105"/>
        <v>1000000000</v>
      </c>
      <c r="R635" s="183">
        <f t="shared" si="106"/>
        <v>1000000000</v>
      </c>
      <c r="S635" s="250" t="s">
        <v>223</v>
      </c>
      <c r="T635" s="249">
        <f t="shared" si="111"/>
        <v>0</v>
      </c>
      <c r="U635" s="185" t="str">
        <f t="shared" si="107"/>
        <v>SUBDIRECCION DE GESTION CONTRACTUAL</v>
      </c>
      <c r="V635" s="249" t="str">
        <f t="shared" si="108"/>
        <v>CO-DC</v>
      </c>
      <c r="W635" s="249" t="str">
        <f t="shared" si="109"/>
        <v>Distrito Capital de Bogotá</v>
      </c>
      <c r="X635" s="197" t="s">
        <v>610</v>
      </c>
      <c r="Y635" s="187">
        <v>2427400</v>
      </c>
      <c r="Z635" s="201" t="s">
        <v>611</v>
      </c>
      <c r="AA635" s="252"/>
      <c r="AB635" s="252"/>
      <c r="AC635" s="252"/>
      <c r="AD635" s="252"/>
      <c r="AE635" s="252"/>
      <c r="AF635" s="252"/>
      <c r="AG635" s="252"/>
      <c r="AH635" s="252"/>
      <c r="AI635" s="252"/>
      <c r="AJ635" s="252"/>
      <c r="AK635" s="252"/>
      <c r="AL635" s="252"/>
      <c r="AM635" s="252"/>
      <c r="AN635" s="252"/>
      <c r="AO635" s="252"/>
      <c r="AP635" s="252"/>
      <c r="AQ635" s="252"/>
      <c r="AR635" s="252"/>
      <c r="AS635" s="252"/>
      <c r="AT635" s="252"/>
      <c r="AU635" s="195"/>
      <c r="AV635" s="195"/>
      <c r="AW635" s="195"/>
      <c r="AX635" s="195"/>
      <c r="AY635" s="195"/>
      <c r="AZ635" s="195"/>
      <c r="BA635" s="195"/>
      <c r="BB635" s="195"/>
      <c r="BC635" s="195"/>
      <c r="BD635" s="195"/>
      <c r="BE635" s="195"/>
      <c r="BF635" s="195"/>
      <c r="BG635" s="195"/>
      <c r="BH635" s="195"/>
      <c r="BI635" s="195"/>
      <c r="BJ635" s="195"/>
      <c r="BK635" s="195"/>
      <c r="BL635" s="195"/>
      <c r="BM635" s="195"/>
      <c r="BN635" s="195"/>
      <c r="BO635" s="195"/>
      <c r="BP635" s="195"/>
      <c r="BQ635" s="195"/>
      <c r="BR635" s="195"/>
      <c r="BS635" s="195"/>
      <c r="BT635" s="195"/>
      <c r="BU635" s="195"/>
      <c r="BV635" s="195"/>
      <c r="BW635" s="195"/>
      <c r="BX635" s="195"/>
      <c r="BY635" s="195"/>
      <c r="BZ635" s="195"/>
      <c r="CA635" s="195"/>
      <c r="CB635" s="195"/>
      <c r="CC635" s="195"/>
      <c r="CD635" s="195"/>
      <c r="CE635" s="195"/>
      <c r="CF635" s="195"/>
      <c r="CG635" s="256"/>
    </row>
    <row r="636" spans="1:85" s="189" customFormat="1" ht="12.75" customHeight="1" x14ac:dyDescent="0.2">
      <c r="A636" s="172" t="s">
        <v>606</v>
      </c>
      <c r="B636" s="172">
        <v>10</v>
      </c>
      <c r="C636" s="173" t="s">
        <v>607</v>
      </c>
      <c r="D636" s="173" t="s">
        <v>608</v>
      </c>
      <c r="E636" s="174"/>
      <c r="F636" s="174">
        <v>200000000</v>
      </c>
      <c r="G636" s="174"/>
      <c r="H636" s="175" t="s">
        <v>240</v>
      </c>
      <c r="I636" s="176" t="s">
        <v>669</v>
      </c>
      <c r="J636" s="193">
        <v>2</v>
      </c>
      <c r="K636" s="193">
        <v>3</v>
      </c>
      <c r="L636" s="193">
        <v>4</v>
      </c>
      <c r="M636" s="172">
        <f t="shared" si="104"/>
        <v>1</v>
      </c>
      <c r="N636" s="180" t="s">
        <v>43</v>
      </c>
      <c r="O636" s="181" t="str">
        <f>IF(ISBLANK(N636),"",VLOOKUP(N636,[19]Parámetros!$G$2:$H$23,2,FALSE))</f>
        <v>Selección abreviada subasta inversa</v>
      </c>
      <c r="P636" s="182">
        <f t="shared" si="110"/>
        <v>1</v>
      </c>
      <c r="Q636" s="183">
        <f t="shared" si="105"/>
        <v>200000000</v>
      </c>
      <c r="R636" s="183">
        <f t="shared" si="106"/>
        <v>200000000</v>
      </c>
      <c r="S636" s="184" t="s">
        <v>223</v>
      </c>
      <c r="T636" s="180">
        <f t="shared" si="111"/>
        <v>0</v>
      </c>
      <c r="U636" s="185" t="str">
        <f t="shared" si="107"/>
        <v>SUBDIRECCION DE GESTION CONTRACTUAL</v>
      </c>
      <c r="V636" s="172" t="str">
        <f t="shared" si="108"/>
        <v>CO-DC</v>
      </c>
      <c r="W636" s="185" t="str">
        <f t="shared" si="109"/>
        <v>Distrito Capital de Bogotá</v>
      </c>
      <c r="X636" s="186" t="s">
        <v>332</v>
      </c>
      <c r="Y636" s="172">
        <v>2427400</v>
      </c>
      <c r="Z636" s="188" t="s">
        <v>94</v>
      </c>
    </row>
    <row r="637" spans="1:85" s="189" customFormat="1" ht="12.75" customHeight="1" x14ac:dyDescent="0.25">
      <c r="A637" s="172" t="s">
        <v>606</v>
      </c>
      <c r="B637" s="187">
        <v>11</v>
      </c>
      <c r="C637" s="248" t="s">
        <v>607</v>
      </c>
      <c r="D637" s="197" t="s">
        <v>608</v>
      </c>
      <c r="E637" s="260"/>
      <c r="F637" s="199">
        <v>80000000</v>
      </c>
      <c r="G637" s="260"/>
      <c r="H637" s="261" t="s">
        <v>792</v>
      </c>
      <c r="I637" s="261" t="s">
        <v>861</v>
      </c>
      <c r="J637" s="187">
        <v>1</v>
      </c>
      <c r="K637" s="187">
        <v>2</v>
      </c>
      <c r="L637" s="187">
        <v>3</v>
      </c>
      <c r="M637" s="172">
        <v>1</v>
      </c>
      <c r="N637" s="180" t="s">
        <v>61</v>
      </c>
      <c r="O637" s="181" t="str">
        <f>IF(ISBLANK(N637),"",VLOOKUP(N637,[17]Parámetros!$G$2:$H$23,2,FALSE))</f>
        <v>Contratación régimen especial - Selección de comisionista</v>
      </c>
      <c r="P637" s="182">
        <v>1</v>
      </c>
      <c r="Q637" s="183">
        <f t="shared" ref="Q637" si="117">+E637+F637+G637</f>
        <v>80000000</v>
      </c>
      <c r="R637" s="183">
        <f t="shared" ref="R637" si="118">+F637</f>
        <v>80000000</v>
      </c>
      <c r="S637" s="184" t="s">
        <v>223</v>
      </c>
      <c r="T637" s="180">
        <v>0</v>
      </c>
      <c r="U637" s="185" t="str">
        <f t="shared" si="107"/>
        <v>SUBDIRECCION DE GESTION CONTRACTUAL</v>
      </c>
      <c r="V637" s="172" t="str">
        <f t="shared" ref="V637" si="119">IF(ISBLANK(N637),"","CO-DC")</f>
        <v>CO-DC</v>
      </c>
      <c r="W637" s="185" t="str">
        <f t="shared" ref="W637" si="120">IF(ISBLANK(N637),"","Distrito Capital de Bogotá")</f>
        <v>Distrito Capital de Bogotá</v>
      </c>
      <c r="X637" s="186" t="s">
        <v>359</v>
      </c>
      <c r="Y637" s="172">
        <v>2427400</v>
      </c>
      <c r="Z637" s="198" t="s">
        <v>75</v>
      </c>
    </row>
    <row r="638" spans="1:85" s="189" customFormat="1" ht="12.75" customHeight="1" x14ac:dyDescent="0.2">
      <c r="A638" s="172" t="s">
        <v>805</v>
      </c>
      <c r="B638" s="172">
        <v>1</v>
      </c>
      <c r="C638" s="173" t="s">
        <v>839</v>
      </c>
      <c r="D638" s="173" t="s">
        <v>806</v>
      </c>
      <c r="E638" s="174"/>
      <c r="F638" s="174">
        <v>81890738</v>
      </c>
      <c r="G638" s="174"/>
      <c r="H638" s="175">
        <v>80111600</v>
      </c>
      <c r="I638" s="176" t="s">
        <v>807</v>
      </c>
      <c r="J638" s="193">
        <v>1</v>
      </c>
      <c r="K638" s="193">
        <v>1</v>
      </c>
      <c r="L638" s="193">
        <v>12</v>
      </c>
      <c r="M638" s="172">
        <v>1</v>
      </c>
      <c r="N638" s="180" t="s">
        <v>216</v>
      </c>
      <c r="O638" s="181" t="str">
        <f>IF(ISBLANK(N638),"",VLOOKUP(N638,[20]Parámetros!$G$2:$H$23,2,FALSE))</f>
        <v>Contratación directa.</v>
      </c>
      <c r="P638" s="182">
        <v>1</v>
      </c>
      <c r="Q638" s="183">
        <f t="shared" si="105"/>
        <v>81890738</v>
      </c>
      <c r="R638" s="183">
        <f t="shared" si="106"/>
        <v>81890738</v>
      </c>
      <c r="S638" s="262">
        <v>0</v>
      </c>
      <c r="T638" s="180">
        <v>0</v>
      </c>
      <c r="U638" s="185" t="str">
        <f>IF(ISBLANK(N638),"","SUBDIRECCION DE GESTION CONTRACTUAL")</f>
        <v>SUBDIRECCION DE GESTION CONTRACTUAL</v>
      </c>
      <c r="V638" s="172" t="str">
        <f>IF(ISBLANK(N638),"","CO-DC")</f>
        <v>CO-DC</v>
      </c>
      <c r="W638" s="185" t="str">
        <f>IF(ISBLANK(N638),"","Distrito Capital de Bogotá")</f>
        <v>Distrito Capital de Bogotá</v>
      </c>
      <c r="X638" s="186" t="s">
        <v>808</v>
      </c>
      <c r="Y638" s="172">
        <v>2427400</v>
      </c>
      <c r="Z638" s="188" t="s">
        <v>809</v>
      </c>
    </row>
    <row r="639" spans="1:85" s="189" customFormat="1" ht="12.75" customHeight="1" x14ac:dyDescent="0.2">
      <c r="A639" s="172" t="s">
        <v>805</v>
      </c>
      <c r="B639" s="172">
        <v>2</v>
      </c>
      <c r="C639" s="173" t="s">
        <v>839</v>
      </c>
      <c r="D639" s="173" t="s">
        <v>810</v>
      </c>
      <c r="E639" s="174"/>
      <c r="F639" s="174">
        <v>54593836</v>
      </c>
      <c r="G639" s="174"/>
      <c r="H639" s="175">
        <v>80111600</v>
      </c>
      <c r="I639" s="176" t="s">
        <v>807</v>
      </c>
      <c r="J639" s="193">
        <v>1</v>
      </c>
      <c r="K639" s="193">
        <v>1</v>
      </c>
      <c r="L639" s="193">
        <v>12</v>
      </c>
      <c r="M639" s="172">
        <v>1</v>
      </c>
      <c r="N639" s="180" t="s">
        <v>216</v>
      </c>
      <c r="O639" s="181" t="str">
        <f>IF(ISBLANK(N639),"",VLOOKUP(N639,[20]Parámetros!$G$2:$H$23,2,FALSE))</f>
        <v>Contratación directa.</v>
      </c>
      <c r="P639" s="182">
        <v>1</v>
      </c>
      <c r="Q639" s="183">
        <f t="shared" si="105"/>
        <v>54593836</v>
      </c>
      <c r="R639" s="183">
        <f t="shared" si="106"/>
        <v>54593836</v>
      </c>
      <c r="S639" s="262">
        <v>0</v>
      </c>
      <c r="T639" s="180">
        <v>0</v>
      </c>
      <c r="U639" s="185" t="str">
        <f t="shared" ref="U639:U697" si="121">IF(ISBLANK(N639),"","SUBDIRECCION DE GESTION CONTRACTUAL")</f>
        <v>SUBDIRECCION DE GESTION CONTRACTUAL</v>
      </c>
      <c r="V639" s="172" t="str">
        <f t="shared" ref="V639:V697" si="122">IF(ISBLANK(N639),"","CO-DC")</f>
        <v>CO-DC</v>
      </c>
      <c r="W639" s="185" t="str">
        <f t="shared" ref="W639:W697" si="123">IF(ISBLANK(N639),"","Distrito Capital de Bogotá")</f>
        <v>Distrito Capital de Bogotá</v>
      </c>
      <c r="X639" s="186" t="s">
        <v>808</v>
      </c>
      <c r="Y639" s="172">
        <v>2427400</v>
      </c>
      <c r="Z639" s="188" t="s">
        <v>809</v>
      </c>
    </row>
    <row r="640" spans="1:85" s="189" customFormat="1" ht="12.75" customHeight="1" x14ac:dyDescent="0.2">
      <c r="A640" s="172" t="s">
        <v>805</v>
      </c>
      <c r="B640" s="172">
        <v>3</v>
      </c>
      <c r="C640" s="173" t="s">
        <v>839</v>
      </c>
      <c r="D640" s="173" t="s">
        <v>811</v>
      </c>
      <c r="E640" s="174"/>
      <c r="F640" s="174">
        <v>81890752</v>
      </c>
      <c r="G640" s="174"/>
      <c r="H640" s="175">
        <v>80111600</v>
      </c>
      <c r="I640" s="176" t="s">
        <v>807</v>
      </c>
      <c r="J640" s="193">
        <v>1</v>
      </c>
      <c r="K640" s="193">
        <v>1</v>
      </c>
      <c r="L640" s="193">
        <v>12</v>
      </c>
      <c r="M640" s="172">
        <v>1</v>
      </c>
      <c r="N640" s="180" t="s">
        <v>216</v>
      </c>
      <c r="O640" s="181" t="str">
        <f>IF(ISBLANK(N640),"",VLOOKUP(N640,[20]Parámetros!$G$2:$H$23,2,FALSE))</f>
        <v>Contratación directa.</v>
      </c>
      <c r="P640" s="182">
        <v>1</v>
      </c>
      <c r="Q640" s="183">
        <f t="shared" si="105"/>
        <v>81890752</v>
      </c>
      <c r="R640" s="183">
        <f t="shared" si="106"/>
        <v>81890752</v>
      </c>
      <c r="S640" s="262">
        <v>0</v>
      </c>
      <c r="T640" s="180">
        <v>0</v>
      </c>
      <c r="U640" s="185" t="str">
        <f t="shared" si="121"/>
        <v>SUBDIRECCION DE GESTION CONTRACTUAL</v>
      </c>
      <c r="V640" s="172" t="str">
        <f t="shared" si="122"/>
        <v>CO-DC</v>
      </c>
      <c r="W640" s="185" t="str">
        <f t="shared" si="123"/>
        <v>Distrito Capital de Bogotá</v>
      </c>
      <c r="X640" s="186" t="s">
        <v>808</v>
      </c>
      <c r="Y640" s="172">
        <v>2427400</v>
      </c>
      <c r="Z640" s="188" t="s">
        <v>809</v>
      </c>
    </row>
    <row r="641" spans="1:26" s="189" customFormat="1" ht="12.75" customHeight="1" x14ac:dyDescent="0.2">
      <c r="A641" s="172" t="s">
        <v>805</v>
      </c>
      <c r="B641" s="172">
        <v>4</v>
      </c>
      <c r="C641" s="173" t="s">
        <v>839</v>
      </c>
      <c r="D641" s="173" t="s">
        <v>812</v>
      </c>
      <c r="E641" s="174"/>
      <c r="F641" s="174">
        <v>54593836</v>
      </c>
      <c r="G641" s="174"/>
      <c r="H641" s="175">
        <v>80111600</v>
      </c>
      <c r="I641" s="176" t="s">
        <v>807</v>
      </c>
      <c r="J641" s="193">
        <v>1</v>
      </c>
      <c r="K641" s="193">
        <v>1</v>
      </c>
      <c r="L641" s="193">
        <v>12</v>
      </c>
      <c r="M641" s="172">
        <v>1</v>
      </c>
      <c r="N641" s="180" t="s">
        <v>216</v>
      </c>
      <c r="O641" s="181" t="str">
        <f>IF(ISBLANK(N641),"",VLOOKUP(N641,[20]Parámetros!$G$2:$H$23,2,FALSE))</f>
        <v>Contratación directa.</v>
      </c>
      <c r="P641" s="182">
        <v>1</v>
      </c>
      <c r="Q641" s="183">
        <f t="shared" si="105"/>
        <v>54593836</v>
      </c>
      <c r="R641" s="183">
        <f t="shared" si="106"/>
        <v>54593836</v>
      </c>
      <c r="S641" s="262">
        <v>0</v>
      </c>
      <c r="T641" s="180">
        <v>0</v>
      </c>
      <c r="U641" s="185" t="str">
        <f t="shared" si="121"/>
        <v>SUBDIRECCION DE GESTION CONTRACTUAL</v>
      </c>
      <c r="V641" s="172" t="str">
        <f t="shared" si="122"/>
        <v>CO-DC</v>
      </c>
      <c r="W641" s="185" t="str">
        <f t="shared" si="123"/>
        <v>Distrito Capital de Bogotá</v>
      </c>
      <c r="X641" s="186" t="s">
        <v>808</v>
      </c>
      <c r="Y641" s="172">
        <v>2427400</v>
      </c>
      <c r="Z641" s="188" t="s">
        <v>809</v>
      </c>
    </row>
    <row r="642" spans="1:26" s="189" customFormat="1" ht="12.75" customHeight="1" x14ac:dyDescent="0.2">
      <c r="A642" s="172" t="s">
        <v>805</v>
      </c>
      <c r="B642" s="172">
        <v>5</v>
      </c>
      <c r="C642" s="173" t="s">
        <v>842</v>
      </c>
      <c r="D642" s="173" t="s">
        <v>813</v>
      </c>
      <c r="E642" s="174"/>
      <c r="F642" s="174">
        <v>130088818</v>
      </c>
      <c r="G642" s="174"/>
      <c r="H642" s="175">
        <v>80111600</v>
      </c>
      <c r="I642" s="176" t="s">
        <v>807</v>
      </c>
      <c r="J642" s="193">
        <v>1</v>
      </c>
      <c r="K642" s="193">
        <v>1</v>
      </c>
      <c r="L642" s="193">
        <v>12</v>
      </c>
      <c r="M642" s="172">
        <v>1</v>
      </c>
      <c r="N642" s="180" t="s">
        <v>216</v>
      </c>
      <c r="O642" s="181" t="str">
        <f>IF(ISBLANK(N642),"",VLOOKUP(N642,[20]Parámetros!$G$2:$H$23,2,FALSE))</f>
        <v>Contratación directa.</v>
      </c>
      <c r="P642" s="182">
        <v>1</v>
      </c>
      <c r="Q642" s="183">
        <f t="shared" si="105"/>
        <v>130088818</v>
      </c>
      <c r="R642" s="183">
        <f t="shared" si="106"/>
        <v>130088818</v>
      </c>
      <c r="S642" s="262">
        <v>0</v>
      </c>
      <c r="T642" s="180">
        <v>0</v>
      </c>
      <c r="U642" s="185" t="str">
        <f t="shared" si="121"/>
        <v>SUBDIRECCION DE GESTION CONTRACTUAL</v>
      </c>
      <c r="V642" s="172" t="str">
        <f t="shared" si="122"/>
        <v>CO-DC</v>
      </c>
      <c r="W642" s="185" t="str">
        <f t="shared" si="123"/>
        <v>Distrito Capital de Bogotá</v>
      </c>
      <c r="X642" s="186" t="s">
        <v>808</v>
      </c>
      <c r="Y642" s="172">
        <v>2427400</v>
      </c>
      <c r="Z642" s="188" t="s">
        <v>809</v>
      </c>
    </row>
    <row r="643" spans="1:26" s="189" customFormat="1" ht="12.75" customHeight="1" x14ac:dyDescent="0.2">
      <c r="A643" s="172" t="s">
        <v>805</v>
      </c>
      <c r="B643" s="172">
        <v>6</v>
      </c>
      <c r="C643" s="173" t="s">
        <v>842</v>
      </c>
      <c r="D643" s="173" t="s">
        <v>814</v>
      </c>
      <c r="E643" s="174"/>
      <c r="F643" s="174">
        <v>86725872</v>
      </c>
      <c r="G643" s="174"/>
      <c r="H643" s="175">
        <v>80111600</v>
      </c>
      <c r="I643" s="176" t="s">
        <v>807</v>
      </c>
      <c r="J643" s="193">
        <v>1</v>
      </c>
      <c r="K643" s="193">
        <v>1</v>
      </c>
      <c r="L643" s="193">
        <v>12</v>
      </c>
      <c r="M643" s="172">
        <v>1</v>
      </c>
      <c r="N643" s="180" t="s">
        <v>216</v>
      </c>
      <c r="O643" s="181" t="str">
        <f>IF(ISBLANK(N643),"",VLOOKUP(N643,[20]Parámetros!$G$2:$H$23,2,FALSE))</f>
        <v>Contratación directa.</v>
      </c>
      <c r="P643" s="182">
        <v>1</v>
      </c>
      <c r="Q643" s="183">
        <f t="shared" si="105"/>
        <v>86725872</v>
      </c>
      <c r="R643" s="183">
        <f t="shared" si="106"/>
        <v>86725872</v>
      </c>
      <c r="S643" s="262">
        <v>0</v>
      </c>
      <c r="T643" s="180">
        <v>0</v>
      </c>
      <c r="U643" s="185" t="str">
        <f t="shared" si="121"/>
        <v>SUBDIRECCION DE GESTION CONTRACTUAL</v>
      </c>
      <c r="V643" s="172" t="str">
        <f t="shared" si="122"/>
        <v>CO-DC</v>
      </c>
      <c r="W643" s="185" t="str">
        <f t="shared" si="123"/>
        <v>Distrito Capital de Bogotá</v>
      </c>
      <c r="X643" s="186" t="s">
        <v>808</v>
      </c>
      <c r="Y643" s="172">
        <v>2427400</v>
      </c>
      <c r="Z643" s="188" t="s">
        <v>809</v>
      </c>
    </row>
    <row r="644" spans="1:26" s="189" customFormat="1" ht="12.75" customHeight="1" x14ac:dyDescent="0.2">
      <c r="A644" s="172" t="s">
        <v>805</v>
      </c>
      <c r="B644" s="172">
        <v>7</v>
      </c>
      <c r="C644" s="173" t="s">
        <v>842</v>
      </c>
      <c r="D644" s="173" t="s">
        <v>815</v>
      </c>
      <c r="E644" s="174"/>
      <c r="F644" s="174">
        <v>130088818</v>
      </c>
      <c r="G644" s="174"/>
      <c r="H644" s="175">
        <v>80111600</v>
      </c>
      <c r="I644" s="176" t="s">
        <v>807</v>
      </c>
      <c r="J644" s="193">
        <v>1</v>
      </c>
      <c r="K644" s="193">
        <v>1</v>
      </c>
      <c r="L644" s="193">
        <v>12</v>
      </c>
      <c r="M644" s="172">
        <v>1</v>
      </c>
      <c r="N644" s="180" t="s">
        <v>216</v>
      </c>
      <c r="O644" s="181" t="str">
        <f>IF(ISBLANK(N644),"",VLOOKUP(N644,[20]Parámetros!$G$2:$H$23,2,FALSE))</f>
        <v>Contratación directa.</v>
      </c>
      <c r="P644" s="182">
        <v>1</v>
      </c>
      <c r="Q644" s="183">
        <f t="shared" si="105"/>
        <v>130088818</v>
      </c>
      <c r="R644" s="183">
        <f t="shared" si="106"/>
        <v>130088818</v>
      </c>
      <c r="S644" s="262">
        <v>0</v>
      </c>
      <c r="T644" s="180">
        <v>0</v>
      </c>
      <c r="U644" s="185" t="str">
        <f t="shared" si="121"/>
        <v>SUBDIRECCION DE GESTION CONTRACTUAL</v>
      </c>
      <c r="V644" s="172" t="str">
        <f t="shared" si="122"/>
        <v>CO-DC</v>
      </c>
      <c r="W644" s="185" t="str">
        <f t="shared" si="123"/>
        <v>Distrito Capital de Bogotá</v>
      </c>
      <c r="X644" s="186" t="s">
        <v>808</v>
      </c>
      <c r="Y644" s="172">
        <v>2427400</v>
      </c>
      <c r="Z644" s="188" t="s">
        <v>809</v>
      </c>
    </row>
    <row r="645" spans="1:26" s="189" customFormat="1" ht="12.75" customHeight="1" x14ac:dyDescent="0.2">
      <c r="A645" s="172" t="s">
        <v>805</v>
      </c>
      <c r="B645" s="172">
        <v>8</v>
      </c>
      <c r="C645" s="173" t="s">
        <v>842</v>
      </c>
      <c r="D645" s="173" t="s">
        <v>816</v>
      </c>
      <c r="E645" s="174"/>
      <c r="F645" s="174">
        <v>86725872</v>
      </c>
      <c r="G645" s="174"/>
      <c r="H645" s="175">
        <v>80111600</v>
      </c>
      <c r="I645" s="176" t="s">
        <v>807</v>
      </c>
      <c r="J645" s="193">
        <v>1</v>
      </c>
      <c r="K645" s="193">
        <v>1</v>
      </c>
      <c r="L645" s="193">
        <v>12</v>
      </c>
      <c r="M645" s="172">
        <v>1</v>
      </c>
      <c r="N645" s="180" t="s">
        <v>216</v>
      </c>
      <c r="O645" s="181" t="str">
        <f>IF(ISBLANK(N645),"",VLOOKUP(N645,[20]Parámetros!$G$2:$H$23,2,FALSE))</f>
        <v>Contratación directa.</v>
      </c>
      <c r="P645" s="182">
        <v>1</v>
      </c>
      <c r="Q645" s="183">
        <f t="shared" si="105"/>
        <v>86725872</v>
      </c>
      <c r="R645" s="183">
        <f t="shared" si="106"/>
        <v>86725872</v>
      </c>
      <c r="S645" s="262">
        <v>0</v>
      </c>
      <c r="T645" s="180">
        <v>0</v>
      </c>
      <c r="U645" s="185" t="str">
        <f t="shared" si="121"/>
        <v>SUBDIRECCION DE GESTION CONTRACTUAL</v>
      </c>
      <c r="V645" s="172" t="str">
        <f t="shared" si="122"/>
        <v>CO-DC</v>
      </c>
      <c r="W645" s="185" t="str">
        <f t="shared" si="123"/>
        <v>Distrito Capital de Bogotá</v>
      </c>
      <c r="X645" s="186" t="s">
        <v>808</v>
      </c>
      <c r="Y645" s="172">
        <v>2427400</v>
      </c>
      <c r="Z645" s="188" t="s">
        <v>809</v>
      </c>
    </row>
    <row r="646" spans="1:26" s="189" customFormat="1" ht="12.75" customHeight="1" x14ac:dyDescent="0.2">
      <c r="A646" s="172" t="s">
        <v>805</v>
      </c>
      <c r="B646" s="172">
        <v>9</v>
      </c>
      <c r="C646" s="173" t="s">
        <v>844</v>
      </c>
      <c r="D646" s="173" t="s">
        <v>817</v>
      </c>
      <c r="E646" s="174"/>
      <c r="F646" s="174">
        <v>28379484</v>
      </c>
      <c r="G646" s="174"/>
      <c r="H646" s="175">
        <v>80111600</v>
      </c>
      <c r="I646" s="176" t="s">
        <v>807</v>
      </c>
      <c r="J646" s="193">
        <v>1</v>
      </c>
      <c r="K646" s="193">
        <v>1</v>
      </c>
      <c r="L646" s="193">
        <v>12</v>
      </c>
      <c r="M646" s="172">
        <v>1</v>
      </c>
      <c r="N646" s="180" t="s">
        <v>216</v>
      </c>
      <c r="O646" s="181" t="str">
        <f>IF(ISBLANK(N646),"",VLOOKUP(N646,[20]Parámetros!$G$2:$H$23,2,FALSE))</f>
        <v>Contratación directa.</v>
      </c>
      <c r="P646" s="182">
        <v>1</v>
      </c>
      <c r="Q646" s="183">
        <f t="shared" si="105"/>
        <v>28379484</v>
      </c>
      <c r="R646" s="183">
        <f t="shared" si="106"/>
        <v>28379484</v>
      </c>
      <c r="S646" s="262">
        <v>0</v>
      </c>
      <c r="T646" s="180">
        <v>0</v>
      </c>
      <c r="U646" s="185" t="str">
        <f t="shared" si="121"/>
        <v>SUBDIRECCION DE GESTION CONTRACTUAL</v>
      </c>
      <c r="V646" s="172" t="str">
        <f t="shared" si="122"/>
        <v>CO-DC</v>
      </c>
      <c r="W646" s="185" t="str">
        <f t="shared" si="123"/>
        <v>Distrito Capital de Bogotá</v>
      </c>
      <c r="X646" s="186" t="s">
        <v>808</v>
      </c>
      <c r="Y646" s="172">
        <v>2427400</v>
      </c>
      <c r="Z646" s="188" t="s">
        <v>809</v>
      </c>
    </row>
    <row r="647" spans="1:26" s="189" customFormat="1" ht="12.75" customHeight="1" x14ac:dyDescent="0.2">
      <c r="A647" s="172" t="s">
        <v>805</v>
      </c>
      <c r="B647" s="172">
        <v>10</v>
      </c>
      <c r="C647" s="173" t="s">
        <v>844</v>
      </c>
      <c r="D647" s="173" t="s">
        <v>818</v>
      </c>
      <c r="E647" s="174"/>
      <c r="F647" s="174">
        <v>18919652</v>
      </c>
      <c r="G647" s="174"/>
      <c r="H647" s="175">
        <v>80111600</v>
      </c>
      <c r="I647" s="176" t="s">
        <v>807</v>
      </c>
      <c r="J647" s="193">
        <v>1</v>
      </c>
      <c r="K647" s="193">
        <v>1</v>
      </c>
      <c r="L647" s="193">
        <v>12</v>
      </c>
      <c r="M647" s="172">
        <v>1</v>
      </c>
      <c r="N647" s="180" t="s">
        <v>216</v>
      </c>
      <c r="O647" s="181" t="str">
        <f>IF(ISBLANK(N647),"",VLOOKUP(N647,[20]Parámetros!$G$2:$H$23,2,FALSE))</f>
        <v>Contratación directa.</v>
      </c>
      <c r="P647" s="182">
        <v>1</v>
      </c>
      <c r="Q647" s="183">
        <f t="shared" si="105"/>
        <v>18919652</v>
      </c>
      <c r="R647" s="183">
        <f t="shared" si="106"/>
        <v>18919652</v>
      </c>
      <c r="S647" s="262">
        <v>0</v>
      </c>
      <c r="T647" s="180">
        <v>0</v>
      </c>
      <c r="U647" s="185" t="str">
        <f t="shared" si="121"/>
        <v>SUBDIRECCION DE GESTION CONTRACTUAL</v>
      </c>
      <c r="V647" s="172" t="str">
        <f t="shared" si="122"/>
        <v>CO-DC</v>
      </c>
      <c r="W647" s="185" t="str">
        <f t="shared" si="123"/>
        <v>Distrito Capital de Bogotá</v>
      </c>
      <c r="X647" s="186" t="s">
        <v>808</v>
      </c>
      <c r="Y647" s="172">
        <v>2427400</v>
      </c>
      <c r="Z647" s="188" t="s">
        <v>809</v>
      </c>
    </row>
    <row r="648" spans="1:26" s="189" customFormat="1" ht="12.75" customHeight="1" x14ac:dyDescent="0.2">
      <c r="A648" s="172" t="s">
        <v>805</v>
      </c>
      <c r="B648" s="172">
        <v>11</v>
      </c>
      <c r="C648" s="173" t="s">
        <v>844</v>
      </c>
      <c r="D648" s="173" t="s">
        <v>819</v>
      </c>
      <c r="E648" s="174"/>
      <c r="F648" s="174">
        <v>28379484</v>
      </c>
      <c r="G648" s="174"/>
      <c r="H648" s="175">
        <v>80111600</v>
      </c>
      <c r="I648" s="176" t="s">
        <v>807</v>
      </c>
      <c r="J648" s="193">
        <v>1</v>
      </c>
      <c r="K648" s="193">
        <v>1</v>
      </c>
      <c r="L648" s="193">
        <v>12</v>
      </c>
      <c r="M648" s="172">
        <v>1</v>
      </c>
      <c r="N648" s="180" t="s">
        <v>216</v>
      </c>
      <c r="O648" s="181" t="str">
        <f>IF(ISBLANK(N648),"",VLOOKUP(N648,[20]Parámetros!$G$2:$H$23,2,FALSE))</f>
        <v>Contratación directa.</v>
      </c>
      <c r="P648" s="182">
        <v>1</v>
      </c>
      <c r="Q648" s="183">
        <f t="shared" si="105"/>
        <v>28379484</v>
      </c>
      <c r="R648" s="183">
        <f t="shared" si="106"/>
        <v>28379484</v>
      </c>
      <c r="S648" s="262">
        <v>0</v>
      </c>
      <c r="T648" s="180">
        <v>0</v>
      </c>
      <c r="U648" s="185" t="str">
        <f t="shared" si="121"/>
        <v>SUBDIRECCION DE GESTION CONTRACTUAL</v>
      </c>
      <c r="V648" s="172" t="str">
        <f t="shared" si="122"/>
        <v>CO-DC</v>
      </c>
      <c r="W648" s="185" t="str">
        <f t="shared" si="123"/>
        <v>Distrito Capital de Bogotá</v>
      </c>
      <c r="X648" s="186" t="s">
        <v>808</v>
      </c>
      <c r="Y648" s="172">
        <v>2427400</v>
      </c>
      <c r="Z648" s="188" t="s">
        <v>809</v>
      </c>
    </row>
    <row r="649" spans="1:26" s="189" customFormat="1" ht="12.75" customHeight="1" x14ac:dyDescent="0.2">
      <c r="A649" s="172" t="s">
        <v>805</v>
      </c>
      <c r="B649" s="172">
        <v>12</v>
      </c>
      <c r="C649" s="173" t="s">
        <v>844</v>
      </c>
      <c r="D649" s="173" t="s">
        <v>820</v>
      </c>
      <c r="E649" s="174"/>
      <c r="F649" s="174">
        <v>18919652</v>
      </c>
      <c r="G649" s="174"/>
      <c r="H649" s="175">
        <v>80111600</v>
      </c>
      <c r="I649" s="176" t="s">
        <v>807</v>
      </c>
      <c r="J649" s="193">
        <v>1</v>
      </c>
      <c r="K649" s="193">
        <v>1</v>
      </c>
      <c r="L649" s="193">
        <v>12</v>
      </c>
      <c r="M649" s="172">
        <v>1</v>
      </c>
      <c r="N649" s="180" t="s">
        <v>216</v>
      </c>
      <c r="O649" s="181" t="str">
        <f>IF(ISBLANK(N649),"",VLOOKUP(N649,[20]Parámetros!$G$2:$H$23,2,FALSE))</f>
        <v>Contratación directa.</v>
      </c>
      <c r="P649" s="182">
        <v>1</v>
      </c>
      <c r="Q649" s="183">
        <f t="shared" si="105"/>
        <v>18919652</v>
      </c>
      <c r="R649" s="183">
        <f t="shared" si="106"/>
        <v>18919652</v>
      </c>
      <c r="S649" s="262">
        <v>0</v>
      </c>
      <c r="T649" s="180">
        <v>0</v>
      </c>
      <c r="U649" s="185" t="str">
        <f t="shared" si="121"/>
        <v>SUBDIRECCION DE GESTION CONTRACTUAL</v>
      </c>
      <c r="V649" s="172" t="str">
        <f t="shared" si="122"/>
        <v>CO-DC</v>
      </c>
      <c r="W649" s="185" t="str">
        <f t="shared" si="123"/>
        <v>Distrito Capital de Bogotá</v>
      </c>
      <c r="X649" s="186" t="s">
        <v>808</v>
      </c>
      <c r="Y649" s="172">
        <v>2427400</v>
      </c>
      <c r="Z649" s="188" t="s">
        <v>809</v>
      </c>
    </row>
    <row r="650" spans="1:26" s="189" customFormat="1" ht="12.75" customHeight="1" x14ac:dyDescent="0.2">
      <c r="A650" s="172" t="s">
        <v>805</v>
      </c>
      <c r="B650" s="172">
        <v>13</v>
      </c>
      <c r="C650" s="173" t="s">
        <v>845</v>
      </c>
      <c r="D650" s="173" t="s">
        <v>821</v>
      </c>
      <c r="E650" s="174"/>
      <c r="F650" s="174">
        <v>12327150</v>
      </c>
      <c r="G650" s="174"/>
      <c r="H650" s="175">
        <v>80111600</v>
      </c>
      <c r="I650" s="176" t="s">
        <v>807</v>
      </c>
      <c r="J650" s="193">
        <v>1</v>
      </c>
      <c r="K650" s="193">
        <v>1</v>
      </c>
      <c r="L650" s="193">
        <v>12</v>
      </c>
      <c r="M650" s="172">
        <v>12</v>
      </c>
      <c r="N650" s="180" t="s">
        <v>216</v>
      </c>
      <c r="O650" s="181" t="str">
        <f>IF(ISBLANK(N650),"",VLOOKUP(N650,[20]Parámetros!$G$2:$H$23,2,FALSE))</f>
        <v>Contratación directa.</v>
      </c>
      <c r="P650" s="182">
        <v>1</v>
      </c>
      <c r="Q650" s="183">
        <f t="shared" si="105"/>
        <v>12327150</v>
      </c>
      <c r="R650" s="183">
        <f t="shared" si="106"/>
        <v>12327150</v>
      </c>
      <c r="S650" s="262">
        <v>0</v>
      </c>
      <c r="T650" s="180">
        <v>0</v>
      </c>
      <c r="U650" s="185" t="str">
        <f t="shared" si="121"/>
        <v>SUBDIRECCION DE GESTION CONTRACTUAL</v>
      </c>
      <c r="V650" s="172" t="str">
        <f t="shared" si="122"/>
        <v>CO-DC</v>
      </c>
      <c r="W650" s="185" t="str">
        <f t="shared" si="123"/>
        <v>Distrito Capital de Bogotá</v>
      </c>
      <c r="X650" s="186" t="s">
        <v>808</v>
      </c>
      <c r="Y650" s="172">
        <v>2427400</v>
      </c>
      <c r="Z650" s="188" t="s">
        <v>809</v>
      </c>
    </row>
    <row r="651" spans="1:26" s="189" customFormat="1" ht="12.75" customHeight="1" x14ac:dyDescent="0.2">
      <c r="A651" s="172" t="s">
        <v>805</v>
      </c>
      <c r="B651" s="172">
        <v>14</v>
      </c>
      <c r="C651" s="173" t="s">
        <v>845</v>
      </c>
      <c r="D651" s="173" t="s">
        <v>822</v>
      </c>
      <c r="E651" s="174"/>
      <c r="F651" s="174">
        <v>40945378</v>
      </c>
      <c r="G651" s="174"/>
      <c r="H651" s="175">
        <v>80111600</v>
      </c>
      <c r="I651" s="176" t="s">
        <v>807</v>
      </c>
      <c r="J651" s="193">
        <v>1</v>
      </c>
      <c r="K651" s="193">
        <v>1</v>
      </c>
      <c r="L651" s="193">
        <v>12</v>
      </c>
      <c r="M651" s="172">
        <v>12</v>
      </c>
      <c r="N651" s="180" t="s">
        <v>216</v>
      </c>
      <c r="O651" s="181" t="str">
        <f>IF(ISBLANK(N651),"",VLOOKUP(N651,[20]Parámetros!$G$2:$H$23,2,FALSE))</f>
        <v>Contratación directa.</v>
      </c>
      <c r="P651" s="182">
        <v>1</v>
      </c>
      <c r="Q651" s="183">
        <f t="shared" si="105"/>
        <v>40945378</v>
      </c>
      <c r="R651" s="183">
        <f t="shared" si="106"/>
        <v>40945378</v>
      </c>
      <c r="S651" s="262">
        <v>0</v>
      </c>
      <c r="T651" s="180">
        <v>0</v>
      </c>
      <c r="U651" s="185" t="str">
        <f t="shared" si="121"/>
        <v>SUBDIRECCION DE GESTION CONTRACTUAL</v>
      </c>
      <c r="V651" s="172" t="str">
        <f t="shared" si="122"/>
        <v>CO-DC</v>
      </c>
      <c r="W651" s="185" t="str">
        <f t="shared" si="123"/>
        <v>Distrito Capital de Bogotá</v>
      </c>
      <c r="X651" s="186" t="s">
        <v>808</v>
      </c>
      <c r="Y651" s="172">
        <v>2427400</v>
      </c>
      <c r="Z651" s="188" t="s">
        <v>809</v>
      </c>
    </row>
    <row r="652" spans="1:26" s="189" customFormat="1" ht="12.75" customHeight="1" x14ac:dyDescent="0.2">
      <c r="A652" s="172" t="s">
        <v>805</v>
      </c>
      <c r="B652" s="172">
        <v>15</v>
      </c>
      <c r="C652" s="173" t="s">
        <v>845</v>
      </c>
      <c r="D652" s="173" t="s">
        <v>823</v>
      </c>
      <c r="E652" s="174"/>
      <c r="F652" s="174">
        <v>49927238</v>
      </c>
      <c r="G652" s="174"/>
      <c r="H652" s="175">
        <v>80111600</v>
      </c>
      <c r="I652" s="176" t="s">
        <v>807</v>
      </c>
      <c r="J652" s="193">
        <v>1</v>
      </c>
      <c r="K652" s="193">
        <v>1</v>
      </c>
      <c r="L652" s="193">
        <v>12</v>
      </c>
      <c r="M652" s="172">
        <v>12</v>
      </c>
      <c r="N652" s="180" t="s">
        <v>216</v>
      </c>
      <c r="O652" s="181" t="str">
        <f>IF(ISBLANK(N652),"",VLOOKUP(N652,[20]Parámetros!$G$2:$H$23,2,FALSE))</f>
        <v>Contratación directa.</v>
      </c>
      <c r="P652" s="182">
        <v>1</v>
      </c>
      <c r="Q652" s="183">
        <f t="shared" si="105"/>
        <v>49927238</v>
      </c>
      <c r="R652" s="183">
        <f t="shared" si="106"/>
        <v>49927238</v>
      </c>
      <c r="S652" s="262">
        <v>0</v>
      </c>
      <c r="T652" s="180">
        <v>0</v>
      </c>
      <c r="U652" s="185" t="str">
        <f t="shared" si="121"/>
        <v>SUBDIRECCION DE GESTION CONTRACTUAL</v>
      </c>
      <c r="V652" s="172" t="str">
        <f t="shared" si="122"/>
        <v>CO-DC</v>
      </c>
      <c r="W652" s="185" t="str">
        <f t="shared" si="123"/>
        <v>Distrito Capital de Bogotá</v>
      </c>
      <c r="X652" s="186" t="s">
        <v>808</v>
      </c>
      <c r="Y652" s="172">
        <v>2427400</v>
      </c>
      <c r="Z652" s="188" t="s">
        <v>809</v>
      </c>
    </row>
    <row r="653" spans="1:26" s="189" customFormat="1" ht="12.75" customHeight="1" x14ac:dyDescent="0.2">
      <c r="A653" s="172" t="s">
        <v>805</v>
      </c>
      <c r="B653" s="172">
        <v>16</v>
      </c>
      <c r="C653" s="173" t="s">
        <v>845</v>
      </c>
      <c r="D653" s="173" t="s">
        <v>824</v>
      </c>
      <c r="E653" s="174"/>
      <c r="F653" s="174">
        <v>8218102</v>
      </c>
      <c r="G653" s="174"/>
      <c r="H653" s="175">
        <v>80111600</v>
      </c>
      <c r="I653" s="176" t="s">
        <v>807</v>
      </c>
      <c r="J653" s="193">
        <v>1</v>
      </c>
      <c r="K653" s="193">
        <v>1</v>
      </c>
      <c r="L653" s="193">
        <v>12</v>
      </c>
      <c r="M653" s="172">
        <v>12</v>
      </c>
      <c r="N653" s="180" t="s">
        <v>216</v>
      </c>
      <c r="O653" s="181" t="str">
        <f>IF(ISBLANK(N653),"",VLOOKUP(N653,[20]Parámetros!$G$2:$H$23,2,FALSE))</f>
        <v>Contratación directa.</v>
      </c>
      <c r="P653" s="182">
        <v>1</v>
      </c>
      <c r="Q653" s="183">
        <f t="shared" si="105"/>
        <v>8218102</v>
      </c>
      <c r="R653" s="183">
        <f t="shared" si="106"/>
        <v>8218102</v>
      </c>
      <c r="S653" s="262">
        <v>0</v>
      </c>
      <c r="T653" s="180">
        <v>0</v>
      </c>
      <c r="U653" s="185" t="str">
        <f t="shared" si="121"/>
        <v>SUBDIRECCION DE GESTION CONTRACTUAL</v>
      </c>
      <c r="V653" s="172" t="str">
        <f t="shared" si="122"/>
        <v>CO-DC</v>
      </c>
      <c r="W653" s="185" t="str">
        <f t="shared" si="123"/>
        <v>Distrito Capital de Bogotá</v>
      </c>
      <c r="X653" s="186" t="s">
        <v>808</v>
      </c>
      <c r="Y653" s="172">
        <v>2427400</v>
      </c>
      <c r="Z653" s="188" t="s">
        <v>809</v>
      </c>
    </row>
    <row r="654" spans="1:26" s="189" customFormat="1" ht="12.75" customHeight="1" x14ac:dyDescent="0.2">
      <c r="A654" s="172" t="s">
        <v>805</v>
      </c>
      <c r="B654" s="172">
        <v>17</v>
      </c>
      <c r="C654" s="173" t="s">
        <v>845</v>
      </c>
      <c r="D654" s="173" t="s">
        <v>825</v>
      </c>
      <c r="E654" s="174"/>
      <c r="F654" s="174">
        <v>27296919</v>
      </c>
      <c r="G654" s="174"/>
      <c r="H654" s="175">
        <v>80111600</v>
      </c>
      <c r="I654" s="176" t="s">
        <v>807</v>
      </c>
      <c r="J654" s="193">
        <v>1</v>
      </c>
      <c r="K654" s="193">
        <v>1</v>
      </c>
      <c r="L654" s="193">
        <v>12</v>
      </c>
      <c r="M654" s="172">
        <v>12</v>
      </c>
      <c r="N654" s="180" t="s">
        <v>216</v>
      </c>
      <c r="O654" s="181" t="str">
        <f>IF(ISBLANK(N654),"",VLOOKUP(N654,[20]Parámetros!$G$2:$H$23,2,FALSE))</f>
        <v>Contratación directa.</v>
      </c>
      <c r="P654" s="182">
        <v>1</v>
      </c>
      <c r="Q654" s="183">
        <f t="shared" si="105"/>
        <v>27296919</v>
      </c>
      <c r="R654" s="183">
        <f t="shared" si="106"/>
        <v>27296919</v>
      </c>
      <c r="S654" s="262">
        <v>0</v>
      </c>
      <c r="T654" s="180">
        <v>0</v>
      </c>
      <c r="U654" s="185" t="str">
        <f t="shared" si="121"/>
        <v>SUBDIRECCION DE GESTION CONTRACTUAL</v>
      </c>
      <c r="V654" s="172" t="str">
        <f t="shared" si="122"/>
        <v>CO-DC</v>
      </c>
      <c r="W654" s="185" t="str">
        <f t="shared" si="123"/>
        <v>Distrito Capital de Bogotá</v>
      </c>
      <c r="X654" s="186" t="s">
        <v>808</v>
      </c>
      <c r="Y654" s="172">
        <v>2427400</v>
      </c>
      <c r="Z654" s="188" t="s">
        <v>809</v>
      </c>
    </row>
    <row r="655" spans="1:26" s="189" customFormat="1" ht="12.75" customHeight="1" x14ac:dyDescent="0.2">
      <c r="A655" s="172" t="s">
        <v>805</v>
      </c>
      <c r="B655" s="172">
        <v>18</v>
      </c>
      <c r="C655" s="173" t="s">
        <v>845</v>
      </c>
      <c r="D655" s="173" t="s">
        <v>826</v>
      </c>
      <c r="E655" s="174"/>
      <c r="F655" s="174">
        <v>33284820</v>
      </c>
      <c r="G655" s="174"/>
      <c r="H655" s="175">
        <v>80111600</v>
      </c>
      <c r="I655" s="176" t="s">
        <v>807</v>
      </c>
      <c r="J655" s="193">
        <v>1</v>
      </c>
      <c r="K655" s="193">
        <v>1</v>
      </c>
      <c r="L655" s="193">
        <v>12</v>
      </c>
      <c r="M655" s="172">
        <v>12</v>
      </c>
      <c r="N655" s="180" t="s">
        <v>216</v>
      </c>
      <c r="O655" s="181" t="str">
        <f>IF(ISBLANK(N655),"",VLOOKUP(N655,[20]Parámetros!$G$2:$H$23,2,FALSE))</f>
        <v>Contratación directa.</v>
      </c>
      <c r="P655" s="182">
        <v>1</v>
      </c>
      <c r="Q655" s="183">
        <f t="shared" si="105"/>
        <v>33284820</v>
      </c>
      <c r="R655" s="183">
        <f t="shared" si="106"/>
        <v>33284820</v>
      </c>
      <c r="S655" s="262">
        <v>0</v>
      </c>
      <c r="T655" s="180">
        <v>0</v>
      </c>
      <c r="U655" s="185" t="str">
        <f t="shared" si="121"/>
        <v>SUBDIRECCION DE GESTION CONTRACTUAL</v>
      </c>
      <c r="V655" s="172" t="str">
        <f t="shared" si="122"/>
        <v>CO-DC</v>
      </c>
      <c r="W655" s="185" t="str">
        <f t="shared" si="123"/>
        <v>Distrito Capital de Bogotá</v>
      </c>
      <c r="X655" s="186" t="s">
        <v>808</v>
      </c>
      <c r="Y655" s="172">
        <v>2427400</v>
      </c>
      <c r="Z655" s="188" t="s">
        <v>809</v>
      </c>
    </row>
    <row r="656" spans="1:26" s="189" customFormat="1" ht="12.75" customHeight="1" x14ac:dyDescent="0.2">
      <c r="A656" s="172" t="s">
        <v>805</v>
      </c>
      <c r="B656" s="172">
        <v>19</v>
      </c>
      <c r="C656" s="173" t="s">
        <v>845</v>
      </c>
      <c r="D656" s="173" t="s">
        <v>827</v>
      </c>
      <c r="E656" s="174"/>
      <c r="F656" s="174">
        <v>12327150</v>
      </c>
      <c r="G656" s="174"/>
      <c r="H656" s="175">
        <v>80111600</v>
      </c>
      <c r="I656" s="176" t="s">
        <v>807</v>
      </c>
      <c r="J656" s="193">
        <v>1</v>
      </c>
      <c r="K656" s="193">
        <v>1</v>
      </c>
      <c r="L656" s="193">
        <v>12</v>
      </c>
      <c r="M656" s="172">
        <v>12</v>
      </c>
      <c r="N656" s="180" t="s">
        <v>216</v>
      </c>
      <c r="O656" s="181" t="str">
        <f>IF(ISBLANK(N656),"",VLOOKUP(N656,[20]Parámetros!$G$2:$H$23,2,FALSE))</f>
        <v>Contratación directa.</v>
      </c>
      <c r="P656" s="182">
        <v>1</v>
      </c>
      <c r="Q656" s="183">
        <f t="shared" si="105"/>
        <v>12327150</v>
      </c>
      <c r="R656" s="183">
        <f t="shared" si="106"/>
        <v>12327150</v>
      </c>
      <c r="S656" s="262">
        <v>0</v>
      </c>
      <c r="T656" s="180">
        <v>0</v>
      </c>
      <c r="U656" s="185" t="str">
        <f t="shared" si="121"/>
        <v>SUBDIRECCION DE GESTION CONTRACTUAL</v>
      </c>
      <c r="V656" s="172" t="str">
        <f t="shared" si="122"/>
        <v>CO-DC</v>
      </c>
      <c r="W656" s="185" t="str">
        <f t="shared" si="123"/>
        <v>Distrito Capital de Bogotá</v>
      </c>
      <c r="X656" s="186" t="s">
        <v>808</v>
      </c>
      <c r="Y656" s="172">
        <v>2427400</v>
      </c>
      <c r="Z656" s="188" t="s">
        <v>809</v>
      </c>
    </row>
    <row r="657" spans="1:26" s="189" customFormat="1" ht="12.75" customHeight="1" x14ac:dyDescent="0.2">
      <c r="A657" s="172" t="s">
        <v>805</v>
      </c>
      <c r="B657" s="172">
        <v>20</v>
      </c>
      <c r="C657" s="173" t="s">
        <v>845</v>
      </c>
      <c r="D657" s="173" t="s">
        <v>828</v>
      </c>
      <c r="E657" s="174"/>
      <c r="F657" s="174">
        <v>40945375</v>
      </c>
      <c r="G657" s="174"/>
      <c r="H657" s="175">
        <v>80111600</v>
      </c>
      <c r="I657" s="176" t="s">
        <v>807</v>
      </c>
      <c r="J657" s="193">
        <v>1</v>
      </c>
      <c r="K657" s="193">
        <v>1</v>
      </c>
      <c r="L657" s="193">
        <v>12</v>
      </c>
      <c r="M657" s="172">
        <v>12</v>
      </c>
      <c r="N657" s="180" t="s">
        <v>216</v>
      </c>
      <c r="O657" s="181" t="str">
        <f>IF(ISBLANK(N657),"",VLOOKUP(N657,[20]Parámetros!$G$2:$H$23,2,FALSE))</f>
        <v>Contratación directa.</v>
      </c>
      <c r="P657" s="182">
        <v>1</v>
      </c>
      <c r="Q657" s="183">
        <f t="shared" si="105"/>
        <v>40945375</v>
      </c>
      <c r="R657" s="183">
        <f t="shared" si="106"/>
        <v>40945375</v>
      </c>
      <c r="S657" s="262">
        <v>0</v>
      </c>
      <c r="T657" s="180">
        <v>0</v>
      </c>
      <c r="U657" s="185" t="str">
        <f t="shared" si="121"/>
        <v>SUBDIRECCION DE GESTION CONTRACTUAL</v>
      </c>
      <c r="V657" s="172" t="str">
        <f t="shared" si="122"/>
        <v>CO-DC</v>
      </c>
      <c r="W657" s="185" t="str">
        <f t="shared" si="123"/>
        <v>Distrito Capital de Bogotá</v>
      </c>
      <c r="X657" s="186" t="s">
        <v>808</v>
      </c>
      <c r="Y657" s="172">
        <v>2427400</v>
      </c>
      <c r="Z657" s="188" t="s">
        <v>809</v>
      </c>
    </row>
    <row r="658" spans="1:26" s="189" customFormat="1" ht="12.75" customHeight="1" x14ac:dyDescent="0.2">
      <c r="A658" s="172" t="s">
        <v>805</v>
      </c>
      <c r="B658" s="172">
        <v>21</v>
      </c>
      <c r="C658" s="173" t="s">
        <v>845</v>
      </c>
      <c r="D658" s="173" t="s">
        <v>829</v>
      </c>
      <c r="E658" s="174"/>
      <c r="F658" s="174">
        <v>49927238</v>
      </c>
      <c r="G658" s="174"/>
      <c r="H658" s="175">
        <v>80111600</v>
      </c>
      <c r="I658" s="176" t="s">
        <v>807</v>
      </c>
      <c r="J658" s="193">
        <v>1</v>
      </c>
      <c r="K658" s="193">
        <v>1</v>
      </c>
      <c r="L658" s="193">
        <v>12</v>
      </c>
      <c r="M658" s="172">
        <v>12</v>
      </c>
      <c r="N658" s="180" t="s">
        <v>216</v>
      </c>
      <c r="O658" s="181" t="str">
        <f>IF(ISBLANK(N658),"",VLOOKUP(N658,[20]Parámetros!$G$2:$H$23,2,FALSE))</f>
        <v>Contratación directa.</v>
      </c>
      <c r="P658" s="182">
        <v>1</v>
      </c>
      <c r="Q658" s="183">
        <f t="shared" si="105"/>
        <v>49927238</v>
      </c>
      <c r="R658" s="183">
        <f t="shared" si="106"/>
        <v>49927238</v>
      </c>
      <c r="S658" s="262">
        <v>0</v>
      </c>
      <c r="T658" s="180">
        <v>0</v>
      </c>
      <c r="U658" s="185" t="str">
        <f t="shared" si="121"/>
        <v>SUBDIRECCION DE GESTION CONTRACTUAL</v>
      </c>
      <c r="V658" s="172" t="str">
        <f t="shared" si="122"/>
        <v>CO-DC</v>
      </c>
      <c r="W658" s="185" t="str">
        <f t="shared" si="123"/>
        <v>Distrito Capital de Bogotá</v>
      </c>
      <c r="X658" s="186" t="s">
        <v>808</v>
      </c>
      <c r="Y658" s="172">
        <v>2427400</v>
      </c>
      <c r="Z658" s="188" t="s">
        <v>809</v>
      </c>
    </row>
    <row r="659" spans="1:26" s="189" customFormat="1" ht="12.75" customHeight="1" x14ac:dyDescent="0.2">
      <c r="A659" s="172" t="s">
        <v>805</v>
      </c>
      <c r="B659" s="172">
        <v>22</v>
      </c>
      <c r="C659" s="173" t="s">
        <v>845</v>
      </c>
      <c r="D659" s="173" t="s">
        <v>830</v>
      </c>
      <c r="E659" s="174"/>
      <c r="F659" s="174">
        <v>8218102</v>
      </c>
      <c r="G659" s="174"/>
      <c r="H659" s="175">
        <v>80111600</v>
      </c>
      <c r="I659" s="176" t="s">
        <v>807</v>
      </c>
      <c r="J659" s="193">
        <v>1</v>
      </c>
      <c r="K659" s="193">
        <v>1</v>
      </c>
      <c r="L659" s="193">
        <v>12</v>
      </c>
      <c r="M659" s="172">
        <v>12</v>
      </c>
      <c r="N659" s="180" t="s">
        <v>216</v>
      </c>
      <c r="O659" s="181" t="str">
        <f>IF(ISBLANK(N659),"",VLOOKUP(N659,[20]Parámetros!$G$2:$H$23,2,FALSE))</f>
        <v>Contratación directa.</v>
      </c>
      <c r="P659" s="182">
        <v>1</v>
      </c>
      <c r="Q659" s="183">
        <f t="shared" ref="Q659:Q697" si="124">+E659+F659+G659</f>
        <v>8218102</v>
      </c>
      <c r="R659" s="183">
        <f t="shared" ref="R659:R697" si="125">+F659</f>
        <v>8218102</v>
      </c>
      <c r="S659" s="262">
        <v>0</v>
      </c>
      <c r="T659" s="180">
        <v>0</v>
      </c>
      <c r="U659" s="185" t="str">
        <f t="shared" si="121"/>
        <v>SUBDIRECCION DE GESTION CONTRACTUAL</v>
      </c>
      <c r="V659" s="172" t="str">
        <f t="shared" si="122"/>
        <v>CO-DC</v>
      </c>
      <c r="W659" s="185" t="str">
        <f t="shared" si="123"/>
        <v>Distrito Capital de Bogotá</v>
      </c>
      <c r="X659" s="186" t="s">
        <v>808</v>
      </c>
      <c r="Y659" s="172">
        <v>2427400</v>
      </c>
      <c r="Z659" s="188" t="s">
        <v>809</v>
      </c>
    </row>
    <row r="660" spans="1:26" s="189" customFormat="1" ht="12.75" customHeight="1" x14ac:dyDescent="0.2">
      <c r="A660" s="172" t="s">
        <v>805</v>
      </c>
      <c r="B660" s="172">
        <v>23</v>
      </c>
      <c r="C660" s="173" t="s">
        <v>845</v>
      </c>
      <c r="D660" s="173" t="s">
        <v>831</v>
      </c>
      <c r="E660" s="174"/>
      <c r="F660" s="174">
        <v>27296919</v>
      </c>
      <c r="G660" s="174"/>
      <c r="H660" s="175">
        <v>80111600</v>
      </c>
      <c r="I660" s="176" t="s">
        <v>807</v>
      </c>
      <c r="J660" s="193">
        <v>1</v>
      </c>
      <c r="K660" s="193">
        <v>1</v>
      </c>
      <c r="L660" s="193">
        <v>12</v>
      </c>
      <c r="M660" s="172">
        <v>12</v>
      </c>
      <c r="N660" s="180" t="s">
        <v>216</v>
      </c>
      <c r="O660" s="181" t="str">
        <f>IF(ISBLANK(N660),"",VLOOKUP(N660,[20]Parámetros!$G$2:$H$23,2,FALSE))</f>
        <v>Contratación directa.</v>
      </c>
      <c r="P660" s="182">
        <v>1</v>
      </c>
      <c r="Q660" s="183">
        <f t="shared" si="124"/>
        <v>27296919</v>
      </c>
      <c r="R660" s="183">
        <f t="shared" si="125"/>
        <v>27296919</v>
      </c>
      <c r="S660" s="262">
        <v>0</v>
      </c>
      <c r="T660" s="180">
        <v>0</v>
      </c>
      <c r="U660" s="185" t="str">
        <f t="shared" si="121"/>
        <v>SUBDIRECCION DE GESTION CONTRACTUAL</v>
      </c>
      <c r="V660" s="172" t="str">
        <f t="shared" si="122"/>
        <v>CO-DC</v>
      </c>
      <c r="W660" s="185" t="str">
        <f t="shared" si="123"/>
        <v>Distrito Capital de Bogotá</v>
      </c>
      <c r="X660" s="186" t="s">
        <v>808</v>
      </c>
      <c r="Y660" s="172">
        <v>2427400</v>
      </c>
      <c r="Z660" s="188" t="s">
        <v>809</v>
      </c>
    </row>
    <row r="661" spans="1:26" s="189" customFormat="1" ht="12.75" customHeight="1" x14ac:dyDescent="0.2">
      <c r="A661" s="172" t="s">
        <v>805</v>
      </c>
      <c r="B661" s="172">
        <v>24</v>
      </c>
      <c r="C661" s="173" t="s">
        <v>845</v>
      </c>
      <c r="D661" s="173" t="s">
        <v>832</v>
      </c>
      <c r="E661" s="174"/>
      <c r="F661" s="174">
        <v>33284820</v>
      </c>
      <c r="G661" s="174"/>
      <c r="H661" s="175">
        <v>80111600</v>
      </c>
      <c r="I661" s="176" t="s">
        <v>807</v>
      </c>
      <c r="J661" s="193">
        <v>1</v>
      </c>
      <c r="K661" s="193">
        <v>1</v>
      </c>
      <c r="L661" s="193">
        <v>12</v>
      </c>
      <c r="M661" s="172">
        <v>12</v>
      </c>
      <c r="N661" s="180" t="s">
        <v>216</v>
      </c>
      <c r="O661" s="181" t="str">
        <f>IF(ISBLANK(N661),"",VLOOKUP(N661,[20]Parámetros!$G$2:$H$23,2,FALSE))</f>
        <v>Contratación directa.</v>
      </c>
      <c r="P661" s="182">
        <v>1</v>
      </c>
      <c r="Q661" s="183">
        <f t="shared" si="124"/>
        <v>33284820</v>
      </c>
      <c r="R661" s="183">
        <f t="shared" si="125"/>
        <v>33284820</v>
      </c>
      <c r="S661" s="262">
        <v>0</v>
      </c>
      <c r="T661" s="180">
        <v>0</v>
      </c>
      <c r="U661" s="185" t="str">
        <f t="shared" si="121"/>
        <v>SUBDIRECCION DE GESTION CONTRACTUAL</v>
      </c>
      <c r="V661" s="172" t="str">
        <f t="shared" si="122"/>
        <v>CO-DC</v>
      </c>
      <c r="W661" s="185" t="str">
        <f t="shared" si="123"/>
        <v>Distrito Capital de Bogotá</v>
      </c>
      <c r="X661" s="186" t="s">
        <v>808</v>
      </c>
      <c r="Y661" s="172">
        <v>2427400</v>
      </c>
      <c r="Z661" s="188" t="s">
        <v>809</v>
      </c>
    </row>
    <row r="662" spans="1:26" s="189" customFormat="1" ht="12.75" customHeight="1" x14ac:dyDescent="0.2">
      <c r="A662" s="172" t="s">
        <v>805</v>
      </c>
      <c r="B662" s="172">
        <v>25</v>
      </c>
      <c r="C662" s="173" t="s">
        <v>846</v>
      </c>
      <c r="D662" s="173" t="s">
        <v>822</v>
      </c>
      <c r="E662" s="174"/>
      <c r="F662" s="174">
        <v>57236447</v>
      </c>
      <c r="G662" s="174"/>
      <c r="H662" s="175">
        <v>80111600</v>
      </c>
      <c r="I662" s="176" t="s">
        <v>807</v>
      </c>
      <c r="J662" s="193">
        <v>1</v>
      </c>
      <c r="K662" s="193">
        <v>1</v>
      </c>
      <c r="L662" s="193">
        <v>12</v>
      </c>
      <c r="M662" s="172">
        <v>1</v>
      </c>
      <c r="N662" s="180" t="s">
        <v>216</v>
      </c>
      <c r="O662" s="181" t="str">
        <f>IF(ISBLANK(N662),"",VLOOKUP(N662,[20]Parámetros!$G$2:$H$23,2,FALSE))</f>
        <v>Contratación directa.</v>
      </c>
      <c r="P662" s="182">
        <v>1</v>
      </c>
      <c r="Q662" s="183">
        <f t="shared" si="124"/>
        <v>57236447</v>
      </c>
      <c r="R662" s="183">
        <f t="shared" si="125"/>
        <v>57236447</v>
      </c>
      <c r="S662" s="262">
        <v>0</v>
      </c>
      <c r="T662" s="180">
        <v>0</v>
      </c>
      <c r="U662" s="185" t="str">
        <f t="shared" si="121"/>
        <v>SUBDIRECCION DE GESTION CONTRACTUAL</v>
      </c>
      <c r="V662" s="172" t="str">
        <f t="shared" si="122"/>
        <v>CO-DC</v>
      </c>
      <c r="W662" s="185" t="str">
        <f t="shared" si="123"/>
        <v>Distrito Capital de Bogotá</v>
      </c>
      <c r="X662" s="186" t="s">
        <v>808</v>
      </c>
      <c r="Y662" s="172">
        <v>2427400</v>
      </c>
      <c r="Z662" s="188" t="s">
        <v>809</v>
      </c>
    </row>
    <row r="663" spans="1:26" s="189" customFormat="1" ht="12.75" customHeight="1" x14ac:dyDescent="0.2">
      <c r="A663" s="172" t="s">
        <v>805</v>
      </c>
      <c r="B663" s="172">
        <v>26</v>
      </c>
      <c r="C663" s="173" t="s">
        <v>846</v>
      </c>
      <c r="D663" s="173" t="s">
        <v>825</v>
      </c>
      <c r="E663" s="174"/>
      <c r="F663" s="174">
        <v>38157629</v>
      </c>
      <c r="G663" s="174"/>
      <c r="H663" s="175">
        <v>80111600</v>
      </c>
      <c r="I663" s="176" t="s">
        <v>807</v>
      </c>
      <c r="J663" s="193">
        <v>1</v>
      </c>
      <c r="K663" s="193">
        <v>1</v>
      </c>
      <c r="L663" s="193">
        <v>12</v>
      </c>
      <c r="M663" s="172">
        <v>1</v>
      </c>
      <c r="N663" s="180" t="s">
        <v>216</v>
      </c>
      <c r="O663" s="181" t="str">
        <f>IF(ISBLANK(N663),"",VLOOKUP(N663,[20]Parámetros!$G$2:$H$23,2,FALSE))</f>
        <v>Contratación directa.</v>
      </c>
      <c r="P663" s="182">
        <v>1</v>
      </c>
      <c r="Q663" s="183">
        <f t="shared" si="124"/>
        <v>38157629</v>
      </c>
      <c r="R663" s="183">
        <f t="shared" si="125"/>
        <v>38157629</v>
      </c>
      <c r="S663" s="262">
        <v>0</v>
      </c>
      <c r="T663" s="180">
        <v>0</v>
      </c>
      <c r="U663" s="185" t="str">
        <f t="shared" si="121"/>
        <v>SUBDIRECCION DE GESTION CONTRACTUAL</v>
      </c>
      <c r="V663" s="172" t="str">
        <f t="shared" si="122"/>
        <v>CO-DC</v>
      </c>
      <c r="W663" s="185" t="str">
        <f t="shared" si="123"/>
        <v>Distrito Capital de Bogotá</v>
      </c>
      <c r="X663" s="186" t="s">
        <v>808</v>
      </c>
      <c r="Y663" s="172">
        <v>2427400</v>
      </c>
      <c r="Z663" s="188" t="s">
        <v>809</v>
      </c>
    </row>
    <row r="664" spans="1:26" s="189" customFormat="1" ht="12.75" customHeight="1" x14ac:dyDescent="0.2">
      <c r="A664" s="172" t="s">
        <v>805</v>
      </c>
      <c r="B664" s="172">
        <v>27</v>
      </c>
      <c r="C664" s="173" t="s">
        <v>846</v>
      </c>
      <c r="D664" s="173" t="s">
        <v>828</v>
      </c>
      <c r="E664" s="174"/>
      <c r="F664" s="174">
        <v>57236447</v>
      </c>
      <c r="G664" s="174"/>
      <c r="H664" s="175">
        <v>80111600</v>
      </c>
      <c r="I664" s="176" t="s">
        <v>807</v>
      </c>
      <c r="J664" s="193">
        <v>1</v>
      </c>
      <c r="K664" s="193">
        <v>1</v>
      </c>
      <c r="L664" s="193">
        <v>12</v>
      </c>
      <c r="M664" s="172">
        <v>1</v>
      </c>
      <c r="N664" s="180" t="s">
        <v>216</v>
      </c>
      <c r="O664" s="181" t="str">
        <f>IF(ISBLANK(N664),"",VLOOKUP(N664,[20]Parámetros!$G$2:$H$23,2,FALSE))</f>
        <v>Contratación directa.</v>
      </c>
      <c r="P664" s="182">
        <v>1</v>
      </c>
      <c r="Q664" s="183">
        <f t="shared" si="124"/>
        <v>57236447</v>
      </c>
      <c r="R664" s="183">
        <f t="shared" si="125"/>
        <v>57236447</v>
      </c>
      <c r="S664" s="262">
        <v>0</v>
      </c>
      <c r="T664" s="180">
        <v>0</v>
      </c>
      <c r="U664" s="185" t="str">
        <f t="shared" si="121"/>
        <v>SUBDIRECCION DE GESTION CONTRACTUAL</v>
      </c>
      <c r="V664" s="172" t="str">
        <f t="shared" si="122"/>
        <v>CO-DC</v>
      </c>
      <c r="W664" s="185" t="str">
        <f t="shared" si="123"/>
        <v>Distrito Capital de Bogotá</v>
      </c>
      <c r="X664" s="186" t="s">
        <v>808</v>
      </c>
      <c r="Y664" s="172">
        <v>2427400</v>
      </c>
      <c r="Z664" s="188" t="s">
        <v>809</v>
      </c>
    </row>
    <row r="665" spans="1:26" s="189" customFormat="1" ht="12.75" customHeight="1" x14ac:dyDescent="0.2">
      <c r="A665" s="172" t="s">
        <v>805</v>
      </c>
      <c r="B665" s="172">
        <v>28</v>
      </c>
      <c r="C665" s="173" t="s">
        <v>846</v>
      </c>
      <c r="D665" s="173" t="s">
        <v>831</v>
      </c>
      <c r="E665" s="174"/>
      <c r="F665" s="174">
        <v>38157629</v>
      </c>
      <c r="G665" s="174"/>
      <c r="H665" s="175">
        <v>80111600</v>
      </c>
      <c r="I665" s="176" t="s">
        <v>807</v>
      </c>
      <c r="J665" s="193">
        <v>1</v>
      </c>
      <c r="K665" s="193">
        <v>1</v>
      </c>
      <c r="L665" s="193">
        <v>12</v>
      </c>
      <c r="M665" s="172">
        <v>1</v>
      </c>
      <c r="N665" s="180" t="s">
        <v>216</v>
      </c>
      <c r="O665" s="181" t="str">
        <f>IF(ISBLANK(N665),"",VLOOKUP(N665,[20]Parámetros!$G$2:$H$23,2,FALSE))</f>
        <v>Contratación directa.</v>
      </c>
      <c r="P665" s="182">
        <v>1</v>
      </c>
      <c r="Q665" s="183">
        <f t="shared" si="124"/>
        <v>38157629</v>
      </c>
      <c r="R665" s="183">
        <f t="shared" si="125"/>
        <v>38157629</v>
      </c>
      <c r="S665" s="262">
        <v>0</v>
      </c>
      <c r="T665" s="180">
        <v>0</v>
      </c>
      <c r="U665" s="185" t="str">
        <f t="shared" si="121"/>
        <v>SUBDIRECCION DE GESTION CONTRACTUAL</v>
      </c>
      <c r="V665" s="172" t="str">
        <f t="shared" si="122"/>
        <v>CO-DC</v>
      </c>
      <c r="W665" s="185" t="str">
        <f t="shared" si="123"/>
        <v>Distrito Capital de Bogotá</v>
      </c>
      <c r="X665" s="186" t="s">
        <v>808</v>
      </c>
      <c r="Y665" s="172">
        <v>2427400</v>
      </c>
      <c r="Z665" s="188" t="s">
        <v>809</v>
      </c>
    </row>
    <row r="666" spans="1:26" s="189" customFormat="1" ht="12.75" customHeight="1" x14ac:dyDescent="0.2">
      <c r="A666" s="172" t="s">
        <v>805</v>
      </c>
      <c r="B666" s="172">
        <v>29</v>
      </c>
      <c r="C666" s="173" t="s">
        <v>839</v>
      </c>
      <c r="D666" s="173" t="s">
        <v>806</v>
      </c>
      <c r="E666" s="174"/>
      <c r="F666" s="174">
        <v>468091631</v>
      </c>
      <c r="G666" s="174"/>
      <c r="H666" s="175" t="s">
        <v>840</v>
      </c>
      <c r="I666" s="176" t="s">
        <v>833</v>
      </c>
      <c r="J666" s="193">
        <v>1</v>
      </c>
      <c r="K666" s="193">
        <v>2</v>
      </c>
      <c r="L666" s="193">
        <v>11</v>
      </c>
      <c r="M666" s="172">
        <v>1</v>
      </c>
      <c r="N666" s="180" t="s">
        <v>36</v>
      </c>
      <c r="O666" s="181" t="str">
        <f>IF(ISBLANK(N666),"",VLOOKUP(N666,[20]Parámetros!$G$2:$H$23,2,FALSE))</f>
        <v xml:space="preserve">Contratación directa (con ofertas) </v>
      </c>
      <c r="P666" s="182">
        <v>1</v>
      </c>
      <c r="Q666" s="183">
        <f t="shared" si="124"/>
        <v>468091631</v>
      </c>
      <c r="R666" s="183">
        <f t="shared" si="125"/>
        <v>468091631</v>
      </c>
      <c r="S666" s="262">
        <v>0</v>
      </c>
      <c r="T666" s="180">
        <v>0</v>
      </c>
      <c r="U666" s="185" t="str">
        <f t="shared" si="121"/>
        <v>SUBDIRECCION DE GESTION CONTRACTUAL</v>
      </c>
      <c r="V666" s="172" t="str">
        <f t="shared" si="122"/>
        <v>CO-DC</v>
      </c>
      <c r="W666" s="185" t="str">
        <f t="shared" si="123"/>
        <v>Distrito Capital de Bogotá</v>
      </c>
      <c r="X666" s="186" t="s">
        <v>808</v>
      </c>
      <c r="Y666" s="172">
        <v>2427400</v>
      </c>
      <c r="Z666" s="188" t="s">
        <v>809</v>
      </c>
    </row>
    <row r="667" spans="1:26" s="189" customFormat="1" ht="12.75" customHeight="1" x14ac:dyDescent="0.2">
      <c r="A667" s="172" t="s">
        <v>805</v>
      </c>
      <c r="B667" s="172">
        <v>30</v>
      </c>
      <c r="C667" s="173" t="s">
        <v>839</v>
      </c>
      <c r="D667" s="173" t="s">
        <v>810</v>
      </c>
      <c r="E667" s="174"/>
      <c r="F667" s="174">
        <v>312061078</v>
      </c>
      <c r="G667" s="174"/>
      <c r="H667" s="175" t="s">
        <v>840</v>
      </c>
      <c r="I667" s="176" t="s">
        <v>833</v>
      </c>
      <c r="J667" s="193">
        <v>1</v>
      </c>
      <c r="K667" s="193">
        <v>2</v>
      </c>
      <c r="L667" s="193">
        <v>11</v>
      </c>
      <c r="M667" s="172">
        <v>1</v>
      </c>
      <c r="N667" s="180" t="s">
        <v>36</v>
      </c>
      <c r="O667" s="181" t="str">
        <f>IF(ISBLANK(N667),"",VLOOKUP(N667,[20]Parámetros!$G$2:$H$23,2,FALSE))</f>
        <v xml:space="preserve">Contratación directa (con ofertas) </v>
      </c>
      <c r="P667" s="182">
        <v>1</v>
      </c>
      <c r="Q667" s="183">
        <f t="shared" si="124"/>
        <v>312061078</v>
      </c>
      <c r="R667" s="183">
        <f t="shared" si="125"/>
        <v>312061078</v>
      </c>
      <c r="S667" s="262">
        <v>0</v>
      </c>
      <c r="T667" s="180">
        <v>0</v>
      </c>
      <c r="U667" s="185" t="str">
        <f t="shared" si="121"/>
        <v>SUBDIRECCION DE GESTION CONTRACTUAL</v>
      </c>
      <c r="V667" s="172" t="str">
        <f t="shared" si="122"/>
        <v>CO-DC</v>
      </c>
      <c r="W667" s="185" t="str">
        <f t="shared" si="123"/>
        <v>Distrito Capital de Bogotá</v>
      </c>
      <c r="X667" s="186" t="s">
        <v>808</v>
      </c>
      <c r="Y667" s="172">
        <v>2427400</v>
      </c>
      <c r="Z667" s="188" t="s">
        <v>809</v>
      </c>
    </row>
    <row r="668" spans="1:26" s="189" customFormat="1" ht="12.75" customHeight="1" x14ac:dyDescent="0.2">
      <c r="A668" s="172" t="s">
        <v>805</v>
      </c>
      <c r="B668" s="172">
        <v>31</v>
      </c>
      <c r="C668" s="173" t="s">
        <v>839</v>
      </c>
      <c r="D668" s="173" t="s">
        <v>811</v>
      </c>
      <c r="E668" s="174"/>
      <c r="F668" s="174">
        <v>468091618</v>
      </c>
      <c r="G668" s="174"/>
      <c r="H668" s="175" t="s">
        <v>840</v>
      </c>
      <c r="I668" s="176" t="s">
        <v>833</v>
      </c>
      <c r="J668" s="193">
        <v>1</v>
      </c>
      <c r="K668" s="193">
        <v>2</v>
      </c>
      <c r="L668" s="193">
        <v>11</v>
      </c>
      <c r="M668" s="172">
        <v>1</v>
      </c>
      <c r="N668" s="180" t="s">
        <v>36</v>
      </c>
      <c r="O668" s="181" t="str">
        <f>IF(ISBLANK(N668),"",VLOOKUP(N668,[20]Parámetros!$G$2:$H$23,2,FALSE))</f>
        <v xml:space="preserve">Contratación directa (con ofertas) </v>
      </c>
      <c r="P668" s="182">
        <v>1</v>
      </c>
      <c r="Q668" s="183">
        <f t="shared" si="124"/>
        <v>468091618</v>
      </c>
      <c r="R668" s="183">
        <f t="shared" si="125"/>
        <v>468091618</v>
      </c>
      <c r="S668" s="262">
        <v>0</v>
      </c>
      <c r="T668" s="180">
        <v>0</v>
      </c>
      <c r="U668" s="185" t="str">
        <f t="shared" si="121"/>
        <v>SUBDIRECCION DE GESTION CONTRACTUAL</v>
      </c>
      <c r="V668" s="172" t="str">
        <f t="shared" si="122"/>
        <v>CO-DC</v>
      </c>
      <c r="W668" s="185" t="str">
        <f t="shared" si="123"/>
        <v>Distrito Capital de Bogotá</v>
      </c>
      <c r="X668" s="186" t="s">
        <v>808</v>
      </c>
      <c r="Y668" s="172">
        <v>2427400</v>
      </c>
      <c r="Z668" s="188" t="s">
        <v>809</v>
      </c>
    </row>
    <row r="669" spans="1:26" s="189" customFormat="1" ht="12.75" customHeight="1" x14ac:dyDescent="0.2">
      <c r="A669" s="172" t="s">
        <v>805</v>
      </c>
      <c r="B669" s="172">
        <v>32</v>
      </c>
      <c r="C669" s="173" t="s">
        <v>839</v>
      </c>
      <c r="D669" s="173" t="s">
        <v>812</v>
      </c>
      <c r="E669" s="174"/>
      <c r="F669" s="174">
        <v>312061078</v>
      </c>
      <c r="G669" s="174"/>
      <c r="H669" s="175" t="s">
        <v>840</v>
      </c>
      <c r="I669" s="176" t="s">
        <v>833</v>
      </c>
      <c r="J669" s="193">
        <v>1</v>
      </c>
      <c r="K669" s="193">
        <v>2</v>
      </c>
      <c r="L669" s="193">
        <v>11</v>
      </c>
      <c r="M669" s="172">
        <v>1</v>
      </c>
      <c r="N669" s="180" t="s">
        <v>36</v>
      </c>
      <c r="O669" s="181" t="str">
        <f>IF(ISBLANK(N669),"",VLOOKUP(N669,[20]Parámetros!$G$2:$H$23,2,FALSE))</f>
        <v xml:space="preserve">Contratación directa (con ofertas) </v>
      </c>
      <c r="P669" s="182">
        <v>1</v>
      </c>
      <c r="Q669" s="183">
        <f t="shared" si="124"/>
        <v>312061078</v>
      </c>
      <c r="R669" s="183">
        <f t="shared" si="125"/>
        <v>312061078</v>
      </c>
      <c r="S669" s="262">
        <v>0</v>
      </c>
      <c r="T669" s="180">
        <v>0</v>
      </c>
      <c r="U669" s="185" t="str">
        <f t="shared" si="121"/>
        <v>SUBDIRECCION DE GESTION CONTRACTUAL</v>
      </c>
      <c r="V669" s="172" t="str">
        <f t="shared" si="122"/>
        <v>CO-DC</v>
      </c>
      <c r="W669" s="185" t="str">
        <f t="shared" si="123"/>
        <v>Distrito Capital de Bogotá</v>
      </c>
      <c r="X669" s="186" t="s">
        <v>808</v>
      </c>
      <c r="Y669" s="172">
        <v>2427400</v>
      </c>
      <c r="Z669" s="188" t="s">
        <v>809</v>
      </c>
    </row>
    <row r="670" spans="1:26" s="189" customFormat="1" ht="12.75" customHeight="1" x14ac:dyDescent="0.2">
      <c r="A670" s="172" t="s">
        <v>805</v>
      </c>
      <c r="B670" s="172">
        <v>33</v>
      </c>
      <c r="C670" s="173" t="s">
        <v>842</v>
      </c>
      <c r="D670" s="173" t="s">
        <v>813</v>
      </c>
      <c r="E670" s="174"/>
      <c r="F670" s="174">
        <v>743594206</v>
      </c>
      <c r="G670" s="174"/>
      <c r="H670" s="175" t="s">
        <v>840</v>
      </c>
      <c r="I670" s="176" t="s">
        <v>833</v>
      </c>
      <c r="J670" s="193">
        <v>1</v>
      </c>
      <c r="K670" s="193">
        <v>2</v>
      </c>
      <c r="L670" s="193">
        <v>11</v>
      </c>
      <c r="M670" s="172">
        <v>1</v>
      </c>
      <c r="N670" s="180" t="s">
        <v>36</v>
      </c>
      <c r="O670" s="181" t="str">
        <f>IF(ISBLANK(N670),"",VLOOKUP(N670,[20]Parámetros!$G$2:$H$23,2,FALSE))</f>
        <v xml:space="preserve">Contratación directa (con ofertas) </v>
      </c>
      <c r="P670" s="182">
        <v>1</v>
      </c>
      <c r="Q670" s="183">
        <f t="shared" si="124"/>
        <v>743594206</v>
      </c>
      <c r="R670" s="183">
        <f t="shared" si="125"/>
        <v>743594206</v>
      </c>
      <c r="S670" s="184" t="s">
        <v>223</v>
      </c>
      <c r="T670" s="180">
        <v>0</v>
      </c>
      <c r="U670" s="185" t="str">
        <f t="shared" si="121"/>
        <v>SUBDIRECCION DE GESTION CONTRACTUAL</v>
      </c>
      <c r="V670" s="172" t="str">
        <f t="shared" si="122"/>
        <v>CO-DC</v>
      </c>
      <c r="W670" s="185" t="str">
        <f t="shared" si="123"/>
        <v>Distrito Capital de Bogotá</v>
      </c>
      <c r="X670" s="186" t="s">
        <v>808</v>
      </c>
      <c r="Y670" s="172">
        <v>2427400</v>
      </c>
      <c r="Z670" s="188" t="s">
        <v>809</v>
      </c>
    </row>
    <row r="671" spans="1:26" s="189" customFormat="1" ht="12.75" customHeight="1" x14ac:dyDescent="0.2">
      <c r="A671" s="172" t="s">
        <v>805</v>
      </c>
      <c r="B671" s="172">
        <v>34</v>
      </c>
      <c r="C671" s="173" t="s">
        <v>842</v>
      </c>
      <c r="D671" s="173" t="s">
        <v>814</v>
      </c>
      <c r="E671" s="174"/>
      <c r="F671" s="174">
        <v>495729478</v>
      </c>
      <c r="G671" s="174"/>
      <c r="H671" s="175" t="s">
        <v>840</v>
      </c>
      <c r="I671" s="176" t="s">
        <v>833</v>
      </c>
      <c r="J671" s="193">
        <v>1</v>
      </c>
      <c r="K671" s="193">
        <v>2</v>
      </c>
      <c r="L671" s="193">
        <v>11</v>
      </c>
      <c r="M671" s="172">
        <v>1</v>
      </c>
      <c r="N671" s="180" t="s">
        <v>36</v>
      </c>
      <c r="O671" s="181" t="str">
        <f>IF(ISBLANK(N671),"",VLOOKUP(N671,[20]Parámetros!$G$2:$H$23,2,FALSE))</f>
        <v xml:space="preserve">Contratación directa (con ofertas) </v>
      </c>
      <c r="P671" s="182">
        <v>1</v>
      </c>
      <c r="Q671" s="183">
        <f t="shared" si="124"/>
        <v>495729478</v>
      </c>
      <c r="R671" s="183">
        <f t="shared" si="125"/>
        <v>495729478</v>
      </c>
      <c r="S671" s="184" t="s">
        <v>223</v>
      </c>
      <c r="T671" s="180">
        <v>0</v>
      </c>
      <c r="U671" s="185" t="str">
        <f t="shared" si="121"/>
        <v>SUBDIRECCION DE GESTION CONTRACTUAL</v>
      </c>
      <c r="V671" s="172" t="str">
        <f t="shared" si="122"/>
        <v>CO-DC</v>
      </c>
      <c r="W671" s="185" t="str">
        <f t="shared" si="123"/>
        <v>Distrito Capital de Bogotá</v>
      </c>
      <c r="X671" s="186" t="s">
        <v>808</v>
      </c>
      <c r="Y671" s="172">
        <v>2427400</v>
      </c>
      <c r="Z671" s="188" t="s">
        <v>809</v>
      </c>
    </row>
    <row r="672" spans="1:26" s="189" customFormat="1" ht="12.75" customHeight="1" x14ac:dyDescent="0.2">
      <c r="A672" s="172" t="s">
        <v>805</v>
      </c>
      <c r="B672" s="172">
        <v>35</v>
      </c>
      <c r="C672" s="173" t="s">
        <v>842</v>
      </c>
      <c r="D672" s="173" t="s">
        <v>815</v>
      </c>
      <c r="E672" s="174"/>
      <c r="F672" s="174">
        <v>743594207</v>
      </c>
      <c r="G672" s="174"/>
      <c r="H672" s="175" t="s">
        <v>840</v>
      </c>
      <c r="I672" s="176" t="s">
        <v>833</v>
      </c>
      <c r="J672" s="193">
        <v>1</v>
      </c>
      <c r="K672" s="193">
        <v>2</v>
      </c>
      <c r="L672" s="193">
        <v>11</v>
      </c>
      <c r="M672" s="172">
        <v>1</v>
      </c>
      <c r="N672" s="180" t="s">
        <v>36</v>
      </c>
      <c r="O672" s="181" t="str">
        <f>IF(ISBLANK(N672),"",VLOOKUP(N672,[20]Parámetros!$G$2:$H$23,2,FALSE))</f>
        <v xml:space="preserve">Contratación directa (con ofertas) </v>
      </c>
      <c r="P672" s="182">
        <v>1</v>
      </c>
      <c r="Q672" s="183">
        <f t="shared" si="124"/>
        <v>743594207</v>
      </c>
      <c r="R672" s="183">
        <f t="shared" si="125"/>
        <v>743594207</v>
      </c>
      <c r="S672" s="184" t="s">
        <v>223</v>
      </c>
      <c r="T672" s="180">
        <v>0</v>
      </c>
      <c r="U672" s="185" t="str">
        <f t="shared" si="121"/>
        <v>SUBDIRECCION DE GESTION CONTRACTUAL</v>
      </c>
      <c r="V672" s="172" t="str">
        <f t="shared" si="122"/>
        <v>CO-DC</v>
      </c>
      <c r="W672" s="185" t="str">
        <f t="shared" si="123"/>
        <v>Distrito Capital de Bogotá</v>
      </c>
      <c r="X672" s="186" t="s">
        <v>808</v>
      </c>
      <c r="Y672" s="172">
        <v>2427400</v>
      </c>
      <c r="Z672" s="188" t="s">
        <v>809</v>
      </c>
    </row>
    <row r="673" spans="1:26" s="189" customFormat="1" ht="12.75" customHeight="1" x14ac:dyDescent="0.2">
      <c r="A673" s="172" t="s">
        <v>805</v>
      </c>
      <c r="B673" s="172">
        <v>36</v>
      </c>
      <c r="C673" s="173" t="s">
        <v>842</v>
      </c>
      <c r="D673" s="173" t="s">
        <v>816</v>
      </c>
      <c r="E673" s="174"/>
      <c r="F673" s="174">
        <v>495729478</v>
      </c>
      <c r="G673" s="174"/>
      <c r="H673" s="175" t="s">
        <v>840</v>
      </c>
      <c r="I673" s="176" t="s">
        <v>833</v>
      </c>
      <c r="J673" s="193">
        <v>1</v>
      </c>
      <c r="K673" s="193">
        <v>2</v>
      </c>
      <c r="L673" s="193">
        <v>11</v>
      </c>
      <c r="M673" s="172">
        <v>1</v>
      </c>
      <c r="N673" s="180" t="s">
        <v>36</v>
      </c>
      <c r="O673" s="181" t="str">
        <f>IF(ISBLANK(N673),"",VLOOKUP(N673,[20]Parámetros!$G$2:$H$23,2,FALSE))</f>
        <v xml:space="preserve">Contratación directa (con ofertas) </v>
      </c>
      <c r="P673" s="182">
        <v>1</v>
      </c>
      <c r="Q673" s="183">
        <f t="shared" si="124"/>
        <v>495729478</v>
      </c>
      <c r="R673" s="183">
        <f t="shared" si="125"/>
        <v>495729478</v>
      </c>
      <c r="S673" s="184" t="s">
        <v>223</v>
      </c>
      <c r="T673" s="180">
        <v>0</v>
      </c>
      <c r="U673" s="185" t="str">
        <f t="shared" si="121"/>
        <v>SUBDIRECCION DE GESTION CONTRACTUAL</v>
      </c>
      <c r="V673" s="172" t="str">
        <f t="shared" si="122"/>
        <v>CO-DC</v>
      </c>
      <c r="W673" s="185" t="str">
        <f t="shared" si="123"/>
        <v>Distrito Capital de Bogotá</v>
      </c>
      <c r="X673" s="186" t="s">
        <v>808</v>
      </c>
      <c r="Y673" s="172">
        <v>2427400</v>
      </c>
      <c r="Z673" s="188" t="s">
        <v>809</v>
      </c>
    </row>
    <row r="674" spans="1:26" s="189" customFormat="1" ht="12.75" customHeight="1" x14ac:dyDescent="0.2">
      <c r="A674" s="172" t="s">
        <v>805</v>
      </c>
      <c r="B674" s="172">
        <v>37</v>
      </c>
      <c r="C674" s="173" t="s">
        <v>844</v>
      </c>
      <c r="D674" s="173" t="s">
        <v>817</v>
      </c>
      <c r="E674" s="174"/>
      <c r="F674" s="174">
        <v>162218545</v>
      </c>
      <c r="G674" s="174"/>
      <c r="H674" s="175" t="s">
        <v>840</v>
      </c>
      <c r="I674" s="176" t="s">
        <v>833</v>
      </c>
      <c r="J674" s="193">
        <v>1</v>
      </c>
      <c r="K674" s="193">
        <v>2</v>
      </c>
      <c r="L674" s="193">
        <v>11</v>
      </c>
      <c r="M674" s="172">
        <v>1</v>
      </c>
      <c r="N674" s="180" t="s">
        <v>36</v>
      </c>
      <c r="O674" s="181" t="str">
        <f>IF(ISBLANK(N674),"",VLOOKUP(N674,[20]Parámetros!$G$2:$H$23,2,FALSE))</f>
        <v xml:space="preserve">Contratación directa (con ofertas) </v>
      </c>
      <c r="P674" s="182">
        <v>1</v>
      </c>
      <c r="Q674" s="183">
        <f t="shared" si="124"/>
        <v>162218545</v>
      </c>
      <c r="R674" s="183">
        <f t="shared" si="125"/>
        <v>162218545</v>
      </c>
      <c r="S674" s="184" t="s">
        <v>223</v>
      </c>
      <c r="T674" s="180">
        <v>0</v>
      </c>
      <c r="U674" s="185" t="str">
        <f t="shared" si="121"/>
        <v>SUBDIRECCION DE GESTION CONTRACTUAL</v>
      </c>
      <c r="V674" s="172" t="str">
        <f t="shared" si="122"/>
        <v>CO-DC</v>
      </c>
      <c r="W674" s="185" t="str">
        <f t="shared" si="123"/>
        <v>Distrito Capital de Bogotá</v>
      </c>
      <c r="X674" s="186" t="s">
        <v>808</v>
      </c>
      <c r="Y674" s="172">
        <v>2427400</v>
      </c>
      <c r="Z674" s="188" t="s">
        <v>809</v>
      </c>
    </row>
    <row r="675" spans="1:26" s="189" customFormat="1" ht="12.75" customHeight="1" x14ac:dyDescent="0.2">
      <c r="A675" s="172" t="s">
        <v>805</v>
      </c>
      <c r="B675" s="172">
        <v>38</v>
      </c>
      <c r="C675" s="173" t="s">
        <v>844</v>
      </c>
      <c r="D675" s="173" t="s">
        <v>834</v>
      </c>
      <c r="E675" s="174"/>
      <c r="F675" s="174">
        <v>311310809</v>
      </c>
      <c r="G675" s="174"/>
      <c r="H675" s="175" t="s">
        <v>840</v>
      </c>
      <c r="I675" s="176" t="s">
        <v>833</v>
      </c>
      <c r="J675" s="193">
        <v>1</v>
      </c>
      <c r="K675" s="193">
        <v>2</v>
      </c>
      <c r="L675" s="193">
        <v>11</v>
      </c>
      <c r="M675" s="172">
        <v>1</v>
      </c>
      <c r="N675" s="180" t="s">
        <v>36</v>
      </c>
      <c r="O675" s="181" t="str">
        <f>IF(ISBLANK(N675),"",VLOOKUP(N675,[20]Parámetros!$G$2:$H$23,2,FALSE))</f>
        <v xml:space="preserve">Contratación directa (con ofertas) </v>
      </c>
      <c r="P675" s="182">
        <v>1</v>
      </c>
      <c r="Q675" s="183">
        <f t="shared" si="124"/>
        <v>311310809</v>
      </c>
      <c r="R675" s="183">
        <f t="shared" si="125"/>
        <v>311310809</v>
      </c>
      <c r="S675" s="184" t="s">
        <v>223</v>
      </c>
      <c r="T675" s="180">
        <v>0</v>
      </c>
      <c r="U675" s="185" t="str">
        <f t="shared" si="121"/>
        <v>SUBDIRECCION DE GESTION CONTRACTUAL</v>
      </c>
      <c r="V675" s="172" t="str">
        <f t="shared" si="122"/>
        <v>CO-DC</v>
      </c>
      <c r="W675" s="185" t="str">
        <f t="shared" si="123"/>
        <v>Distrito Capital de Bogotá</v>
      </c>
      <c r="X675" s="186" t="s">
        <v>808</v>
      </c>
      <c r="Y675" s="172">
        <v>2427400</v>
      </c>
      <c r="Z675" s="188" t="s">
        <v>809</v>
      </c>
    </row>
    <row r="676" spans="1:26" s="189" customFormat="1" ht="12.75" customHeight="1" x14ac:dyDescent="0.2">
      <c r="A676" s="172" t="s">
        <v>805</v>
      </c>
      <c r="B676" s="172">
        <v>39</v>
      </c>
      <c r="C676" s="173" t="s">
        <v>844</v>
      </c>
      <c r="D676" s="173" t="s">
        <v>818</v>
      </c>
      <c r="E676" s="174"/>
      <c r="F676" s="174">
        <v>108145701</v>
      </c>
      <c r="G676" s="174"/>
      <c r="H676" s="175" t="s">
        <v>840</v>
      </c>
      <c r="I676" s="176" t="s">
        <v>833</v>
      </c>
      <c r="J676" s="193">
        <v>1</v>
      </c>
      <c r="K676" s="193">
        <v>2</v>
      </c>
      <c r="L676" s="193">
        <v>11</v>
      </c>
      <c r="M676" s="172">
        <v>1</v>
      </c>
      <c r="N676" s="180" t="s">
        <v>36</v>
      </c>
      <c r="O676" s="181" t="str">
        <f>IF(ISBLANK(N676),"",VLOOKUP(N676,[20]Parámetros!$G$2:$H$23,2,FALSE))</f>
        <v xml:space="preserve">Contratación directa (con ofertas) </v>
      </c>
      <c r="P676" s="182">
        <v>1</v>
      </c>
      <c r="Q676" s="183">
        <f t="shared" si="124"/>
        <v>108145701</v>
      </c>
      <c r="R676" s="183">
        <f t="shared" si="125"/>
        <v>108145701</v>
      </c>
      <c r="S676" s="184" t="s">
        <v>223</v>
      </c>
      <c r="T676" s="180">
        <v>0</v>
      </c>
      <c r="U676" s="185" t="str">
        <f t="shared" si="121"/>
        <v>SUBDIRECCION DE GESTION CONTRACTUAL</v>
      </c>
      <c r="V676" s="172" t="str">
        <f t="shared" si="122"/>
        <v>CO-DC</v>
      </c>
      <c r="W676" s="185" t="str">
        <f t="shared" si="123"/>
        <v>Distrito Capital de Bogotá</v>
      </c>
      <c r="X676" s="186" t="s">
        <v>808</v>
      </c>
      <c r="Y676" s="172">
        <v>2427400</v>
      </c>
      <c r="Z676" s="188" t="s">
        <v>809</v>
      </c>
    </row>
    <row r="677" spans="1:26" s="189" customFormat="1" ht="12.75" customHeight="1" x14ac:dyDescent="0.2">
      <c r="A677" s="172" t="s">
        <v>805</v>
      </c>
      <c r="B677" s="172">
        <v>40</v>
      </c>
      <c r="C677" s="173" t="s">
        <v>844</v>
      </c>
      <c r="D677" s="173" t="s">
        <v>835</v>
      </c>
      <c r="E677" s="174"/>
      <c r="F677" s="174">
        <v>207540539</v>
      </c>
      <c r="G677" s="174"/>
      <c r="H677" s="175" t="s">
        <v>840</v>
      </c>
      <c r="I677" s="176" t="s">
        <v>833</v>
      </c>
      <c r="J677" s="193">
        <v>1</v>
      </c>
      <c r="K677" s="193">
        <v>2</v>
      </c>
      <c r="L677" s="193">
        <v>11</v>
      </c>
      <c r="M677" s="172">
        <v>1</v>
      </c>
      <c r="N677" s="180" t="s">
        <v>36</v>
      </c>
      <c r="O677" s="181" t="str">
        <f>IF(ISBLANK(N677),"",VLOOKUP(N677,[20]Parámetros!$G$2:$H$23,2,FALSE))</f>
        <v xml:space="preserve">Contratación directa (con ofertas) </v>
      </c>
      <c r="P677" s="182">
        <v>1</v>
      </c>
      <c r="Q677" s="183">
        <f t="shared" si="124"/>
        <v>207540539</v>
      </c>
      <c r="R677" s="183">
        <f t="shared" si="125"/>
        <v>207540539</v>
      </c>
      <c r="S677" s="184" t="s">
        <v>223</v>
      </c>
      <c r="T677" s="180">
        <v>0</v>
      </c>
      <c r="U677" s="185" t="str">
        <f t="shared" si="121"/>
        <v>SUBDIRECCION DE GESTION CONTRACTUAL</v>
      </c>
      <c r="V677" s="172" t="str">
        <f t="shared" si="122"/>
        <v>CO-DC</v>
      </c>
      <c r="W677" s="185" t="str">
        <f t="shared" si="123"/>
        <v>Distrito Capital de Bogotá</v>
      </c>
      <c r="X677" s="186" t="s">
        <v>808</v>
      </c>
      <c r="Y677" s="172">
        <v>2427400</v>
      </c>
      <c r="Z677" s="188" t="s">
        <v>809</v>
      </c>
    </row>
    <row r="678" spans="1:26" s="189" customFormat="1" ht="12.75" customHeight="1" x14ac:dyDescent="0.2">
      <c r="A678" s="172" t="s">
        <v>805</v>
      </c>
      <c r="B678" s="172">
        <v>41</v>
      </c>
      <c r="C678" s="173" t="s">
        <v>844</v>
      </c>
      <c r="D678" s="173" t="s">
        <v>819</v>
      </c>
      <c r="E678" s="174"/>
      <c r="F678" s="174">
        <v>162218545</v>
      </c>
      <c r="G678" s="174"/>
      <c r="H678" s="175" t="s">
        <v>840</v>
      </c>
      <c r="I678" s="176" t="s">
        <v>833</v>
      </c>
      <c r="J678" s="193">
        <v>1</v>
      </c>
      <c r="K678" s="193">
        <v>2</v>
      </c>
      <c r="L678" s="193">
        <v>11</v>
      </c>
      <c r="M678" s="172">
        <v>1</v>
      </c>
      <c r="N678" s="180" t="s">
        <v>36</v>
      </c>
      <c r="O678" s="181" t="str">
        <f>IF(ISBLANK(N678),"",VLOOKUP(N678,[20]Parámetros!$G$2:$H$23,2,FALSE))</f>
        <v xml:space="preserve">Contratación directa (con ofertas) </v>
      </c>
      <c r="P678" s="182">
        <v>1</v>
      </c>
      <c r="Q678" s="183">
        <f t="shared" si="124"/>
        <v>162218545</v>
      </c>
      <c r="R678" s="183">
        <f t="shared" si="125"/>
        <v>162218545</v>
      </c>
      <c r="S678" s="184" t="s">
        <v>223</v>
      </c>
      <c r="T678" s="180">
        <v>0</v>
      </c>
      <c r="U678" s="185" t="str">
        <f t="shared" si="121"/>
        <v>SUBDIRECCION DE GESTION CONTRACTUAL</v>
      </c>
      <c r="V678" s="172" t="str">
        <f t="shared" si="122"/>
        <v>CO-DC</v>
      </c>
      <c r="W678" s="185" t="str">
        <f t="shared" si="123"/>
        <v>Distrito Capital de Bogotá</v>
      </c>
      <c r="X678" s="186" t="s">
        <v>808</v>
      </c>
      <c r="Y678" s="172">
        <v>2427400</v>
      </c>
      <c r="Z678" s="188" t="s">
        <v>809</v>
      </c>
    </row>
    <row r="679" spans="1:26" s="189" customFormat="1" ht="12.75" customHeight="1" x14ac:dyDescent="0.2">
      <c r="A679" s="172" t="s">
        <v>805</v>
      </c>
      <c r="B679" s="172">
        <v>42</v>
      </c>
      <c r="C679" s="173" t="s">
        <v>844</v>
      </c>
      <c r="D679" s="173" t="s">
        <v>836</v>
      </c>
      <c r="E679" s="174"/>
      <c r="F679" s="174">
        <v>311310809</v>
      </c>
      <c r="G679" s="174"/>
      <c r="H679" s="175" t="s">
        <v>840</v>
      </c>
      <c r="I679" s="176" t="s">
        <v>833</v>
      </c>
      <c r="J679" s="193">
        <v>1</v>
      </c>
      <c r="K679" s="193">
        <v>2</v>
      </c>
      <c r="L679" s="193">
        <v>11</v>
      </c>
      <c r="M679" s="172">
        <v>1</v>
      </c>
      <c r="N679" s="180" t="s">
        <v>36</v>
      </c>
      <c r="O679" s="181" t="str">
        <f>IF(ISBLANK(N679),"",VLOOKUP(N679,[20]Parámetros!$G$2:$H$23,2,FALSE))</f>
        <v xml:space="preserve">Contratación directa (con ofertas) </v>
      </c>
      <c r="P679" s="182">
        <v>1</v>
      </c>
      <c r="Q679" s="183">
        <f t="shared" si="124"/>
        <v>311310809</v>
      </c>
      <c r="R679" s="183">
        <f t="shared" si="125"/>
        <v>311310809</v>
      </c>
      <c r="S679" s="184" t="s">
        <v>223</v>
      </c>
      <c r="T679" s="180">
        <v>0</v>
      </c>
      <c r="U679" s="185" t="str">
        <f t="shared" si="121"/>
        <v>SUBDIRECCION DE GESTION CONTRACTUAL</v>
      </c>
      <c r="V679" s="172" t="str">
        <f t="shared" si="122"/>
        <v>CO-DC</v>
      </c>
      <c r="W679" s="185" t="str">
        <f t="shared" si="123"/>
        <v>Distrito Capital de Bogotá</v>
      </c>
      <c r="X679" s="186" t="s">
        <v>808</v>
      </c>
      <c r="Y679" s="172">
        <v>2427400</v>
      </c>
      <c r="Z679" s="188" t="s">
        <v>809</v>
      </c>
    </row>
    <row r="680" spans="1:26" s="189" customFormat="1" ht="12.75" customHeight="1" x14ac:dyDescent="0.2">
      <c r="A680" s="172" t="s">
        <v>805</v>
      </c>
      <c r="B680" s="172">
        <v>43</v>
      </c>
      <c r="C680" s="173" t="s">
        <v>844</v>
      </c>
      <c r="D680" s="173" t="s">
        <v>820</v>
      </c>
      <c r="E680" s="174"/>
      <c r="F680" s="174">
        <v>108145701</v>
      </c>
      <c r="G680" s="174"/>
      <c r="H680" s="175" t="s">
        <v>840</v>
      </c>
      <c r="I680" s="176" t="s">
        <v>833</v>
      </c>
      <c r="J680" s="193">
        <v>1</v>
      </c>
      <c r="K680" s="193">
        <v>2</v>
      </c>
      <c r="L680" s="193">
        <v>11</v>
      </c>
      <c r="M680" s="172">
        <v>1</v>
      </c>
      <c r="N680" s="180" t="s">
        <v>36</v>
      </c>
      <c r="O680" s="181" t="str">
        <f>IF(ISBLANK(N680),"",VLOOKUP(N680,[20]Parámetros!$G$2:$H$23,2,FALSE))</f>
        <v xml:space="preserve">Contratación directa (con ofertas) </v>
      </c>
      <c r="P680" s="182">
        <v>1</v>
      </c>
      <c r="Q680" s="183">
        <f t="shared" si="124"/>
        <v>108145701</v>
      </c>
      <c r="R680" s="183">
        <f t="shared" si="125"/>
        <v>108145701</v>
      </c>
      <c r="S680" s="184" t="s">
        <v>223</v>
      </c>
      <c r="T680" s="180">
        <v>0</v>
      </c>
      <c r="U680" s="185" t="str">
        <f t="shared" si="121"/>
        <v>SUBDIRECCION DE GESTION CONTRACTUAL</v>
      </c>
      <c r="V680" s="172" t="str">
        <f t="shared" si="122"/>
        <v>CO-DC</v>
      </c>
      <c r="W680" s="185" t="str">
        <f t="shared" si="123"/>
        <v>Distrito Capital de Bogotá</v>
      </c>
      <c r="X680" s="186" t="s">
        <v>808</v>
      </c>
      <c r="Y680" s="172">
        <v>2427400</v>
      </c>
      <c r="Z680" s="188" t="s">
        <v>809</v>
      </c>
    </row>
    <row r="681" spans="1:26" s="189" customFormat="1" ht="12.75" customHeight="1" x14ac:dyDescent="0.2">
      <c r="A681" s="172" t="s">
        <v>805</v>
      </c>
      <c r="B681" s="172">
        <v>44</v>
      </c>
      <c r="C681" s="173" t="s">
        <v>844</v>
      </c>
      <c r="D681" s="173" t="s">
        <v>837</v>
      </c>
      <c r="E681" s="174"/>
      <c r="F681" s="174">
        <v>207540539</v>
      </c>
      <c r="G681" s="174"/>
      <c r="H681" s="175" t="s">
        <v>840</v>
      </c>
      <c r="I681" s="176" t="s">
        <v>833</v>
      </c>
      <c r="J681" s="193">
        <v>1</v>
      </c>
      <c r="K681" s="193">
        <v>2</v>
      </c>
      <c r="L681" s="193">
        <v>11</v>
      </c>
      <c r="M681" s="172">
        <v>1</v>
      </c>
      <c r="N681" s="180" t="s">
        <v>36</v>
      </c>
      <c r="O681" s="181" t="str">
        <f>IF(ISBLANK(N681),"",VLOOKUP(N681,[20]Parámetros!$G$2:$H$23,2,FALSE))</f>
        <v xml:space="preserve">Contratación directa (con ofertas) </v>
      </c>
      <c r="P681" s="182">
        <v>1</v>
      </c>
      <c r="Q681" s="183">
        <f t="shared" si="124"/>
        <v>207540539</v>
      </c>
      <c r="R681" s="183">
        <f t="shared" si="125"/>
        <v>207540539</v>
      </c>
      <c r="S681" s="184" t="s">
        <v>223</v>
      </c>
      <c r="T681" s="180">
        <v>0</v>
      </c>
      <c r="U681" s="185" t="str">
        <f t="shared" si="121"/>
        <v>SUBDIRECCION DE GESTION CONTRACTUAL</v>
      </c>
      <c r="V681" s="172" t="str">
        <f t="shared" si="122"/>
        <v>CO-DC</v>
      </c>
      <c r="W681" s="185" t="str">
        <f t="shared" si="123"/>
        <v>Distrito Capital de Bogotá</v>
      </c>
      <c r="X681" s="186" t="s">
        <v>808</v>
      </c>
      <c r="Y681" s="172">
        <v>2427400</v>
      </c>
      <c r="Z681" s="188" t="s">
        <v>809</v>
      </c>
    </row>
    <row r="682" spans="1:26" s="189" customFormat="1" ht="12.75" customHeight="1" x14ac:dyDescent="0.2">
      <c r="A682" s="172" t="s">
        <v>805</v>
      </c>
      <c r="B682" s="172">
        <v>45</v>
      </c>
      <c r="C682" s="173" t="s">
        <v>845</v>
      </c>
      <c r="D682" s="173" t="s">
        <v>821</v>
      </c>
      <c r="E682" s="174"/>
      <c r="F682" s="174">
        <v>70462610</v>
      </c>
      <c r="G682" s="174"/>
      <c r="H682" s="175" t="s">
        <v>840</v>
      </c>
      <c r="I682" s="176" t="s">
        <v>833</v>
      </c>
      <c r="J682" s="193">
        <v>1</v>
      </c>
      <c r="K682" s="193">
        <v>2</v>
      </c>
      <c r="L682" s="193">
        <v>11</v>
      </c>
      <c r="M682" s="172">
        <v>11</v>
      </c>
      <c r="N682" s="180" t="s">
        <v>36</v>
      </c>
      <c r="O682" s="181" t="str">
        <f>IF(ISBLANK(N682),"",VLOOKUP(N682,[20]Parámetros!$G$2:$H$23,2,FALSE))</f>
        <v xml:space="preserve">Contratación directa (con ofertas) </v>
      </c>
      <c r="P682" s="182">
        <v>1</v>
      </c>
      <c r="Q682" s="183">
        <f t="shared" si="124"/>
        <v>70462610</v>
      </c>
      <c r="R682" s="183">
        <f t="shared" si="125"/>
        <v>70462610</v>
      </c>
      <c r="S682" s="184" t="s">
        <v>223</v>
      </c>
      <c r="T682" s="180">
        <v>0</v>
      </c>
      <c r="U682" s="185" t="str">
        <f t="shared" si="121"/>
        <v>SUBDIRECCION DE GESTION CONTRACTUAL</v>
      </c>
      <c r="V682" s="172" t="str">
        <f t="shared" si="122"/>
        <v>CO-DC</v>
      </c>
      <c r="W682" s="185" t="str">
        <f t="shared" si="123"/>
        <v>Distrito Capital de Bogotá</v>
      </c>
      <c r="X682" s="186" t="s">
        <v>838</v>
      </c>
      <c r="Y682" s="172">
        <v>2427400</v>
      </c>
      <c r="Z682" s="188" t="s">
        <v>809</v>
      </c>
    </row>
    <row r="683" spans="1:26" s="189" customFormat="1" ht="12.75" customHeight="1" x14ac:dyDescent="0.2">
      <c r="A683" s="172" t="s">
        <v>805</v>
      </c>
      <c r="B683" s="172">
        <v>46</v>
      </c>
      <c r="C683" s="173" t="s">
        <v>845</v>
      </c>
      <c r="D683" s="173" t="s">
        <v>822</v>
      </c>
      <c r="E683" s="174"/>
      <c r="F683" s="174">
        <v>234045807</v>
      </c>
      <c r="G683" s="174"/>
      <c r="H683" s="175" t="s">
        <v>840</v>
      </c>
      <c r="I683" s="176" t="s">
        <v>833</v>
      </c>
      <c r="J683" s="193">
        <v>1</v>
      </c>
      <c r="K683" s="193">
        <v>2</v>
      </c>
      <c r="L683" s="193">
        <v>11</v>
      </c>
      <c r="M683" s="172">
        <v>1</v>
      </c>
      <c r="N683" s="180" t="s">
        <v>36</v>
      </c>
      <c r="O683" s="181" t="str">
        <f>IF(ISBLANK(N683),"",VLOOKUP(N683,[20]Parámetros!$G$2:$H$23,2,FALSE))</f>
        <v xml:space="preserve">Contratación directa (con ofertas) </v>
      </c>
      <c r="P683" s="182">
        <v>1</v>
      </c>
      <c r="Q683" s="183">
        <f t="shared" si="124"/>
        <v>234045807</v>
      </c>
      <c r="R683" s="183">
        <f t="shared" si="125"/>
        <v>234045807</v>
      </c>
      <c r="S683" s="184" t="s">
        <v>223</v>
      </c>
      <c r="T683" s="180">
        <v>0</v>
      </c>
      <c r="U683" s="185" t="str">
        <f t="shared" si="121"/>
        <v>SUBDIRECCION DE GESTION CONTRACTUAL</v>
      </c>
      <c r="V683" s="172" t="str">
        <f t="shared" si="122"/>
        <v>CO-DC</v>
      </c>
      <c r="W683" s="185" t="str">
        <f t="shared" si="123"/>
        <v>Distrito Capital de Bogotá</v>
      </c>
      <c r="X683" s="186" t="s">
        <v>838</v>
      </c>
      <c r="Y683" s="172">
        <v>2427400</v>
      </c>
      <c r="Z683" s="188" t="s">
        <v>809</v>
      </c>
    </row>
    <row r="684" spans="1:26" s="189" customFormat="1" ht="12.75" customHeight="1" x14ac:dyDescent="0.2">
      <c r="A684" s="172" t="s">
        <v>805</v>
      </c>
      <c r="B684" s="172">
        <v>47</v>
      </c>
      <c r="C684" s="173" t="s">
        <v>845</v>
      </c>
      <c r="D684" s="173" t="s">
        <v>823</v>
      </c>
      <c r="E684" s="174"/>
      <c r="F684" s="174">
        <v>285386564</v>
      </c>
      <c r="G684" s="174"/>
      <c r="H684" s="175" t="s">
        <v>840</v>
      </c>
      <c r="I684" s="176" t="s">
        <v>833</v>
      </c>
      <c r="J684" s="193">
        <v>1</v>
      </c>
      <c r="K684" s="193">
        <v>2</v>
      </c>
      <c r="L684" s="193">
        <v>11</v>
      </c>
      <c r="M684" s="172">
        <v>1</v>
      </c>
      <c r="N684" s="180" t="s">
        <v>36</v>
      </c>
      <c r="O684" s="181" t="str">
        <f>IF(ISBLANK(N684),"",VLOOKUP(N684,[20]Parámetros!$G$2:$H$23,2,FALSE))</f>
        <v xml:space="preserve">Contratación directa (con ofertas) </v>
      </c>
      <c r="P684" s="182">
        <v>1</v>
      </c>
      <c r="Q684" s="183">
        <f t="shared" si="124"/>
        <v>285386564</v>
      </c>
      <c r="R684" s="183">
        <f t="shared" si="125"/>
        <v>285386564</v>
      </c>
      <c r="S684" s="184" t="s">
        <v>223</v>
      </c>
      <c r="T684" s="180">
        <v>0</v>
      </c>
      <c r="U684" s="185" t="str">
        <f t="shared" si="121"/>
        <v>SUBDIRECCION DE GESTION CONTRACTUAL</v>
      </c>
      <c r="V684" s="172" t="str">
        <f t="shared" si="122"/>
        <v>CO-DC</v>
      </c>
      <c r="W684" s="185" t="str">
        <f t="shared" si="123"/>
        <v>Distrito Capital de Bogotá</v>
      </c>
      <c r="X684" s="186" t="s">
        <v>838</v>
      </c>
      <c r="Y684" s="172">
        <v>2427400</v>
      </c>
      <c r="Z684" s="188" t="s">
        <v>809</v>
      </c>
    </row>
    <row r="685" spans="1:26" s="189" customFormat="1" ht="12.75" customHeight="1" x14ac:dyDescent="0.2">
      <c r="A685" s="172" t="s">
        <v>805</v>
      </c>
      <c r="B685" s="172">
        <v>48</v>
      </c>
      <c r="C685" s="173" t="s">
        <v>845</v>
      </c>
      <c r="D685" s="173" t="s">
        <v>824</v>
      </c>
      <c r="E685" s="174"/>
      <c r="F685" s="174">
        <v>46975071</v>
      </c>
      <c r="G685" s="174"/>
      <c r="H685" s="175" t="s">
        <v>840</v>
      </c>
      <c r="I685" s="176" t="s">
        <v>833</v>
      </c>
      <c r="J685" s="193">
        <v>1</v>
      </c>
      <c r="K685" s="193">
        <v>2</v>
      </c>
      <c r="L685" s="193">
        <v>11</v>
      </c>
      <c r="M685" s="172">
        <v>1</v>
      </c>
      <c r="N685" s="180" t="s">
        <v>36</v>
      </c>
      <c r="O685" s="181" t="str">
        <f>IF(ISBLANK(N685),"",VLOOKUP(N685,[20]Parámetros!$G$2:$H$23,2,FALSE))</f>
        <v xml:space="preserve">Contratación directa (con ofertas) </v>
      </c>
      <c r="P685" s="182">
        <v>1</v>
      </c>
      <c r="Q685" s="183">
        <f t="shared" si="124"/>
        <v>46975071</v>
      </c>
      <c r="R685" s="183">
        <f t="shared" si="125"/>
        <v>46975071</v>
      </c>
      <c r="S685" s="184" t="s">
        <v>223</v>
      </c>
      <c r="T685" s="180">
        <v>0</v>
      </c>
      <c r="U685" s="185" t="str">
        <f t="shared" si="121"/>
        <v>SUBDIRECCION DE GESTION CONTRACTUAL</v>
      </c>
      <c r="V685" s="172" t="str">
        <f t="shared" si="122"/>
        <v>CO-DC</v>
      </c>
      <c r="W685" s="185" t="str">
        <f t="shared" si="123"/>
        <v>Distrito Capital de Bogotá</v>
      </c>
      <c r="X685" s="186" t="s">
        <v>838</v>
      </c>
      <c r="Y685" s="172">
        <v>2427400</v>
      </c>
      <c r="Z685" s="188" t="s">
        <v>809</v>
      </c>
    </row>
    <row r="686" spans="1:26" s="189" customFormat="1" ht="12.75" customHeight="1" x14ac:dyDescent="0.2">
      <c r="A686" s="172" t="s">
        <v>805</v>
      </c>
      <c r="B686" s="172">
        <v>49</v>
      </c>
      <c r="C686" s="173" t="s">
        <v>845</v>
      </c>
      <c r="D686" s="173" t="s">
        <v>825</v>
      </c>
      <c r="E686" s="174"/>
      <c r="F686" s="174">
        <v>156030538</v>
      </c>
      <c r="G686" s="174"/>
      <c r="H686" s="175" t="s">
        <v>840</v>
      </c>
      <c r="I686" s="176" t="s">
        <v>833</v>
      </c>
      <c r="J686" s="193">
        <v>1</v>
      </c>
      <c r="K686" s="193">
        <v>2</v>
      </c>
      <c r="L686" s="193">
        <v>11</v>
      </c>
      <c r="M686" s="172">
        <v>1</v>
      </c>
      <c r="N686" s="180" t="s">
        <v>36</v>
      </c>
      <c r="O686" s="181" t="str">
        <f>IF(ISBLANK(N686),"",VLOOKUP(N686,[20]Parámetros!$G$2:$H$23,2,FALSE))</f>
        <v xml:space="preserve">Contratación directa (con ofertas) </v>
      </c>
      <c r="P686" s="182">
        <v>1</v>
      </c>
      <c r="Q686" s="183">
        <f t="shared" si="124"/>
        <v>156030538</v>
      </c>
      <c r="R686" s="183">
        <f t="shared" si="125"/>
        <v>156030538</v>
      </c>
      <c r="S686" s="184" t="s">
        <v>223</v>
      </c>
      <c r="T686" s="180">
        <v>0</v>
      </c>
      <c r="U686" s="185" t="str">
        <f t="shared" si="121"/>
        <v>SUBDIRECCION DE GESTION CONTRACTUAL</v>
      </c>
      <c r="V686" s="172" t="str">
        <f t="shared" si="122"/>
        <v>CO-DC</v>
      </c>
      <c r="W686" s="185" t="str">
        <f t="shared" si="123"/>
        <v>Distrito Capital de Bogotá</v>
      </c>
      <c r="X686" s="186" t="s">
        <v>838</v>
      </c>
      <c r="Y686" s="172">
        <v>2427400</v>
      </c>
      <c r="Z686" s="188" t="s">
        <v>809</v>
      </c>
    </row>
    <row r="687" spans="1:26" s="189" customFormat="1" ht="12.75" customHeight="1" x14ac:dyDescent="0.2">
      <c r="A687" s="172" t="s">
        <v>805</v>
      </c>
      <c r="B687" s="172">
        <v>50</v>
      </c>
      <c r="C687" s="173" t="s">
        <v>845</v>
      </c>
      <c r="D687" s="173" t="s">
        <v>826</v>
      </c>
      <c r="E687" s="174"/>
      <c r="F687" s="174">
        <v>190257716</v>
      </c>
      <c r="G687" s="174"/>
      <c r="H687" s="175" t="s">
        <v>840</v>
      </c>
      <c r="I687" s="176" t="s">
        <v>833</v>
      </c>
      <c r="J687" s="193">
        <v>1</v>
      </c>
      <c r="K687" s="193">
        <v>2</v>
      </c>
      <c r="L687" s="193">
        <v>11</v>
      </c>
      <c r="M687" s="172">
        <v>1</v>
      </c>
      <c r="N687" s="180" t="s">
        <v>36</v>
      </c>
      <c r="O687" s="181" t="str">
        <f>IF(ISBLANK(N687),"",VLOOKUP(N687,[20]Parámetros!$G$2:$H$23,2,FALSE))</f>
        <v xml:space="preserve">Contratación directa (con ofertas) </v>
      </c>
      <c r="P687" s="182">
        <v>1</v>
      </c>
      <c r="Q687" s="183">
        <f t="shared" si="124"/>
        <v>190257716</v>
      </c>
      <c r="R687" s="183">
        <f t="shared" si="125"/>
        <v>190257716</v>
      </c>
      <c r="S687" s="184" t="s">
        <v>223</v>
      </c>
      <c r="T687" s="180">
        <v>0</v>
      </c>
      <c r="U687" s="185" t="str">
        <f t="shared" si="121"/>
        <v>SUBDIRECCION DE GESTION CONTRACTUAL</v>
      </c>
      <c r="V687" s="172" t="str">
        <f t="shared" si="122"/>
        <v>CO-DC</v>
      </c>
      <c r="W687" s="185" t="str">
        <f t="shared" si="123"/>
        <v>Distrito Capital de Bogotá</v>
      </c>
      <c r="X687" s="186" t="s">
        <v>838</v>
      </c>
      <c r="Y687" s="172">
        <v>2427400</v>
      </c>
      <c r="Z687" s="188" t="s">
        <v>809</v>
      </c>
    </row>
    <row r="688" spans="1:26" s="189" customFormat="1" ht="12.75" customHeight="1" x14ac:dyDescent="0.2">
      <c r="A688" s="172" t="s">
        <v>805</v>
      </c>
      <c r="B688" s="172">
        <v>51</v>
      </c>
      <c r="C688" s="173" t="s">
        <v>845</v>
      </c>
      <c r="D688" s="173" t="s">
        <v>827</v>
      </c>
      <c r="E688" s="174"/>
      <c r="F688" s="174">
        <v>70462610</v>
      </c>
      <c r="G688" s="174"/>
      <c r="H688" s="175" t="s">
        <v>840</v>
      </c>
      <c r="I688" s="176" t="s">
        <v>833</v>
      </c>
      <c r="J688" s="193">
        <v>1</v>
      </c>
      <c r="K688" s="193">
        <v>2</v>
      </c>
      <c r="L688" s="193">
        <v>11</v>
      </c>
      <c r="M688" s="172">
        <v>1</v>
      </c>
      <c r="N688" s="180" t="s">
        <v>36</v>
      </c>
      <c r="O688" s="181" t="str">
        <f>IF(ISBLANK(N688),"",VLOOKUP(N688,[20]Parámetros!$G$2:$H$23,2,FALSE))</f>
        <v xml:space="preserve">Contratación directa (con ofertas) </v>
      </c>
      <c r="P688" s="182">
        <v>1</v>
      </c>
      <c r="Q688" s="183">
        <f t="shared" si="124"/>
        <v>70462610</v>
      </c>
      <c r="R688" s="183">
        <f t="shared" si="125"/>
        <v>70462610</v>
      </c>
      <c r="S688" s="184" t="s">
        <v>223</v>
      </c>
      <c r="T688" s="180">
        <v>0</v>
      </c>
      <c r="U688" s="185" t="str">
        <f t="shared" si="121"/>
        <v>SUBDIRECCION DE GESTION CONTRACTUAL</v>
      </c>
      <c r="V688" s="172" t="str">
        <f t="shared" si="122"/>
        <v>CO-DC</v>
      </c>
      <c r="W688" s="185" t="str">
        <f t="shared" si="123"/>
        <v>Distrito Capital de Bogotá</v>
      </c>
      <c r="X688" s="186" t="s">
        <v>838</v>
      </c>
      <c r="Y688" s="172">
        <v>2427400</v>
      </c>
      <c r="Z688" s="188" t="s">
        <v>809</v>
      </c>
    </row>
    <row r="689" spans="1:26" s="189" customFormat="1" ht="12.75" customHeight="1" x14ac:dyDescent="0.2">
      <c r="A689" s="172" t="s">
        <v>805</v>
      </c>
      <c r="B689" s="172">
        <v>52</v>
      </c>
      <c r="C689" s="173" t="s">
        <v>845</v>
      </c>
      <c r="D689" s="173" t="s">
        <v>828</v>
      </c>
      <c r="E689" s="174"/>
      <c r="F689" s="174">
        <v>234045810</v>
      </c>
      <c r="G689" s="174"/>
      <c r="H689" s="175" t="s">
        <v>840</v>
      </c>
      <c r="I689" s="176" t="s">
        <v>833</v>
      </c>
      <c r="J689" s="193">
        <v>1</v>
      </c>
      <c r="K689" s="193">
        <v>2</v>
      </c>
      <c r="L689" s="193">
        <v>11</v>
      </c>
      <c r="M689" s="172">
        <v>1</v>
      </c>
      <c r="N689" s="180" t="s">
        <v>36</v>
      </c>
      <c r="O689" s="181" t="str">
        <f>IF(ISBLANK(N689),"",VLOOKUP(N689,[20]Parámetros!$G$2:$H$23,2,FALSE))</f>
        <v xml:space="preserve">Contratación directa (con ofertas) </v>
      </c>
      <c r="P689" s="182">
        <v>1</v>
      </c>
      <c r="Q689" s="183">
        <f t="shared" si="124"/>
        <v>234045810</v>
      </c>
      <c r="R689" s="183">
        <f t="shared" si="125"/>
        <v>234045810</v>
      </c>
      <c r="S689" s="184" t="s">
        <v>223</v>
      </c>
      <c r="T689" s="180">
        <v>0</v>
      </c>
      <c r="U689" s="185" t="str">
        <f t="shared" si="121"/>
        <v>SUBDIRECCION DE GESTION CONTRACTUAL</v>
      </c>
      <c r="V689" s="172" t="str">
        <f t="shared" si="122"/>
        <v>CO-DC</v>
      </c>
      <c r="W689" s="185" t="str">
        <f t="shared" si="123"/>
        <v>Distrito Capital de Bogotá</v>
      </c>
      <c r="X689" s="186" t="s">
        <v>838</v>
      </c>
      <c r="Y689" s="172">
        <v>2427400</v>
      </c>
      <c r="Z689" s="188" t="s">
        <v>809</v>
      </c>
    </row>
    <row r="690" spans="1:26" s="189" customFormat="1" ht="12.75" customHeight="1" x14ac:dyDescent="0.2">
      <c r="A690" s="172" t="s">
        <v>805</v>
      </c>
      <c r="B690" s="172">
        <v>53</v>
      </c>
      <c r="C690" s="173" t="s">
        <v>845</v>
      </c>
      <c r="D690" s="173" t="s">
        <v>829</v>
      </c>
      <c r="E690" s="174"/>
      <c r="F690" s="174">
        <v>285386566</v>
      </c>
      <c r="G690" s="174"/>
      <c r="H690" s="175" t="s">
        <v>840</v>
      </c>
      <c r="I690" s="176" t="s">
        <v>833</v>
      </c>
      <c r="J690" s="193">
        <v>1</v>
      </c>
      <c r="K690" s="193">
        <v>2</v>
      </c>
      <c r="L690" s="193">
        <v>11</v>
      </c>
      <c r="M690" s="172">
        <v>1</v>
      </c>
      <c r="N690" s="180" t="s">
        <v>36</v>
      </c>
      <c r="O690" s="181" t="str">
        <f>IF(ISBLANK(N690),"",VLOOKUP(N690,[20]Parámetros!$G$2:$H$23,2,FALSE))</f>
        <v xml:space="preserve">Contratación directa (con ofertas) </v>
      </c>
      <c r="P690" s="182">
        <v>1</v>
      </c>
      <c r="Q690" s="183">
        <f t="shared" si="124"/>
        <v>285386566</v>
      </c>
      <c r="R690" s="183">
        <f t="shared" si="125"/>
        <v>285386566</v>
      </c>
      <c r="S690" s="184" t="s">
        <v>223</v>
      </c>
      <c r="T690" s="180">
        <v>0</v>
      </c>
      <c r="U690" s="185" t="str">
        <f t="shared" si="121"/>
        <v>SUBDIRECCION DE GESTION CONTRACTUAL</v>
      </c>
      <c r="V690" s="172" t="str">
        <f t="shared" si="122"/>
        <v>CO-DC</v>
      </c>
      <c r="W690" s="185" t="str">
        <f t="shared" si="123"/>
        <v>Distrito Capital de Bogotá</v>
      </c>
      <c r="X690" s="186" t="s">
        <v>838</v>
      </c>
      <c r="Y690" s="172">
        <v>2427400</v>
      </c>
      <c r="Z690" s="188" t="s">
        <v>809</v>
      </c>
    </row>
    <row r="691" spans="1:26" s="189" customFormat="1" ht="12.75" customHeight="1" x14ac:dyDescent="0.2">
      <c r="A691" s="172" t="s">
        <v>805</v>
      </c>
      <c r="B691" s="172">
        <v>54</v>
      </c>
      <c r="C691" s="173" t="s">
        <v>845</v>
      </c>
      <c r="D691" s="173" t="s">
        <v>830</v>
      </c>
      <c r="E691" s="174"/>
      <c r="F691" s="174">
        <v>46975071</v>
      </c>
      <c r="G691" s="174"/>
      <c r="H691" s="175" t="s">
        <v>840</v>
      </c>
      <c r="I691" s="176" t="s">
        <v>833</v>
      </c>
      <c r="J691" s="193">
        <v>1</v>
      </c>
      <c r="K691" s="193">
        <v>2</v>
      </c>
      <c r="L691" s="193">
        <v>11</v>
      </c>
      <c r="M691" s="172">
        <v>1</v>
      </c>
      <c r="N691" s="180" t="s">
        <v>36</v>
      </c>
      <c r="O691" s="181" t="str">
        <f>IF(ISBLANK(N691),"",VLOOKUP(N691,[20]Parámetros!$G$2:$H$23,2,FALSE))</f>
        <v xml:space="preserve">Contratación directa (con ofertas) </v>
      </c>
      <c r="P691" s="182">
        <v>1</v>
      </c>
      <c r="Q691" s="183">
        <f t="shared" si="124"/>
        <v>46975071</v>
      </c>
      <c r="R691" s="183">
        <f t="shared" si="125"/>
        <v>46975071</v>
      </c>
      <c r="S691" s="184" t="s">
        <v>223</v>
      </c>
      <c r="T691" s="180">
        <v>0</v>
      </c>
      <c r="U691" s="185" t="str">
        <f t="shared" si="121"/>
        <v>SUBDIRECCION DE GESTION CONTRACTUAL</v>
      </c>
      <c r="V691" s="172" t="str">
        <f t="shared" si="122"/>
        <v>CO-DC</v>
      </c>
      <c r="W691" s="185" t="str">
        <f t="shared" si="123"/>
        <v>Distrito Capital de Bogotá</v>
      </c>
      <c r="X691" s="186" t="s">
        <v>838</v>
      </c>
      <c r="Y691" s="172">
        <v>2427400</v>
      </c>
      <c r="Z691" s="188" t="s">
        <v>809</v>
      </c>
    </row>
    <row r="692" spans="1:26" s="189" customFormat="1" ht="12.75" customHeight="1" x14ac:dyDescent="0.2">
      <c r="A692" s="172" t="s">
        <v>805</v>
      </c>
      <c r="B692" s="172">
        <v>55</v>
      </c>
      <c r="C692" s="173" t="s">
        <v>845</v>
      </c>
      <c r="D692" s="173" t="s">
        <v>831</v>
      </c>
      <c r="E692" s="174"/>
      <c r="F692" s="174">
        <v>156030538</v>
      </c>
      <c r="G692" s="174"/>
      <c r="H692" s="175" t="s">
        <v>840</v>
      </c>
      <c r="I692" s="176" t="s">
        <v>833</v>
      </c>
      <c r="J692" s="193">
        <v>1</v>
      </c>
      <c r="K692" s="193">
        <v>2</v>
      </c>
      <c r="L692" s="193">
        <v>11</v>
      </c>
      <c r="M692" s="172">
        <v>1</v>
      </c>
      <c r="N692" s="180" t="s">
        <v>36</v>
      </c>
      <c r="O692" s="181" t="str">
        <f>IF(ISBLANK(N692),"",VLOOKUP(N692,[20]Parámetros!$G$2:$H$23,2,FALSE))</f>
        <v xml:space="preserve">Contratación directa (con ofertas) </v>
      </c>
      <c r="P692" s="182">
        <v>1</v>
      </c>
      <c r="Q692" s="183">
        <f t="shared" si="124"/>
        <v>156030538</v>
      </c>
      <c r="R692" s="183">
        <f t="shared" si="125"/>
        <v>156030538</v>
      </c>
      <c r="S692" s="184" t="s">
        <v>223</v>
      </c>
      <c r="T692" s="180">
        <v>0</v>
      </c>
      <c r="U692" s="185" t="str">
        <f t="shared" si="121"/>
        <v>SUBDIRECCION DE GESTION CONTRACTUAL</v>
      </c>
      <c r="V692" s="172" t="str">
        <f t="shared" si="122"/>
        <v>CO-DC</v>
      </c>
      <c r="W692" s="185" t="str">
        <f t="shared" si="123"/>
        <v>Distrito Capital de Bogotá</v>
      </c>
      <c r="X692" s="186" t="s">
        <v>838</v>
      </c>
      <c r="Y692" s="172">
        <v>2427400</v>
      </c>
      <c r="Z692" s="188" t="s">
        <v>809</v>
      </c>
    </row>
    <row r="693" spans="1:26" s="189" customFormat="1" ht="12.75" customHeight="1" x14ac:dyDescent="0.2">
      <c r="A693" s="172" t="s">
        <v>805</v>
      </c>
      <c r="B693" s="172">
        <v>56</v>
      </c>
      <c r="C693" s="173" t="s">
        <v>845</v>
      </c>
      <c r="D693" s="173" t="s">
        <v>832</v>
      </c>
      <c r="E693" s="174"/>
      <c r="F693" s="174">
        <v>190257716</v>
      </c>
      <c r="G693" s="174"/>
      <c r="H693" s="175" t="s">
        <v>840</v>
      </c>
      <c r="I693" s="176" t="s">
        <v>833</v>
      </c>
      <c r="J693" s="193">
        <v>1</v>
      </c>
      <c r="K693" s="193">
        <v>2</v>
      </c>
      <c r="L693" s="193">
        <v>11</v>
      </c>
      <c r="M693" s="172">
        <v>1</v>
      </c>
      <c r="N693" s="180" t="s">
        <v>36</v>
      </c>
      <c r="O693" s="181" t="str">
        <f>IF(ISBLANK(N693),"",VLOOKUP(N693,[20]Parámetros!$G$2:$H$23,2,FALSE))</f>
        <v xml:space="preserve">Contratación directa (con ofertas) </v>
      </c>
      <c r="P693" s="182">
        <v>1</v>
      </c>
      <c r="Q693" s="183">
        <f t="shared" si="124"/>
        <v>190257716</v>
      </c>
      <c r="R693" s="183">
        <f t="shared" si="125"/>
        <v>190257716</v>
      </c>
      <c r="S693" s="184" t="s">
        <v>223</v>
      </c>
      <c r="T693" s="180">
        <v>0</v>
      </c>
      <c r="U693" s="185" t="str">
        <f t="shared" si="121"/>
        <v>SUBDIRECCION DE GESTION CONTRACTUAL</v>
      </c>
      <c r="V693" s="172" t="str">
        <f t="shared" si="122"/>
        <v>CO-DC</v>
      </c>
      <c r="W693" s="185" t="str">
        <f t="shared" si="123"/>
        <v>Distrito Capital de Bogotá</v>
      </c>
      <c r="X693" s="186" t="s">
        <v>838</v>
      </c>
      <c r="Y693" s="172">
        <v>2427400</v>
      </c>
      <c r="Z693" s="188" t="s">
        <v>809</v>
      </c>
    </row>
    <row r="694" spans="1:26" s="189" customFormat="1" ht="12.75" customHeight="1" x14ac:dyDescent="0.2">
      <c r="A694" s="172" t="s">
        <v>805</v>
      </c>
      <c r="B694" s="172">
        <v>57</v>
      </c>
      <c r="C694" s="173" t="s">
        <v>846</v>
      </c>
      <c r="D694" s="173" t="s">
        <v>822</v>
      </c>
      <c r="E694" s="174"/>
      <c r="F694" s="174">
        <v>327166403</v>
      </c>
      <c r="G694" s="174"/>
      <c r="H694" s="175" t="s">
        <v>840</v>
      </c>
      <c r="I694" s="176" t="s">
        <v>833</v>
      </c>
      <c r="J694" s="193">
        <v>1</v>
      </c>
      <c r="K694" s="193">
        <v>2</v>
      </c>
      <c r="L694" s="193">
        <v>11</v>
      </c>
      <c r="M694" s="172">
        <v>1</v>
      </c>
      <c r="N694" s="180" t="s">
        <v>36</v>
      </c>
      <c r="O694" s="181" t="str">
        <f>IF(ISBLANK(N694),"",VLOOKUP(N694,[20]Parámetros!$G$2:$H$23,2,FALSE))</f>
        <v xml:space="preserve">Contratación directa (con ofertas) </v>
      </c>
      <c r="P694" s="182">
        <v>1</v>
      </c>
      <c r="Q694" s="183">
        <f t="shared" si="124"/>
        <v>327166403</v>
      </c>
      <c r="R694" s="183">
        <f t="shared" si="125"/>
        <v>327166403</v>
      </c>
      <c r="S694" s="184" t="s">
        <v>223</v>
      </c>
      <c r="T694" s="180">
        <v>0</v>
      </c>
      <c r="U694" s="185" t="str">
        <f t="shared" si="121"/>
        <v>SUBDIRECCION DE GESTION CONTRACTUAL</v>
      </c>
      <c r="V694" s="172" t="str">
        <f t="shared" si="122"/>
        <v>CO-DC</v>
      </c>
      <c r="W694" s="185" t="str">
        <f t="shared" si="123"/>
        <v>Distrito Capital de Bogotá</v>
      </c>
      <c r="X694" s="186" t="s">
        <v>838</v>
      </c>
      <c r="Y694" s="172">
        <v>2427400</v>
      </c>
      <c r="Z694" s="188" t="s">
        <v>809</v>
      </c>
    </row>
    <row r="695" spans="1:26" s="189" customFormat="1" ht="12.75" customHeight="1" x14ac:dyDescent="0.2">
      <c r="A695" s="172" t="s">
        <v>805</v>
      </c>
      <c r="B695" s="172">
        <v>58</v>
      </c>
      <c r="C695" s="173" t="s">
        <v>846</v>
      </c>
      <c r="D695" s="173" t="s">
        <v>825</v>
      </c>
      <c r="E695" s="174"/>
      <c r="F695" s="174">
        <v>218110938</v>
      </c>
      <c r="G695" s="174"/>
      <c r="H695" s="175" t="s">
        <v>840</v>
      </c>
      <c r="I695" s="176" t="s">
        <v>833</v>
      </c>
      <c r="J695" s="193">
        <v>1</v>
      </c>
      <c r="K695" s="193">
        <v>2</v>
      </c>
      <c r="L695" s="193">
        <v>11</v>
      </c>
      <c r="M695" s="172">
        <v>1</v>
      </c>
      <c r="N695" s="180" t="s">
        <v>36</v>
      </c>
      <c r="O695" s="181" t="str">
        <f>IF(ISBLANK(N695),"",VLOOKUP(N695,[20]Parámetros!$G$2:$H$23,2,FALSE))</f>
        <v xml:space="preserve">Contratación directa (con ofertas) </v>
      </c>
      <c r="P695" s="182">
        <v>1</v>
      </c>
      <c r="Q695" s="183">
        <f t="shared" si="124"/>
        <v>218110938</v>
      </c>
      <c r="R695" s="183">
        <f t="shared" si="125"/>
        <v>218110938</v>
      </c>
      <c r="S695" s="184" t="s">
        <v>223</v>
      </c>
      <c r="T695" s="180">
        <v>0</v>
      </c>
      <c r="U695" s="185" t="str">
        <f t="shared" si="121"/>
        <v>SUBDIRECCION DE GESTION CONTRACTUAL</v>
      </c>
      <c r="V695" s="172" t="str">
        <f t="shared" si="122"/>
        <v>CO-DC</v>
      </c>
      <c r="W695" s="185" t="str">
        <f t="shared" si="123"/>
        <v>Distrito Capital de Bogotá</v>
      </c>
      <c r="X695" s="186" t="s">
        <v>838</v>
      </c>
      <c r="Y695" s="172">
        <v>2427400</v>
      </c>
      <c r="Z695" s="188" t="s">
        <v>809</v>
      </c>
    </row>
    <row r="696" spans="1:26" s="189" customFormat="1" ht="12.75" customHeight="1" x14ac:dyDescent="0.2">
      <c r="A696" s="172" t="s">
        <v>805</v>
      </c>
      <c r="B696" s="172">
        <v>59</v>
      </c>
      <c r="C696" s="173" t="s">
        <v>846</v>
      </c>
      <c r="D696" s="173" t="s">
        <v>828</v>
      </c>
      <c r="E696" s="174"/>
      <c r="F696" s="174">
        <v>327166404</v>
      </c>
      <c r="G696" s="174"/>
      <c r="H696" s="175" t="s">
        <v>840</v>
      </c>
      <c r="I696" s="176" t="s">
        <v>833</v>
      </c>
      <c r="J696" s="193">
        <v>1</v>
      </c>
      <c r="K696" s="193">
        <v>2</v>
      </c>
      <c r="L696" s="193">
        <v>11</v>
      </c>
      <c r="M696" s="172">
        <v>1</v>
      </c>
      <c r="N696" s="180" t="s">
        <v>36</v>
      </c>
      <c r="O696" s="181" t="str">
        <f>IF(ISBLANK(N696),"",VLOOKUP(N696,[20]Parámetros!$G$2:$H$23,2,FALSE))</f>
        <v xml:space="preserve">Contratación directa (con ofertas) </v>
      </c>
      <c r="P696" s="182">
        <v>1</v>
      </c>
      <c r="Q696" s="183">
        <f t="shared" si="124"/>
        <v>327166404</v>
      </c>
      <c r="R696" s="183">
        <f t="shared" si="125"/>
        <v>327166404</v>
      </c>
      <c r="S696" s="184" t="s">
        <v>223</v>
      </c>
      <c r="T696" s="180">
        <v>0</v>
      </c>
      <c r="U696" s="185" t="str">
        <f t="shared" si="121"/>
        <v>SUBDIRECCION DE GESTION CONTRACTUAL</v>
      </c>
      <c r="V696" s="172" t="str">
        <f t="shared" si="122"/>
        <v>CO-DC</v>
      </c>
      <c r="W696" s="185" t="str">
        <f t="shared" si="123"/>
        <v>Distrito Capital de Bogotá</v>
      </c>
      <c r="X696" s="186" t="s">
        <v>838</v>
      </c>
      <c r="Y696" s="172">
        <v>2427400</v>
      </c>
      <c r="Z696" s="188" t="s">
        <v>809</v>
      </c>
    </row>
    <row r="697" spans="1:26" s="189" customFormat="1" ht="12.75" customHeight="1" x14ac:dyDescent="0.2">
      <c r="A697" s="172" t="s">
        <v>805</v>
      </c>
      <c r="B697" s="172">
        <v>60</v>
      </c>
      <c r="C697" s="173" t="s">
        <v>846</v>
      </c>
      <c r="D697" s="173" t="s">
        <v>831</v>
      </c>
      <c r="E697" s="174"/>
      <c r="F697" s="174">
        <v>218110938</v>
      </c>
      <c r="G697" s="174"/>
      <c r="H697" s="175" t="s">
        <v>840</v>
      </c>
      <c r="I697" s="176" t="s">
        <v>833</v>
      </c>
      <c r="J697" s="193">
        <v>1</v>
      </c>
      <c r="K697" s="193">
        <v>2</v>
      </c>
      <c r="L697" s="193">
        <v>11</v>
      </c>
      <c r="M697" s="172">
        <v>1</v>
      </c>
      <c r="N697" s="180" t="s">
        <v>36</v>
      </c>
      <c r="O697" s="181" t="str">
        <f>IF(ISBLANK(N697),"",VLOOKUP(N697,[20]Parámetros!$G$2:$H$23,2,FALSE))</f>
        <v xml:space="preserve">Contratación directa (con ofertas) </v>
      </c>
      <c r="P697" s="182">
        <v>1</v>
      </c>
      <c r="Q697" s="183">
        <f t="shared" si="124"/>
        <v>218110938</v>
      </c>
      <c r="R697" s="183">
        <f t="shared" si="125"/>
        <v>218110938</v>
      </c>
      <c r="S697" s="184" t="s">
        <v>223</v>
      </c>
      <c r="T697" s="180">
        <v>0</v>
      </c>
      <c r="U697" s="185" t="str">
        <f t="shared" si="121"/>
        <v>SUBDIRECCION DE GESTION CONTRACTUAL</v>
      </c>
      <c r="V697" s="172" t="str">
        <f t="shared" si="122"/>
        <v>CO-DC</v>
      </c>
      <c r="W697" s="185" t="str">
        <f t="shared" si="123"/>
        <v>Distrito Capital de Bogotá</v>
      </c>
      <c r="X697" s="186" t="s">
        <v>838</v>
      </c>
      <c r="Y697" s="172">
        <v>2427400</v>
      </c>
      <c r="Z697" s="188" t="s">
        <v>809</v>
      </c>
    </row>
    <row r="700" spans="1:26" ht="15" customHeight="1" x14ac:dyDescent="0.2">
      <c r="D700" s="127"/>
    </row>
  </sheetData>
  <sheetProtection insertRows="0" selectLockedCells="1"/>
  <autoFilter ref="A6:CG697" xr:uid="{36F3EDC5-7690-4C8E-9472-3F558FEE0655}"/>
  <sortState xmlns:xlrd2="http://schemas.microsoft.com/office/spreadsheetml/2017/richdata2" ref="A7:Z636">
    <sortCondition ref="A7:A636"/>
    <sortCondition ref="B7:B636"/>
  </sortState>
  <mergeCells count="24">
    <mergeCell ref="N5:N6"/>
    <mergeCell ref="A5:A6"/>
    <mergeCell ref="B5:B6"/>
    <mergeCell ref="C5:C6"/>
    <mergeCell ref="D5:D6"/>
    <mergeCell ref="E5:G5"/>
    <mergeCell ref="H5:H6"/>
    <mergeCell ref="I5:I6"/>
    <mergeCell ref="J5:J6"/>
    <mergeCell ref="K5:K6"/>
    <mergeCell ref="L5:L6"/>
    <mergeCell ref="M5:M6"/>
    <mergeCell ref="Z5:Z6"/>
    <mergeCell ref="O5:O6"/>
    <mergeCell ref="P5:P6"/>
    <mergeCell ref="Q5:Q6"/>
    <mergeCell ref="R5:R6"/>
    <mergeCell ref="S5:S6"/>
    <mergeCell ref="T5:T6"/>
    <mergeCell ref="U5:U6"/>
    <mergeCell ref="V5:V6"/>
    <mergeCell ref="W5:W6"/>
    <mergeCell ref="X5:X6"/>
    <mergeCell ref="Y5:Y6"/>
  </mergeCells>
  <dataValidations count="5">
    <dataValidation allowBlank="1" showErrorMessage="1" sqref="V7:V489 V502:V1048576" xr:uid="{E682EA51-8EAE-4DCB-B437-B7917782B88E}"/>
    <dataValidation type="whole" operator="greaterThanOrEqual" allowBlank="1" showInputMessage="1" showErrorMessage="1" sqref="E38:E50 H33 E51:G83 E334:G489 F153:F208 F211:F222 G153:G222 E153:E222 E312:G312 G311 E223:G310 E313:E333 E86:G152 G638:G697 F315:F320 F45:G50 F43 E44:G44 E7:E36 E666:E697 F638:F665 G313:G333 F322:F333 G7:G43 F7:F41 E503:G637" xr:uid="{498F3601-1B7C-4BF3-BE99-0E18E2BF3199}">
      <formula1>0</formula1>
    </dataValidation>
    <dataValidation type="whole" allowBlank="1" showInputMessage="1" showErrorMessage="1" sqref="L124:L147 L295:L304 L242:L250 L626:L634 L209:L210 L385:L444 L323:L383 L149:L207 L16:L21 L96:L100 L102:L122 L502:L596 L238:L240 L223:L236 L258:L263 L252:L256 L265:L269 L271:L275 L283:L291 L277:L281 L32:L34 L293 L446:L462 L473:L480 L464:L471 M638:M697 L306:L321 L23:L30 L482:L489 L636:L697 L7:L14 L598:L624 L36:L93" xr:uid="{309A9764-CBB4-4E9B-ABB4-5E9472371093}">
      <formula1>1</formula1>
      <formula2>24</formula2>
    </dataValidation>
    <dataValidation type="whole" allowBlank="1" showDropDown="1" showInputMessage="1" showErrorMessage="1" sqref="J385:K444 J293:K304 J242:K250 J626:K634 J209:K210 J482:K489 J323:K383 J149:K207 J16:K21 J96:K100 J102:K122 J502:K596 J238:K240 J223:K236 J258:K263 J252:K256 J265:K269 J271:K275 J277:K281 J124:K147 J283:K291 J446:K462 J473:K480 J464:K471 J7:K14 J306:K321 J23:K30 J32:K34 J636:K697 J598:K624 J36:K93" xr:uid="{FF49591C-A2D5-4328-9A3B-396B588BB704}">
      <formula1>1</formula1>
      <formula2>12</formula2>
    </dataValidation>
    <dataValidation type="list" allowBlank="1" showInputMessage="1" showErrorMessage="1" sqref="D700" xr:uid="{79EC6C70-7A08-47CF-B1ED-DF90E500DB46}">
      <formula1>"Programa,Proyecto"</formula1>
    </dataValidation>
  </dataValidations>
  <hyperlinks>
    <hyperlink ref="Z51" r:id="rId1" xr:uid="{83774F18-F487-4931-AB2A-983B521FDEDB}"/>
    <hyperlink ref="Z52" r:id="rId2" xr:uid="{2193C676-0E61-4F55-BB64-F1B1A1771E2C}"/>
    <hyperlink ref="Z53" r:id="rId3" xr:uid="{9A5C16FE-E0DD-467A-9040-54447D7DDA18}"/>
    <hyperlink ref="Z55" r:id="rId4" xr:uid="{BFA958E6-7664-4B10-B006-4F1C377D0BF4}"/>
    <hyperlink ref="Z56" r:id="rId5" xr:uid="{8ED22967-4B44-4A23-AEDB-96FB77D9F94A}"/>
    <hyperlink ref="Z57" r:id="rId6" xr:uid="{B164C7FA-4DDA-40CA-AAE7-320A22508A33}"/>
    <hyperlink ref="Z58" r:id="rId7" xr:uid="{762134CE-9EF8-4E56-8AB8-A8BA9B69AD75}"/>
    <hyperlink ref="Z59" r:id="rId8" xr:uid="{386AEE2A-5433-4D66-A505-52B2A3B74D4C}"/>
    <hyperlink ref="Z60" r:id="rId9" xr:uid="{20907A8A-BA5D-4E5D-A55A-D513B822B5B6}"/>
    <hyperlink ref="Z61" r:id="rId10" xr:uid="{2D2404D6-153C-4365-8B7A-62E7007815B4}"/>
    <hyperlink ref="Z62" r:id="rId11" xr:uid="{CCEA2853-D52F-4255-931B-A041C15F93CE}"/>
    <hyperlink ref="Z63" r:id="rId12" xr:uid="{CF7833B8-1E3D-47B4-8717-093FB7F3F156}"/>
    <hyperlink ref="Z64" r:id="rId13" xr:uid="{C6447F07-787C-4D5A-8EC4-28A03085F37E}"/>
    <hyperlink ref="Z65" r:id="rId14" xr:uid="{6753D6D8-8C6E-47C8-B502-A56AC40B119E}"/>
    <hyperlink ref="Z66" r:id="rId15" xr:uid="{FD02397D-26CD-41FB-87E8-738C3808D876}"/>
    <hyperlink ref="Z67" r:id="rId16" xr:uid="{73D43EC0-AB9F-4AEF-90D7-02B92AA965D2}"/>
    <hyperlink ref="Z68" r:id="rId17" xr:uid="{5AD0965F-3B32-4281-B019-F54482F8BC7D}"/>
    <hyperlink ref="Z69" r:id="rId18" xr:uid="{0693F32B-7F14-413E-826F-4E608899B01E}"/>
    <hyperlink ref="Z70" r:id="rId19" xr:uid="{F9803F0D-029D-4D59-9696-B8D629150C72}"/>
    <hyperlink ref="Z71" r:id="rId20" xr:uid="{A9072F20-418E-4892-B439-74B7F7F64F9B}"/>
    <hyperlink ref="Z72" r:id="rId21" xr:uid="{D9010E66-A444-4C87-AFF1-F9F62D5F8B25}"/>
    <hyperlink ref="Z73" r:id="rId22" xr:uid="{2A7291A9-3476-4AA6-B145-1A3CD53B8274}"/>
    <hyperlink ref="Z74" r:id="rId23" xr:uid="{2C3DC2D4-255B-42A4-93A4-07E1575357CC}"/>
    <hyperlink ref="Z75" r:id="rId24" xr:uid="{B3641217-157B-4BE9-8D4F-1FD003FA1D41}"/>
    <hyperlink ref="Z76" r:id="rId25" xr:uid="{E576B888-6006-40F0-810E-4DA3FF4E1937}"/>
    <hyperlink ref="Z77" r:id="rId26" xr:uid="{9356E9A9-1DE7-4F11-8956-F1B80903EDE4}"/>
    <hyperlink ref="Z78" r:id="rId27" xr:uid="{A08454A9-6B05-47EA-8C73-882CB7E653A0}"/>
    <hyperlink ref="Z79" r:id="rId28" xr:uid="{67ADAFB1-D021-4F15-BDA5-9AF8B8462A7A}"/>
    <hyperlink ref="Z80" r:id="rId29" xr:uid="{000EC6CF-15BC-4A3F-BCFC-7603AE6417CF}"/>
    <hyperlink ref="Z81" r:id="rId30" xr:uid="{A51B1C31-63A1-413F-8BA3-68D8B9D44615}"/>
    <hyperlink ref="Z82" r:id="rId31" xr:uid="{1936AB20-2C8B-4422-A08C-61882142417A}"/>
    <hyperlink ref="Z83" r:id="rId32" xr:uid="{5C894867-3E15-49A3-8FA7-0A800149ABD9}"/>
    <hyperlink ref="Z84" r:id="rId33" xr:uid="{7F694AE5-C262-42CD-B159-E718F254D35C}"/>
    <hyperlink ref="Z85" r:id="rId34" xr:uid="{825A5DD1-EF43-4B86-A112-CE7D24F46A05}"/>
    <hyperlink ref="Z86" r:id="rId35" xr:uid="{DD2CC3A3-2369-4547-BF5D-5BF0BA9D8D4D}"/>
    <hyperlink ref="Z87" r:id="rId36" xr:uid="{4A565852-1516-4B25-81F7-15AD5C8E5A7A}"/>
    <hyperlink ref="Z88" r:id="rId37" xr:uid="{49926295-D047-4BB3-A09C-CA88286EB2FA}"/>
    <hyperlink ref="Z93" r:id="rId38" xr:uid="{3DDA8B9C-6090-4470-AA49-95A816D3C902}"/>
    <hyperlink ref="Z90" r:id="rId39" xr:uid="{2799B755-02FD-4CAC-A829-E0DD722CF8ED}"/>
    <hyperlink ref="Z89" r:id="rId40" xr:uid="{362E6E9D-0DA2-4433-9BE1-47F942E58677}"/>
    <hyperlink ref="Z91" r:id="rId41" xr:uid="{A059FB11-B602-4F97-864A-EF16A7C7481B}"/>
    <hyperlink ref="Z54" r:id="rId42" xr:uid="{91915D77-64BB-4655-BF32-2BE2FD30992C}"/>
    <hyperlink ref="Z94" r:id="rId43" xr:uid="{D38A6E49-CE01-4EF1-8ADB-CF7E53F23E42}"/>
    <hyperlink ref="Z96" r:id="rId44" xr:uid="{8CBDFC7E-F3D0-4CF4-A1F3-F9D39650EC4D}"/>
    <hyperlink ref="Z156" r:id="rId45" xr:uid="{EDBCB07D-7902-4CE4-BB4D-ACDB590E9CCA}"/>
    <hyperlink ref="Z157" r:id="rId46" xr:uid="{2242DDBA-0998-4D19-A57C-0074DBD21B38}"/>
    <hyperlink ref="Z158" r:id="rId47" xr:uid="{624E4E16-1AFD-4361-A747-0D7FAD61B6FA}"/>
    <hyperlink ref="Z170" r:id="rId48" xr:uid="{3A3F2900-FFAF-4980-8701-9398F1AEEF85}"/>
    <hyperlink ref="Z176" r:id="rId49" xr:uid="{DF852445-D8DF-4AFD-B9B2-CF7161D7BE89}"/>
    <hyperlink ref="Z182" r:id="rId50" xr:uid="{AF2CA2FE-36A7-478B-B337-7E86E52CEA6B}"/>
    <hyperlink ref="Z183" r:id="rId51" xr:uid="{EC8DCC0E-F706-4136-ACDB-CC3347BECA84}"/>
    <hyperlink ref="Z188" r:id="rId52" xr:uid="{8FDBE6B8-D63F-4838-AFEE-8CA6DF8C3EA5}"/>
    <hyperlink ref="Z200" r:id="rId53" xr:uid="{B9BE9FC8-66A0-4270-89D8-29CF8E58848D}"/>
    <hyperlink ref="Z201" r:id="rId54" xr:uid="{18EC07EE-2621-41CD-A95F-9C44A1D4814C}"/>
    <hyperlink ref="Z159" r:id="rId55" xr:uid="{2CB3396D-F50C-4BA1-94BE-7F984B618707}"/>
    <hyperlink ref="Z160:Z161" r:id="rId56" display="diana.vivas@mininterior.gov.co" xr:uid="{F9928708-94A7-4B93-9EDA-733AFF83306E}"/>
    <hyperlink ref="Z169" r:id="rId57" xr:uid="{BE34AE27-3C7F-40C5-8C29-CC2DDF2F9495}"/>
    <hyperlink ref="Z175" r:id="rId58" xr:uid="{177544C4-D52E-40E8-AF96-1ADCC884FB2A}"/>
    <hyperlink ref="Z180:Z181" r:id="rId59" display="diana.vivas@mininterior.gov.co" xr:uid="{0CBCACD5-AE99-47A3-9C98-A7E27D60E8D0}"/>
    <hyperlink ref="Z189" r:id="rId60" xr:uid="{AD62575E-3790-4A79-97BB-03305A5EDCF4}"/>
    <hyperlink ref="Z192:Z193" r:id="rId61" display="diana.vivas@mininterior.gov.co" xr:uid="{5042B17E-6BA1-4A29-9C3D-C4728310A1EE}"/>
    <hyperlink ref="Z205:Z207" r:id="rId62" display="diana.vivas@mininterior.gov.co" xr:uid="{BDAB7773-7AF2-493F-8A68-05E9BA1B04DA}"/>
    <hyperlink ref="Z313" r:id="rId63" xr:uid="{E07B02DA-012F-4AA0-9EF4-1748E4CAFD34}"/>
    <hyperlink ref="Z314:Z318" r:id="rId64" display="yuly.manosalva@mininterior.gov.co" xr:uid="{FE99B5EC-90B3-4653-A0E9-5C4AE3043962}"/>
    <hyperlink ref="Z320" r:id="rId65" xr:uid="{1F3F13E9-C8D0-4DCC-A559-4A50E007EB71}"/>
    <hyperlink ref="Z321" r:id="rId66" xr:uid="{12E728B1-A009-485B-B13B-90964D0AA482}"/>
    <hyperlink ref="Z324" r:id="rId67" xr:uid="{F042BFCC-56AF-4509-8CAC-B836790856AC}"/>
    <hyperlink ref="Z325" r:id="rId68" xr:uid="{D6F0FC4D-327D-4876-8EE5-AF85811A6578}"/>
    <hyperlink ref="Z326" r:id="rId69" xr:uid="{A6CDBA0F-E774-4E15-AE5C-25E49204519B}"/>
    <hyperlink ref="Z327" r:id="rId70" xr:uid="{1FD4468A-ED5D-48CA-B197-A4A89B2A157A}"/>
    <hyperlink ref="Z328" r:id="rId71" xr:uid="{BBBCE53E-6103-4EB4-867C-32551ADB3AE6}"/>
    <hyperlink ref="Z330" r:id="rId72" xr:uid="{7252B27D-9AF7-4EEA-B59B-7BB4B34D7045}"/>
    <hyperlink ref="Z331" r:id="rId73" xr:uid="{CDF1B4A8-EC23-4E58-BEA1-86AC78F82499}"/>
    <hyperlink ref="Z341" r:id="rId74" xr:uid="{F3F170B8-D3A9-4D49-8B00-4E2F231E09FB}"/>
    <hyperlink ref="Z448" r:id="rId75" xr:uid="{F29F7A60-FD5F-43DC-AB28-A92AE8FC77B9}"/>
    <hyperlink ref="Z503" r:id="rId76" xr:uid="{1E20767A-18D4-46E9-B04B-AEBBB8AB3794}"/>
    <hyperlink ref="Z504" r:id="rId77" xr:uid="{6ECF111D-8992-446D-B99A-D253496C330C}"/>
    <hyperlink ref="Z505" r:id="rId78" xr:uid="{5439FF54-E1CB-4BD1-B26D-74840E83824A}"/>
    <hyperlink ref="Z506" r:id="rId79" xr:uid="{B5999CA4-396F-4DD8-9BB8-75F242CF9D24}"/>
    <hyperlink ref="Z507" r:id="rId80" xr:uid="{EB9B0149-D9D8-4AFF-BAC2-A6313C338A79}"/>
    <hyperlink ref="Z508" r:id="rId81" xr:uid="{77284BC8-D7B7-42A3-9B2C-DA8D91AE9651}"/>
    <hyperlink ref="Z509" r:id="rId82" xr:uid="{A6637658-E7D6-411E-8CEC-C2CAF1D414A2}"/>
    <hyperlink ref="Z510" r:id="rId83" xr:uid="{1CF229EE-F82D-464A-BE69-135AB78B8D06}"/>
    <hyperlink ref="Z511" r:id="rId84" xr:uid="{97A4ECE2-0CD7-4FB6-A685-7DE8ECEFD2AC}"/>
    <hyperlink ref="Z512" r:id="rId85" xr:uid="{C02A7F0E-2622-45A2-AA18-A155FE533009}"/>
    <hyperlink ref="Z513" r:id="rId86" xr:uid="{0243D4EF-A1F1-4F2F-9722-7691AB108088}"/>
    <hyperlink ref="Z514" r:id="rId87" xr:uid="{720E2733-213F-4E27-A78D-050091800761}"/>
    <hyperlink ref="Z515" r:id="rId88" xr:uid="{56A24BBB-2842-4D00-8D20-AB4E4FE873B7}"/>
    <hyperlink ref="Z516" r:id="rId89" xr:uid="{97D62B29-92BB-48F6-B0D4-63D64AEB73F2}"/>
    <hyperlink ref="Z517" r:id="rId90" xr:uid="{B9CF221E-A90A-428D-823F-FB97AAECA532}"/>
    <hyperlink ref="Z518" r:id="rId91" xr:uid="{584C9F31-99CE-429B-A979-FC598E80AC65}"/>
    <hyperlink ref="Z519" r:id="rId92" xr:uid="{2C4AFAB7-4FA8-42D8-AC11-A2F356B2ECBF}"/>
    <hyperlink ref="Z520" r:id="rId93" xr:uid="{10A6987A-E85E-417C-868B-804A63B635FD}"/>
    <hyperlink ref="Z521" r:id="rId94" xr:uid="{DE7088C9-E9FD-473B-B47E-CE10FE4FE641}"/>
    <hyperlink ref="Z522" r:id="rId95" xr:uid="{D81F4625-090D-45DA-8432-393479DDE5EF}"/>
    <hyperlink ref="Z523" r:id="rId96" xr:uid="{44445A79-02FC-4E42-9736-B7B6A1FC4464}"/>
    <hyperlink ref="Z524" r:id="rId97" xr:uid="{EAC49BAB-9C8D-4408-8E1C-1148B8E3AB8E}"/>
    <hyperlink ref="Z525" r:id="rId98" xr:uid="{ADF2B663-17BF-47F3-9A11-485561DBF233}"/>
    <hyperlink ref="Z526" r:id="rId99" xr:uid="{6F4A5D6D-6F5B-4B36-8C0E-EE725CE62B1B}"/>
    <hyperlink ref="Z527" r:id="rId100" xr:uid="{6012F322-1C19-4616-AE30-8894CF87D276}"/>
    <hyperlink ref="Z528" r:id="rId101" xr:uid="{ED60FC80-568A-4A9E-BA5E-A7AC03A06D0D}"/>
    <hyperlink ref="Z529" r:id="rId102" xr:uid="{CA944B54-C5DF-4232-95A1-D88765A52A8C}"/>
    <hyperlink ref="Z530" r:id="rId103" xr:uid="{8BB47422-E71F-4C56-8FBF-A21C913B7908}"/>
    <hyperlink ref="Z531" r:id="rId104" xr:uid="{8D7E528E-7D4A-40E0-BB87-909EB876C74D}"/>
    <hyperlink ref="Z532" r:id="rId105" xr:uid="{2EF2825F-6BA3-4032-B87F-A9825AC87655}"/>
    <hyperlink ref="Z533" r:id="rId106" xr:uid="{B5240573-A7FF-4894-A525-8A4E079789BF}"/>
    <hyperlink ref="Z534" r:id="rId107" xr:uid="{B5F75E6F-89BB-4807-AC6A-DC5FF30B2EA5}"/>
    <hyperlink ref="Z535" r:id="rId108" xr:uid="{7AB56051-B5A0-4A51-83E4-778481442CBA}"/>
    <hyperlink ref="Z536" r:id="rId109" xr:uid="{BE375BF8-CD64-48A7-A2C8-5538FA7D311A}"/>
    <hyperlink ref="Z537" r:id="rId110" xr:uid="{60CCC68E-75F5-417B-9972-6B76F8D86B03}"/>
    <hyperlink ref="Z538" r:id="rId111" xr:uid="{EB2568A9-DB62-4143-AF12-159A39DC9EC0}"/>
    <hyperlink ref="Z539" r:id="rId112" xr:uid="{EA99E90C-2C5E-4182-9B4E-1394DA96608E}"/>
    <hyperlink ref="Z540" r:id="rId113" xr:uid="{9D9E4768-0C3F-433C-9BFD-D2B81BEE28DC}"/>
    <hyperlink ref="Z541" r:id="rId114" xr:uid="{98E1151F-A31A-45CD-923F-DC4BCA12456B}"/>
    <hyperlink ref="Z542" r:id="rId115" xr:uid="{87620489-2D55-488B-8607-60732D0E9B92}"/>
    <hyperlink ref="Z543" r:id="rId116" xr:uid="{B3C7A064-3F6F-46EA-988F-59FC92E0CC9F}"/>
    <hyperlink ref="Z544" r:id="rId117" xr:uid="{A3CAF011-AD10-4A1D-B317-5B1A8CF3D5ED}"/>
    <hyperlink ref="Z545" r:id="rId118" xr:uid="{393364BC-5288-4A3B-8B37-E118317498CF}"/>
    <hyperlink ref="Z546" r:id="rId119" xr:uid="{C292F8D7-C1DF-4A54-A9DA-D7AEC06E12A1}"/>
    <hyperlink ref="Z547" r:id="rId120" xr:uid="{D2BC5677-D073-4DB5-8E27-80352005398E}"/>
    <hyperlink ref="Z548" r:id="rId121" xr:uid="{B4AD87F8-A553-43F5-90D4-4A8DB61D8289}"/>
    <hyperlink ref="Z549" r:id="rId122" xr:uid="{36B448D7-71F7-40F2-AD42-C266B85CA9A7}"/>
    <hyperlink ref="Z550" r:id="rId123" xr:uid="{B78F5CD5-0E6D-4C12-90AC-3A9ED702C747}"/>
    <hyperlink ref="Z551" r:id="rId124" xr:uid="{2F848FAC-7092-4C62-9551-0B84FE15C583}"/>
    <hyperlink ref="Z552" r:id="rId125" xr:uid="{7221C8CA-AD0E-4154-9B71-88183188C078}"/>
    <hyperlink ref="Z553" r:id="rId126" xr:uid="{CB460937-8473-41EA-AF35-95AD85866F1E}"/>
    <hyperlink ref="Z554" r:id="rId127" xr:uid="{D931D9FD-4C4A-46F0-A609-C3FC00A6A86E}"/>
    <hyperlink ref="Z555" r:id="rId128" xr:uid="{BE7CC372-F384-4A97-8344-B18A5C6FE6A1}"/>
    <hyperlink ref="Z556" r:id="rId129" xr:uid="{71D3832E-DE3F-4376-811A-855D7D2D3F4B}"/>
    <hyperlink ref="Z557" r:id="rId130" xr:uid="{4F17B5C8-8E6F-413F-973B-40D2F35541E5}"/>
    <hyperlink ref="Z558" r:id="rId131" xr:uid="{DC3D1E27-00F2-4EBB-B3DE-388F520C49B1}"/>
    <hyperlink ref="Z559" r:id="rId132" xr:uid="{84B323F4-8C01-47CA-A862-508148433030}"/>
    <hyperlink ref="Z560" r:id="rId133" xr:uid="{97748A70-10A3-4610-A167-0A90AED51C65}"/>
    <hyperlink ref="Z561" r:id="rId134" xr:uid="{0E6EF72F-0930-476F-B01F-27C294F7EB37}"/>
    <hyperlink ref="Z562" r:id="rId135" xr:uid="{2193CC9C-FB69-4D09-AF0B-9B5516D882CC}"/>
    <hyperlink ref="Z563" r:id="rId136" xr:uid="{53C93A68-7E64-4E3A-8177-23174CE7DBC5}"/>
    <hyperlink ref="Z564" r:id="rId137" xr:uid="{C6F81C31-47C1-47FE-82F0-31A5457E8957}"/>
    <hyperlink ref="Z565" r:id="rId138" xr:uid="{04EDA3CE-3F47-4756-B049-2A347DA68055}"/>
    <hyperlink ref="Z566" r:id="rId139" xr:uid="{67CD60CD-0D84-42A0-A639-CA865A63DB65}"/>
    <hyperlink ref="Z567" r:id="rId140" xr:uid="{E085AB04-FF60-4136-ADF7-70C1D316D920}"/>
    <hyperlink ref="Z568" r:id="rId141" xr:uid="{1A9449F6-173E-473C-80F9-F7D1E8C76093}"/>
    <hyperlink ref="Z569" r:id="rId142" xr:uid="{2F42CA98-6AFE-4EFB-9424-51C45AFEF845}"/>
    <hyperlink ref="Z570" r:id="rId143" xr:uid="{0AE0FB91-CC48-4D8B-82CF-C0FCCFB6312E}"/>
    <hyperlink ref="Z571" r:id="rId144" xr:uid="{2B7724D5-C3D6-4E5E-975E-E4D314EA2DDD}"/>
    <hyperlink ref="Z572" r:id="rId145" xr:uid="{45FEC582-3C59-420E-9936-62A4D01417A2}"/>
    <hyperlink ref="Z573" r:id="rId146" xr:uid="{0D5D0BA1-875B-4BEA-9BE7-EA48A6329248}"/>
    <hyperlink ref="Z574" r:id="rId147" xr:uid="{06ADBF83-C425-4131-933C-695F4B4C2018}"/>
    <hyperlink ref="Z575" r:id="rId148" xr:uid="{5854F6F1-4E06-4A74-A2B5-5B2E49E0E1F7}"/>
    <hyperlink ref="Z576" r:id="rId149" xr:uid="{C8844CD1-3E2A-4CC4-8EE1-7EA9551E442F}"/>
    <hyperlink ref="Z577" r:id="rId150" xr:uid="{E41BB941-85B8-47D1-8A53-1E4DD613661B}"/>
    <hyperlink ref="Z578" r:id="rId151" xr:uid="{54F7BB8E-9CC8-4E3E-B221-4AB54FB101FC}"/>
    <hyperlink ref="Z579" r:id="rId152" xr:uid="{95ACAC70-F474-4C23-9C3C-B91B4289B63E}"/>
    <hyperlink ref="Z580" r:id="rId153" xr:uid="{CD9D2FFB-E20C-4EE5-A462-CDDDBF97B233}"/>
    <hyperlink ref="Z581" r:id="rId154" xr:uid="{F080B71D-F54F-41E0-B4DE-C619027BEC1E}"/>
    <hyperlink ref="Z582" r:id="rId155" xr:uid="{DEE56B4C-E8F0-491D-8303-1F61EB7A320E}"/>
    <hyperlink ref="Z583" r:id="rId156" xr:uid="{B1591C74-B1DF-4D84-ACD5-4CC56BEBE2A8}"/>
    <hyperlink ref="Z584" r:id="rId157" xr:uid="{6BC0A6E2-A441-4C46-B81D-D192211D560C}"/>
    <hyperlink ref="Z585" r:id="rId158" xr:uid="{19E656AE-4CD4-438B-984C-64D4929D231F}"/>
    <hyperlink ref="Z586" r:id="rId159" xr:uid="{6127CED8-389A-4B71-931F-245BD6FFCFF8}"/>
    <hyperlink ref="Z587" r:id="rId160" xr:uid="{13354104-036E-42D9-B300-4962522A1036}"/>
    <hyperlink ref="Z588" r:id="rId161" xr:uid="{1D9D197D-9ED7-44D5-AB7E-C9B9D6DA7AE3}"/>
    <hyperlink ref="Z589" r:id="rId162" xr:uid="{22C09A4D-F302-4C36-902A-C977C34B9453}"/>
    <hyperlink ref="Z590" r:id="rId163" xr:uid="{5263DAFD-8C48-4594-B109-9B20F49287AA}"/>
    <hyperlink ref="Z591" r:id="rId164" xr:uid="{45FC8452-BEA6-47C9-8DF0-A7DE4D49DCEE}"/>
    <hyperlink ref="Z592" r:id="rId165" xr:uid="{0FBEA09B-B1EB-48CA-9D4D-C891CAA91E7C}"/>
    <hyperlink ref="Z593" r:id="rId166" xr:uid="{E32B28FA-0CEC-4AED-B7A9-750F2864C155}"/>
    <hyperlink ref="Z594" r:id="rId167" xr:uid="{E308C031-7822-40B5-BEE5-5658745D51B3}"/>
    <hyperlink ref="Z619" r:id="rId168" xr:uid="{55F78AEA-52AD-4678-89B8-34E5AF988EAF}"/>
    <hyperlink ref="Z620" r:id="rId169" xr:uid="{45A662A2-C7FD-4D3C-8BD2-6E3FAE1503E1}"/>
    <hyperlink ref="Z621" r:id="rId170" xr:uid="{5E563A4B-8051-42AC-8375-8125770DC722}"/>
    <hyperlink ref="Z622" r:id="rId171" xr:uid="{91356BBA-54DB-4D46-A002-05521E48367B}"/>
    <hyperlink ref="Z599" r:id="rId172" xr:uid="{96FBF956-93E4-4C73-AF5E-DEC5CF024031}"/>
    <hyperlink ref="Z600" r:id="rId173" xr:uid="{8DB95255-317C-40E8-8F77-A473DD477734}"/>
    <hyperlink ref="Z601" r:id="rId174" xr:uid="{F083BD0A-AA0A-42FB-A271-098D52579AAB}"/>
    <hyperlink ref="Z602" r:id="rId175" xr:uid="{5BF81677-7E45-4A14-8F82-693E01CC3B79}"/>
    <hyperlink ref="Z603" r:id="rId176" xr:uid="{C960E8D0-7B50-40C5-A586-D95D245FD601}"/>
    <hyperlink ref="Z604" r:id="rId177" xr:uid="{D12496FE-1718-4050-8C22-97C2A966F140}"/>
    <hyperlink ref="Z605" r:id="rId178" xr:uid="{6EB13100-6329-4311-8BC9-C0BA7B8DDCE0}"/>
    <hyperlink ref="Z606" r:id="rId179" xr:uid="{FB218A7A-77CA-491D-B801-766D51CDDD37}"/>
    <hyperlink ref="Z607" r:id="rId180" xr:uid="{FAF68986-A21E-4A62-9AD0-8A5504E5A380}"/>
    <hyperlink ref="Z608" r:id="rId181" xr:uid="{E91723D7-7089-42DA-89BE-DD2EAD9C9D49}"/>
    <hyperlink ref="Z609" r:id="rId182" xr:uid="{A9369A27-29FE-42F3-BEC7-E1E1208BC2CB}"/>
    <hyperlink ref="Z610" r:id="rId183" xr:uid="{E2A6DC5D-BA0E-4817-9AB1-712E4913E04D}"/>
    <hyperlink ref="Z611" r:id="rId184" xr:uid="{4D53CA21-5D91-4867-B77E-1F7B355177F2}"/>
    <hyperlink ref="Z612" r:id="rId185" xr:uid="{7B22D60F-C13F-4058-BAE7-8EF2608B8487}"/>
    <hyperlink ref="Z613" r:id="rId186" xr:uid="{09BB9C1E-D513-485F-8089-054C4A64BC66}"/>
    <hyperlink ref="Z614" r:id="rId187" xr:uid="{D3CC80A0-4297-49BE-B53E-DB3BD84D3505}"/>
    <hyperlink ref="Z615" r:id="rId188" xr:uid="{A9B926D1-DACA-4105-B867-0C9C4D500920}"/>
    <hyperlink ref="Z616" r:id="rId189" xr:uid="{7ED553CD-D73A-4F70-BF97-1EAF2D3306CF}"/>
    <hyperlink ref="Z617" r:id="rId190" xr:uid="{B427385E-2285-475F-B26D-22DC166DD237}"/>
    <hyperlink ref="Z618" r:id="rId191" xr:uid="{DAC3D7B6-C067-4859-95A0-582082C5C671}"/>
    <hyperlink ref="Z595" r:id="rId192" xr:uid="{B02C71FA-057A-4024-AE0D-E7FFAC6C2051}"/>
    <hyperlink ref="Z623" r:id="rId193" xr:uid="{47310D71-43FD-445B-AE04-030C9411DBB5}"/>
    <hyperlink ref="Z596" r:id="rId194" xr:uid="{DBA419B5-163B-46B2-A961-DAC47CBA5A09}"/>
    <hyperlink ref="Z597" r:id="rId195" xr:uid="{2C147DD8-6F84-4390-8A50-FA451560751B}"/>
    <hyperlink ref="Z598" r:id="rId196" xr:uid="{1E78E9F3-EECA-4632-9017-F2168B654A24}"/>
    <hyperlink ref="Z466" r:id="rId197" display="mailto:sonia.bernal@mininterior.gov.co" xr:uid="{810BA66E-8397-4970-9564-822F9BD15ABE}"/>
    <hyperlink ref="Z150" r:id="rId198" xr:uid="{B97315E7-DDE1-4D06-A3C7-BF5DB291256C}"/>
    <hyperlink ref="Z285" r:id="rId199" xr:uid="{F101DEB8-8CA5-4B12-92BB-58EC61320307}"/>
    <hyperlink ref="Z319" r:id="rId200" xr:uid="{7234A9D2-039C-4289-A351-49482EC1A5A2}"/>
    <hyperlink ref="Z339" r:id="rId201" xr:uid="{FD8AB7E9-711C-4904-BF82-D44E59AA59AA}"/>
    <hyperlink ref="Z366" r:id="rId202" xr:uid="{63C6921E-4BBC-48F6-9D83-B4F98EEECC52}"/>
    <hyperlink ref="Z30" r:id="rId203" xr:uid="{0F7806DF-E00F-493D-8757-EC8489F8889A}"/>
    <hyperlink ref="Z132" r:id="rId204" xr:uid="{79850255-CA5B-490A-829F-A11DFD827E53}"/>
    <hyperlink ref="Z149" r:id="rId205" xr:uid="{D86FF6A8-B05D-420B-8D25-282D18234B75}"/>
    <hyperlink ref="Z211" r:id="rId206" xr:uid="{E03438CD-2B76-4E88-A55B-BCF704B7F534}"/>
    <hyperlink ref="Z318" r:id="rId207" xr:uid="{E5094394-9572-48F4-B0D3-A908EFD23C91}"/>
    <hyperlink ref="Z342" r:id="rId208" xr:uid="{6B5B7631-6FC1-4EA4-8C5C-27D3AB45CF8F}"/>
    <hyperlink ref="Z368" r:id="rId209" xr:uid="{1199F7AC-480A-42D2-B877-113A912961C4}"/>
    <hyperlink ref="Z488" r:id="rId210" xr:uid="{71593752-7FB9-499E-9969-700687208746}"/>
    <hyperlink ref="Z636" r:id="rId211" xr:uid="{813E8F2B-6038-45B3-A34F-253CA086BC50}"/>
    <hyperlink ref="Z467" r:id="rId212" xr:uid="{24B6275E-6EF4-47CC-AF00-051BC338B017}"/>
    <hyperlink ref="Z638" r:id="rId213" xr:uid="{7B5E1411-61F8-4658-BB1A-B5AD8F6C9CAC}"/>
    <hyperlink ref="Z666" r:id="rId214" xr:uid="{66EF9631-DEEA-4CA8-AA65-897CF2619114}"/>
    <hyperlink ref="Z639" r:id="rId215" xr:uid="{D35E0B7D-F42F-45A1-83BE-95ADFD4FA9CE}"/>
    <hyperlink ref="Z640" r:id="rId216" xr:uid="{B29ADC2A-7296-4562-BE29-6ADCC8C43FEE}"/>
    <hyperlink ref="Z641" r:id="rId217" xr:uid="{7CD03D34-BD44-4FC2-A364-602BFB17F8CB}"/>
    <hyperlink ref="Z642" r:id="rId218" xr:uid="{9C7F7485-D80A-4669-B2AC-4A24C8603309}"/>
    <hyperlink ref="Z643" r:id="rId219" xr:uid="{6D5B07B5-9F8A-482A-BD64-5391336E06C1}"/>
    <hyperlink ref="Z644" r:id="rId220" xr:uid="{76007BCE-5A72-45DD-99AA-876179AC1944}"/>
    <hyperlink ref="Z645" r:id="rId221" xr:uid="{DAD5103B-2FA4-4FC7-9F63-929AB661FC1A}"/>
    <hyperlink ref="Z646" r:id="rId222" xr:uid="{94463563-1870-4B34-8310-DC5A17E961FB}"/>
    <hyperlink ref="Z647" r:id="rId223" xr:uid="{B71569D4-B49C-4631-BDF6-D07F23970F72}"/>
    <hyperlink ref="Z648" r:id="rId224" xr:uid="{44AB793E-044F-4221-9423-0CBE0A197CDC}"/>
    <hyperlink ref="Z649" r:id="rId225" xr:uid="{8845926C-EA7A-45BA-A9EA-E78D4C18DF0B}"/>
    <hyperlink ref="Z650" r:id="rId226" xr:uid="{8EF7DCA1-C0C7-4E2C-B260-1F597BB6EBC2}"/>
    <hyperlink ref="Z651" r:id="rId227" xr:uid="{CB3F6858-DB7C-4579-8C5B-C1BF0898188A}"/>
    <hyperlink ref="Z652" r:id="rId228" xr:uid="{32885D8A-EFD7-47A7-AD88-5A603EFEBE1E}"/>
    <hyperlink ref="Z653" r:id="rId229" xr:uid="{BE0853FC-9C0D-4E19-9844-FBDEBD8D9D0C}"/>
    <hyperlink ref="Z654" r:id="rId230" xr:uid="{339AD627-EC1D-438E-A5CF-8F3476CA24B7}"/>
    <hyperlink ref="Z655" r:id="rId231" xr:uid="{BF09620B-5931-4968-897D-6C7133BB2EF5}"/>
    <hyperlink ref="Z656" r:id="rId232" xr:uid="{DA043F71-82CC-4CA5-ADA9-FF0896CCA523}"/>
    <hyperlink ref="Z657" r:id="rId233" xr:uid="{BE4BE4EB-D37C-4536-A2F5-42E7A720736C}"/>
    <hyperlink ref="Z658" r:id="rId234" xr:uid="{A3367016-B353-4C92-9AA3-C2CC4DCEF7DA}"/>
    <hyperlink ref="Z659" r:id="rId235" xr:uid="{D8133983-3CF1-4D32-ADB6-E8ECC36C0CC4}"/>
    <hyperlink ref="Z660" r:id="rId236" xr:uid="{BB159F1B-5385-4A08-AC1F-A91704B2A364}"/>
    <hyperlink ref="Z661" r:id="rId237" xr:uid="{194189D0-F64D-438C-A067-BA6933071235}"/>
    <hyperlink ref="Z662" r:id="rId238" xr:uid="{FFB1FEAB-554A-4743-AB44-91D51C4DC58A}"/>
    <hyperlink ref="Z663" r:id="rId239" xr:uid="{0AD0DE31-2CA6-420D-AE4F-4C76DA699EBF}"/>
    <hyperlink ref="Z664" r:id="rId240" xr:uid="{6B9323B0-D6A5-4A4A-B8AD-B2C371FF8634}"/>
    <hyperlink ref="Z665" r:id="rId241" xr:uid="{FC8996D4-DABC-425C-8AA1-FAFDE2F4A8EB}"/>
    <hyperlink ref="Z667" r:id="rId242" xr:uid="{CAD3DA71-785C-4D1D-9541-61482E039136}"/>
    <hyperlink ref="Z668" r:id="rId243" xr:uid="{82362D07-C9DD-415B-8441-F62B78883E44}"/>
    <hyperlink ref="Z669" r:id="rId244" xr:uid="{47CFAB54-86A0-4619-8B79-671A5180DD5E}"/>
    <hyperlink ref="Z670" r:id="rId245" xr:uid="{127DB022-EC85-47EE-9763-F3FA3B0E85C8}"/>
    <hyperlink ref="Z671" r:id="rId246" xr:uid="{7D8D2EBC-671D-4329-8FEA-27EE207ACA5A}"/>
    <hyperlink ref="Z672" r:id="rId247" xr:uid="{457787B4-2A36-4EBE-ADEE-3074EEEDBED4}"/>
    <hyperlink ref="Z673" r:id="rId248" xr:uid="{2BDE42BD-CA02-438E-B896-3B2E975511DC}"/>
    <hyperlink ref="Z674" r:id="rId249" xr:uid="{BC9A5B16-1023-4647-A1A0-33FD74824DA0}"/>
    <hyperlink ref="Z675" r:id="rId250" xr:uid="{7664E729-57A5-4511-B2ED-1AA3F77C11F8}"/>
    <hyperlink ref="Z676" r:id="rId251" xr:uid="{4C0C585B-31C4-4430-85FC-7EE63FAE6EFE}"/>
    <hyperlink ref="Z677" r:id="rId252" xr:uid="{77F86E06-96FE-4BA2-9626-2830507BB23E}"/>
    <hyperlink ref="Z678" r:id="rId253" xr:uid="{7CB210C0-8D9B-4A33-A499-12F7CC7E8AC4}"/>
    <hyperlink ref="Z679" r:id="rId254" xr:uid="{77CE1EE3-09F4-4E76-A83C-D3F4F0AA4AB1}"/>
    <hyperlink ref="Z680" r:id="rId255" xr:uid="{6224230D-0177-490F-8115-DE9986B79BA6}"/>
    <hyperlink ref="Z681" r:id="rId256" xr:uid="{9D8B2601-8491-4A72-8987-2FFAD0B85C0E}"/>
    <hyperlink ref="Z682" r:id="rId257" xr:uid="{15A12B1C-EA86-4C09-ADA8-8AEAB5D60C3C}"/>
    <hyperlink ref="Z683" r:id="rId258" xr:uid="{A5A4945C-CFA9-4B52-B816-04F3BD971092}"/>
    <hyperlink ref="Z684" r:id="rId259" xr:uid="{2FD6BB50-0E25-4F92-8B59-7456D35143FC}"/>
    <hyperlink ref="Z685" r:id="rId260" xr:uid="{319F66A3-32D9-492C-964A-39A253E86F9E}"/>
    <hyperlink ref="Z686" r:id="rId261" xr:uid="{671860BB-80C2-4049-B4D1-AEB0AC80092E}"/>
    <hyperlink ref="Z687" r:id="rId262" xr:uid="{FD642945-2079-4571-A588-E3B43A19124D}"/>
    <hyperlink ref="Z688" r:id="rId263" xr:uid="{181FAA24-BA2B-4FAA-B0DB-7C33576BC838}"/>
    <hyperlink ref="Z689" r:id="rId264" xr:uid="{B9CFB301-2E6B-4072-B35C-66BC770BC93B}"/>
    <hyperlink ref="Z690" r:id="rId265" xr:uid="{56F98ABB-4C5E-406E-A6AC-05897C45BB8A}"/>
    <hyperlink ref="Z691" r:id="rId266" xr:uid="{722A6055-9C3B-443E-A2AD-5262BDBD593A}"/>
    <hyperlink ref="Z692" r:id="rId267" xr:uid="{48EE25BA-675B-47D1-BCC0-9787B9F91CC0}"/>
    <hyperlink ref="Z693" r:id="rId268" xr:uid="{788EA276-0BE5-478D-A97A-274D2FCFF629}"/>
    <hyperlink ref="Z694" r:id="rId269" xr:uid="{BFFA7610-A003-49AC-8E05-9E4B473898DC}"/>
    <hyperlink ref="Z695" r:id="rId270" xr:uid="{550DD14D-E4B8-4D6B-9A01-AB6124FCB101}"/>
    <hyperlink ref="Z696" r:id="rId271" xr:uid="{9E1AB925-A72B-43BC-81F0-C5E495A427DE}"/>
    <hyperlink ref="Z697" r:id="rId272" xr:uid="{6E1096BB-C9FE-428A-87D5-BD60F32039B4}"/>
    <hyperlink ref="Z333" r:id="rId273" xr:uid="{FE542B8F-F501-4571-8721-4F7D5B128330}"/>
    <hyperlink ref="Z332" r:id="rId274" xr:uid="{6069F884-C395-4427-8B17-244F60296F69}"/>
    <hyperlink ref="Z624" r:id="rId275" xr:uid="{06ADB611-770B-474D-8F28-4450D18C1328}"/>
    <hyperlink ref="Z625" r:id="rId276" xr:uid="{73F87AE0-17F7-4541-9951-FFC3E9B2256C}"/>
    <hyperlink ref="Z152" r:id="rId277" xr:uid="{638CF397-ECC4-4D68-894F-AFC0F27CB448}"/>
    <hyperlink ref="Z637" r:id="rId278" xr:uid="{283ACFC8-BBCF-4230-A44C-BA5440E06A0A}"/>
    <hyperlink ref="Z40" r:id="rId279" xr:uid="{A0E4E30B-302D-4710-9080-0DC79A6A44ED}"/>
    <hyperlink ref="Z626" r:id="rId280" xr:uid="{E5B9FD09-B89E-406F-A36D-C7AB617EA037}"/>
  </hyperlinks>
  <pageMargins left="0.70866141732283472" right="0.70866141732283472" top="0.74803149606299213" bottom="0.74803149606299213" header="0" footer="0"/>
  <pageSetup orientation="landscape" r:id="rId281"/>
  <ignoredErrors>
    <ignoredError sqref="F409 F424:F427 F443:F454 F469:F475 T627:T636 T153:T331 Q638:R697 Q490:R623 T490:T623 F595 T334:T489 Q153:R489 Q51:R151 T51:T151 F634 Q627:R636 Q637:R637 T7:T45 Q7:R45 Q46:Q50 R46:R50 T46:T50 F363 F418 F428:F429 E438:E440 Q626:R626" unlockedFormula="1"/>
    <ignoredError sqref="O340 O104 O87 O136 O194 O330 O466 O596 O37 O262:O280 O290 O231 O228:O230 O232:O261 O291 O281:O289 O325:O329 O315 O624 O41 O54" formula="1"/>
    <ignoredError sqref="S670:S681 S683:S697 K34 S7:S637" numberStoredAsText="1"/>
    <ignoredError sqref="T332 T333" numberStoredAsText="1" unlockedFormula="1"/>
    <ignoredError sqref="Q624:Q625 R624:R625 Q152:R152" formula="1" unlockedFormula="1"/>
  </ignoredErrors>
  <drawing r:id="rId28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20</v>
      </c>
      <c r="B6" s="32" t="s">
        <v>183</v>
      </c>
      <c r="C6" s="32" t="s">
        <v>184</v>
      </c>
      <c r="D6" s="164" t="s">
        <v>185</v>
      </c>
      <c r="E6" s="165"/>
      <c r="F6" s="166"/>
      <c r="G6" s="62" t="s">
        <v>186</v>
      </c>
      <c r="H6" s="33" t="s">
        <v>187</v>
      </c>
      <c r="I6" s="62" t="s">
        <v>21</v>
      </c>
      <c r="J6" s="62" t="s">
        <v>22</v>
      </c>
      <c r="K6" s="62" t="s">
        <v>23</v>
      </c>
      <c r="L6" s="62" t="s">
        <v>24</v>
      </c>
      <c r="M6" s="62" t="s">
        <v>188</v>
      </c>
      <c r="N6" s="62" t="s">
        <v>25</v>
      </c>
      <c r="O6" s="62" t="s">
        <v>26</v>
      </c>
      <c r="P6" s="62" t="s">
        <v>189</v>
      </c>
      <c r="Q6" s="62" t="s">
        <v>190</v>
      </c>
      <c r="R6" s="62" t="s">
        <v>27</v>
      </c>
      <c r="S6" s="62" t="s">
        <v>28</v>
      </c>
      <c r="T6" s="62" t="s">
        <v>191</v>
      </c>
      <c r="U6" s="62" t="s">
        <v>192</v>
      </c>
      <c r="V6" s="62" t="s">
        <v>193</v>
      </c>
      <c r="W6" s="62" t="s">
        <v>194</v>
      </c>
      <c r="X6" s="62" t="s">
        <v>195</v>
      </c>
      <c r="Y6" s="69" t="s">
        <v>196</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29</v>
      </c>
      <c r="E7" s="36" t="s">
        <v>30</v>
      </c>
      <c r="F7" s="36" t="s">
        <v>31</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46</v>
      </c>
      <c r="C8" s="82" t="s">
        <v>58</v>
      </c>
      <c r="D8" s="83">
        <v>0</v>
      </c>
      <c r="E8" s="84">
        <v>322694453</v>
      </c>
      <c r="F8" s="83">
        <v>0</v>
      </c>
      <c r="G8" s="82">
        <v>80111600</v>
      </c>
      <c r="H8" s="82" t="s">
        <v>35</v>
      </c>
      <c r="I8" s="85">
        <v>1</v>
      </c>
      <c r="J8" s="85">
        <v>1</v>
      </c>
      <c r="K8" s="85">
        <v>11</v>
      </c>
      <c r="L8" s="85">
        <v>1</v>
      </c>
      <c r="M8" s="85" t="s">
        <v>36</v>
      </c>
      <c r="N8" s="85" t="str">
        <f>IF(M8&gt;1,VLOOKUP(M8,'[21]Archivo datos'!$G$1:$H$14,2,FALSE),"")</f>
        <v>Contratación directa</v>
      </c>
      <c r="O8" s="82">
        <v>1</v>
      </c>
      <c r="P8" s="86">
        <f>+E8</f>
        <v>322694453</v>
      </c>
      <c r="Q8" s="86">
        <f>+E8</f>
        <v>322694453</v>
      </c>
      <c r="R8" s="82">
        <v>0</v>
      </c>
      <c r="S8" s="82">
        <v>0</v>
      </c>
      <c r="T8" s="82" t="s">
        <v>37</v>
      </c>
      <c r="U8" s="82" t="s">
        <v>95</v>
      </c>
      <c r="V8" s="23" t="str">
        <f>IF(U8&gt;1,VLOOKUP(U8,'[21]Archivo datos'!$D$1:$E$1153,2,FALSE),"")</f>
        <v>CO-DC-11001</v>
      </c>
      <c r="W8" s="82" t="s">
        <v>181</v>
      </c>
      <c r="X8" s="82">
        <v>2427400</v>
      </c>
      <c r="Y8" s="87" t="s">
        <v>182</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197</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198</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199</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68" t="s">
        <v>200</v>
      </c>
      <c r="C18" s="168"/>
      <c r="D18" s="168"/>
      <c r="E18" s="168"/>
      <c r="F18" s="168"/>
      <c r="G18" s="168"/>
      <c r="H18" s="168"/>
      <c r="I18" s="168"/>
      <c r="J18" s="168"/>
      <c r="K18" s="168"/>
      <c r="L18" s="168"/>
      <c r="M18" s="168"/>
      <c r="N18" s="168"/>
      <c r="O18" s="168"/>
      <c r="P18" s="168"/>
      <c r="Q18" s="16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67" t="s">
        <v>201</v>
      </c>
      <c r="B20" s="167"/>
      <c r="C20" s="167"/>
      <c r="D20" s="167"/>
      <c r="E20" s="167"/>
      <c r="F20" s="167"/>
      <c r="G20" s="167"/>
      <c r="H20" s="167"/>
      <c r="I20" s="167"/>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202</v>
      </c>
      <c r="C21" s="13"/>
      <c r="D21" s="13"/>
      <c r="E21" s="13"/>
      <c r="F21" s="13"/>
      <c r="G21" s="54" t="s">
        <v>203</v>
      </c>
      <c r="H21" s="13"/>
      <c r="I21" s="13"/>
      <c r="J21" s="13"/>
      <c r="K21" s="13" t="s">
        <v>203</v>
      </c>
      <c r="L21" s="13"/>
      <c r="M21" s="13"/>
      <c r="N21" s="13"/>
      <c r="O21" s="13"/>
      <c r="P21" s="11" t="s">
        <v>204</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69"/>
      <c r="C22" s="169"/>
      <c r="D22" s="169"/>
      <c r="E22" s="169"/>
      <c r="F22" s="41"/>
      <c r="G22" s="59" t="s">
        <v>205</v>
      </c>
      <c r="H22" s="15"/>
      <c r="I22" s="15"/>
      <c r="J22" s="41"/>
      <c r="K22" s="15" t="s">
        <v>206</v>
      </c>
      <c r="L22" s="15"/>
      <c r="M22" s="15"/>
      <c r="N22" s="41"/>
      <c r="O22" s="41"/>
      <c r="P22" s="15" t="s">
        <v>207</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70" t="s">
        <v>208</v>
      </c>
      <c r="H23" s="170"/>
      <c r="I23" s="41"/>
      <c r="J23" s="41"/>
      <c r="K23" s="41" t="s">
        <v>209</v>
      </c>
      <c r="L23" s="41"/>
      <c r="M23" s="41"/>
      <c r="N23" s="41"/>
      <c r="O23" s="41"/>
      <c r="P23" s="41" t="s">
        <v>210</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67"/>
      <c r="B24" s="41"/>
      <c r="C24" s="163"/>
      <c r="D24" s="163"/>
      <c r="E24" s="163"/>
      <c r="F24" s="163"/>
      <c r="G24" s="160" t="s">
        <v>211</v>
      </c>
      <c r="H24" s="160"/>
      <c r="I24" s="160"/>
      <c r="J24" s="160"/>
      <c r="K24" s="162"/>
      <c r="L24" s="162"/>
      <c r="M24" s="162"/>
      <c r="N24" s="162"/>
      <c r="O24" s="163"/>
      <c r="P24" s="161"/>
      <c r="Q24" s="161"/>
      <c r="R24" s="161"/>
      <c r="S24" s="161"/>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159"/>
      <c r="FA24" s="159"/>
      <c r="FB24" s="159"/>
      <c r="FC24" s="159"/>
      <c r="FD24" s="159"/>
      <c r="FE24" s="159"/>
      <c r="FF24" s="159"/>
      <c r="FG24" s="159"/>
      <c r="FH24" s="159"/>
      <c r="FI24" s="159"/>
      <c r="FJ24" s="159"/>
      <c r="FK24" s="159"/>
      <c r="FL24" s="159"/>
      <c r="FM24" s="159"/>
      <c r="FN24" s="159"/>
      <c r="FO24" s="159"/>
      <c r="FP24" s="159"/>
      <c r="FQ24" s="159"/>
      <c r="FR24" s="159"/>
      <c r="FS24" s="159"/>
      <c r="FT24" s="159"/>
      <c r="FU24" s="159"/>
      <c r="FV24" s="159"/>
      <c r="FW24" s="159"/>
      <c r="FX24" s="159"/>
      <c r="FY24" s="159"/>
      <c r="FZ24" s="159"/>
      <c r="GA24" s="159"/>
      <c r="GB24" s="159"/>
      <c r="GC24" s="159"/>
      <c r="GD24" s="159"/>
      <c r="GE24" s="159"/>
      <c r="GF24" s="159"/>
      <c r="GG24" s="159"/>
      <c r="GH24" s="159"/>
      <c r="GI24" s="159"/>
      <c r="GJ24" s="159"/>
      <c r="GK24" s="159"/>
      <c r="GL24" s="159"/>
      <c r="GM24" s="159"/>
      <c r="GN24" s="159"/>
      <c r="GO24" s="159"/>
      <c r="GP24" s="159"/>
      <c r="GQ24" s="159"/>
      <c r="GR24" s="159"/>
      <c r="GS24" s="159"/>
      <c r="GT24" s="159"/>
      <c r="GU24" s="159"/>
      <c r="GV24" s="159"/>
      <c r="GW24" s="159"/>
      <c r="GX24" s="159"/>
      <c r="GY24" s="159"/>
      <c r="GZ24" s="159"/>
      <c r="HA24" s="159"/>
      <c r="HB24" s="159"/>
      <c r="HC24" s="159"/>
      <c r="HD24" s="159"/>
      <c r="HE24" s="159"/>
      <c r="HF24" s="159"/>
      <c r="HG24" s="159"/>
      <c r="HH24" s="12"/>
    </row>
    <row r="25" spans="1:256" s="48" customFormat="1" ht="20.100000000000001" customHeight="1" x14ac:dyDescent="0.25">
      <c r="A25" s="167"/>
      <c r="B25" s="41"/>
      <c r="C25" s="163"/>
      <c r="D25" s="163"/>
      <c r="E25" s="163"/>
      <c r="F25" s="163"/>
      <c r="G25" s="160" t="s">
        <v>212</v>
      </c>
      <c r="H25" s="160"/>
      <c r="I25" s="160"/>
      <c r="J25" s="160"/>
      <c r="K25" s="162"/>
      <c r="L25" s="162"/>
      <c r="M25" s="162"/>
      <c r="N25" s="162"/>
      <c r="O25" s="163"/>
      <c r="P25" s="161"/>
      <c r="Q25" s="161"/>
      <c r="R25" s="161"/>
      <c r="S25" s="161"/>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c r="DB25" s="159"/>
      <c r="DC25" s="159"/>
      <c r="DD25" s="159"/>
      <c r="DE25" s="159"/>
      <c r="DF25" s="159"/>
      <c r="DG25" s="159"/>
      <c r="DH25" s="159"/>
      <c r="DI25" s="159"/>
      <c r="DJ25" s="159"/>
      <c r="DK25" s="159"/>
      <c r="DL25" s="159"/>
      <c r="DM25" s="159"/>
      <c r="DN25" s="159"/>
      <c r="DO25" s="159"/>
      <c r="DP25" s="159"/>
      <c r="DQ25" s="159"/>
      <c r="DR25" s="159"/>
      <c r="DS25" s="159"/>
      <c r="DT25" s="159"/>
      <c r="DU25" s="159"/>
      <c r="DV25" s="159"/>
      <c r="DW25" s="159"/>
      <c r="DX25" s="159"/>
      <c r="DY25" s="159"/>
      <c r="DZ25" s="159"/>
      <c r="EA25" s="159"/>
      <c r="EB25" s="159"/>
      <c r="EC25" s="159"/>
      <c r="ED25" s="159"/>
      <c r="EE25" s="159"/>
      <c r="EF25" s="159"/>
      <c r="EG25" s="159"/>
      <c r="EH25" s="159"/>
      <c r="EI25" s="159"/>
      <c r="EJ25" s="159"/>
      <c r="EK25" s="159"/>
      <c r="EL25" s="159"/>
      <c r="EM25" s="159"/>
      <c r="EN25" s="159"/>
      <c r="EO25" s="159"/>
      <c r="EP25" s="159"/>
      <c r="EQ25" s="159"/>
      <c r="ER25" s="159"/>
      <c r="ES25" s="159"/>
      <c r="ET25" s="159"/>
      <c r="EU25" s="159"/>
      <c r="EV25" s="159"/>
      <c r="EW25" s="159"/>
      <c r="EX25" s="159"/>
      <c r="EY25" s="159"/>
      <c r="EZ25" s="159"/>
      <c r="FA25" s="159"/>
      <c r="FB25" s="159"/>
      <c r="FC25" s="159"/>
      <c r="FD25" s="159"/>
      <c r="FE25" s="159"/>
      <c r="FF25" s="159"/>
      <c r="FG25" s="159"/>
      <c r="FH25" s="159"/>
      <c r="FI25" s="159"/>
      <c r="FJ25" s="159"/>
      <c r="FK25" s="159"/>
      <c r="FL25" s="159"/>
      <c r="FM25" s="159"/>
      <c r="FN25" s="159"/>
      <c r="FO25" s="159"/>
      <c r="FP25" s="159"/>
      <c r="FQ25" s="159"/>
      <c r="FR25" s="159"/>
      <c r="FS25" s="159"/>
      <c r="FT25" s="159"/>
      <c r="FU25" s="159"/>
      <c r="FV25" s="159"/>
      <c r="FW25" s="159"/>
      <c r="FX25" s="159"/>
      <c r="FY25" s="159"/>
      <c r="FZ25" s="159"/>
      <c r="GA25" s="159"/>
      <c r="GB25" s="159"/>
      <c r="GC25" s="159"/>
      <c r="GD25" s="159"/>
      <c r="GE25" s="159"/>
      <c r="GF25" s="159"/>
      <c r="GG25" s="159"/>
      <c r="GH25" s="159"/>
      <c r="GI25" s="159"/>
      <c r="GJ25" s="159"/>
      <c r="GK25" s="159"/>
      <c r="GL25" s="159"/>
      <c r="GM25" s="159"/>
      <c r="GN25" s="159"/>
      <c r="GO25" s="159"/>
      <c r="GP25" s="159"/>
      <c r="GQ25" s="159"/>
      <c r="GR25" s="159"/>
      <c r="GS25" s="159"/>
      <c r="GT25" s="159"/>
      <c r="GU25" s="159"/>
      <c r="GV25" s="159"/>
      <c r="GW25" s="159"/>
      <c r="GX25" s="159"/>
      <c r="GY25" s="159"/>
      <c r="GZ25" s="159"/>
      <c r="HA25" s="159"/>
      <c r="HB25" s="159"/>
      <c r="HC25" s="159"/>
      <c r="HD25" s="159"/>
      <c r="HE25" s="159"/>
      <c r="HF25" s="159"/>
      <c r="HG25" s="159"/>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213</v>
      </c>
      <c r="C29" s="13"/>
      <c r="D29" s="13"/>
      <c r="E29" s="13"/>
      <c r="F29" s="13"/>
      <c r="G29" s="54" t="s">
        <v>214</v>
      </c>
      <c r="H29" s="13"/>
      <c r="I29" s="13"/>
      <c r="J29" s="13"/>
      <c r="K29" s="13" t="s">
        <v>214</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215</v>
      </c>
      <c r="H31" s="41"/>
      <c r="I31" s="41"/>
      <c r="J31" s="41"/>
      <c r="K31" s="41" t="s">
        <v>215</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2024-01-30T20:21:45Z</dcterms:modified>
  <cp:category/>
  <cp:contentStatus/>
</cp:coreProperties>
</file>